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430"/>
  <workbookPr codeName="ThisWorkbook" defaultThemeVersion="124226"/>
  <mc:AlternateContent xmlns:mc="http://schemas.openxmlformats.org/markup-compatibility/2006">
    <mc:Choice Requires="x15">
      <x15ac:absPath xmlns:x15ac="http://schemas.microsoft.com/office/spreadsheetml/2010/11/ac" url="D:\评估\2020-1-0014华彩大厦\P03\"/>
    </mc:Choice>
  </mc:AlternateContent>
  <xr:revisionPtr revIDLastSave="0" documentId="13_ncr:1_{AA153131-BEEB-4B60-B7E5-EDEDA2889D60}" xr6:coauthVersionLast="45" xr6:coauthVersionMax="45" xr10:uidLastSave="{00000000-0000-0000-0000-000000000000}"/>
  <bookViews>
    <workbookView xWindow="-12" yWindow="0" windowWidth="16488" windowHeight="12108"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按楼清单" sheetId="95" r:id="rId11"/>
    <sheet name="结果表汇总" sheetId="94" r:id="rId12"/>
    <sheet name="项目基本情况" sheetId="4" r:id="rId13"/>
    <sheet name="定义" sheetId="10" r:id="rId14"/>
    <sheet name="数据-基础表" sheetId="3" r:id="rId15"/>
    <sheet name="抵押物清单（分楼）" sheetId="42" state="hidden" r:id="rId16"/>
    <sheet name="数据-汇总表" sheetId="6" r:id="rId17"/>
    <sheet name="面积表" sheetId="83" state="hidden" r:id="rId18"/>
    <sheet name="数据-取费表" sheetId="1" r:id="rId19"/>
    <sheet name="估价对象房地状况" sheetId="20" r:id="rId20"/>
    <sheet name="系统读取表" sheetId="74" r:id="rId21"/>
    <sheet name="结果一览表" sheetId="84" state="hidden" r:id="rId22"/>
    <sheet name="结果表" sheetId="9" r:id="rId23"/>
    <sheet name="土地比较法-住宅、综合" sheetId="85" r:id="rId24"/>
    <sheet name="成本法" sheetId="68" r:id="rId25"/>
    <sheet name="比较法-商业" sheetId="33" state="hidden" r:id="rId26"/>
    <sheet name="典型户型修正" sheetId="31" state="hidden" r:id="rId27"/>
    <sheet name="收益法商租" sheetId="77" r:id="rId28"/>
    <sheet name="收益法商自" sheetId="90" r:id="rId29"/>
    <sheet name="收益法1号楼" sheetId="96" r:id="rId30"/>
    <sheet name="收益法2号楼" sheetId="97" r:id="rId31"/>
    <sheet name="收益法商（汇总）" sheetId="70" r:id="rId32"/>
    <sheet name="结果表办" sheetId="78" state="hidden" r:id="rId33"/>
    <sheet name="比较法-办公" sheetId="34" state="hidden" r:id="rId34"/>
    <sheet name="成本法 (元)" sheetId="69" state="hidden" r:id="rId35"/>
    <sheet name="假设开发法" sheetId="12" state="hidden" r:id="rId36"/>
    <sheet name="收益法 (元)" sheetId="67" state="hidden" r:id="rId37"/>
    <sheet name="典型户型修正办" sheetId="82" state="hidden" r:id="rId38"/>
    <sheet name="收益法办租" sheetId="91" state="hidden" r:id="rId39"/>
    <sheet name="收益法办自" sheetId="15" state="hidden" r:id="rId40"/>
    <sheet name="比较法-住宅" sheetId="21" state="hidden" r:id="rId41"/>
    <sheet name="比较法-工业" sheetId="37" state="hidden" r:id="rId42"/>
    <sheet name="收益法办（汇总）" sheetId="92" state="hidden" r:id="rId43"/>
    <sheet name="结果表车" sheetId="88" state="hidden" r:id="rId44"/>
    <sheet name="比较法-车位" sheetId="35" state="hidden" r:id="rId45"/>
    <sheet name="比较法-仓储" sheetId="36" state="hidden" r:id="rId46"/>
    <sheet name="土地比较法-工业" sheetId="40" state="hidden" r:id="rId47"/>
    <sheet name="收益法车库" sheetId="87" state="hidden" r:id="rId48"/>
    <sheet name="结果表酒店" sheetId="80" state="hidden" r:id="rId49"/>
    <sheet name="成本法酒店" sheetId="86" state="hidden" r:id="rId50"/>
    <sheet name="基准地价修正" sheetId="43" state="hidden" r:id="rId51"/>
    <sheet name="修正" sheetId="45" state="hidden" r:id="rId52"/>
    <sheet name="容积率修正" sheetId="46" state="hidden" r:id="rId53"/>
    <sheet name="基准地价（汇总）" sheetId="76" state="hidden" r:id="rId54"/>
    <sheet name="收益法酒店" sheetId="79" state="hidden" r:id="rId55"/>
    <sheet name="酒店收入计算" sheetId="66" state="hidden" r:id="rId56"/>
    <sheet name="地价" sheetId="71" r:id="rId57"/>
    <sheet name="土地案例" sheetId="81" r:id="rId58"/>
    <sheet name="成本法（废）" sheetId="11" state="hidden" r:id="rId59"/>
    <sheet name="区片价" sheetId="44" state="hidden" r:id="rId60"/>
    <sheet name="因素修正幅度" sheetId="65" state="hidden" r:id="rId61"/>
    <sheet name="存贷款利率" sheetId="73" state="hidden" r:id="rId62"/>
    <sheet name="区片价（范围）" sheetId="75" state="hidden" r:id="rId63"/>
  </sheets>
  <externalReferences>
    <externalReference r:id="rId64"/>
    <externalReference r:id="rId65"/>
    <externalReference r:id="rId66"/>
    <externalReference r:id="rId67"/>
  </externalReferences>
  <definedNames>
    <definedName name="_xlnm._FilterDatabase" localSheetId="10" hidden="1">按楼清单!$A$1:$S$1</definedName>
    <definedName name="_xlnm._FilterDatabase" localSheetId="33" hidden="1">'比较法-办公'!$A$1:$L$50</definedName>
    <definedName name="_xlnm._FilterDatabase" localSheetId="45" hidden="1">'比较法-仓储'!$A$1:$L$37</definedName>
    <definedName name="_xlnm._FilterDatabase" localSheetId="44" hidden="1">'比较法-车位'!$A$1:$L$39</definedName>
    <definedName name="_xlnm._FilterDatabase" localSheetId="41" hidden="1">'比较法-工业'!$A$1:$L$43</definedName>
    <definedName name="_xlnm._FilterDatabase" localSheetId="25" hidden="1">'比较法-商业'!$A$1:$L$49</definedName>
    <definedName name="_xlnm._FilterDatabase" localSheetId="40" hidden="1">'比较法-住宅'!$A$1:$L$49</definedName>
    <definedName name="_xlnm._FilterDatabase" localSheetId="9" hidden="1">抵押清单!$A$1:$S$1</definedName>
    <definedName name="_xlnm._FilterDatabase" localSheetId="17" hidden="1">面积表!$A$1:$T$1</definedName>
    <definedName name="_xlnm._FilterDatabase" localSheetId="14" hidden="1">'数据-基础表'!$A$12:$AT$587</definedName>
    <definedName name="_xlnm._FilterDatabase" localSheetId="46" hidden="1">'土地比较法-工业'!$A$1:$L$43</definedName>
    <definedName name="_xlnm._FilterDatabase" localSheetId="23" hidden="1">'土地比较法-住宅、综合'!$A$1:$L$48</definedName>
    <definedName name="_xlnm._FilterDatabase" localSheetId="12" hidden="1">项目基本情况!$A$42:$N$42</definedName>
    <definedName name="_xlnm.Print_Area" localSheetId="8">估价师及机构信息!$A$1:$F$29</definedName>
    <definedName name="_xlnm.Print_Area" localSheetId="36">'收益法 (元)'!$A$1:$AK$69</definedName>
    <definedName name="_xlnm.Print_Area" localSheetId="29">收益法1号楼!$A$1:$AK$69</definedName>
    <definedName name="_xlnm.Print_Area" localSheetId="30">收益法2号楼!$A$1:$AK$69</definedName>
    <definedName name="_xlnm.Print_Area" localSheetId="39">收益法办自!$A$1:$AK$69</definedName>
    <definedName name="_xlnm.Print_Area" localSheetId="38">收益法办租!$A$1:$AK$69</definedName>
    <definedName name="_xlnm.Print_Area" localSheetId="47">收益法车库!$A$1:$AK$69</definedName>
    <definedName name="_xlnm.Print_Area" localSheetId="54">收益法酒店!$A$1:$AK$69</definedName>
    <definedName name="_xlnm.Print_Area" localSheetId="28">收益法商自!$A$1:$AK$69</definedName>
    <definedName name="_xlnm.Print_Area" localSheetId="27">收益法商租!$A$1:$AK$69</definedName>
    <definedName name="_xlnm.Print_Area" localSheetId="16">'数据-汇总表'!$A$1:$P$32</definedName>
    <definedName name="八级">区片价!$O$1:$O$40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10">#REF!</definedName>
    <definedName name="套工交易情况" localSheetId="9">#REF!</definedName>
    <definedName name="套工交易情况" localSheetId="29">#REF!</definedName>
    <definedName name="套工交易情况" localSheetId="30">#REF!</definedName>
    <definedName name="套工交易情况" localSheetId="42">#REF!</definedName>
    <definedName name="套工交易情况" localSheetId="38">#REF!</definedName>
    <definedName name="套工交易情况" localSheetId="28">#REF!</definedName>
    <definedName name="套工交易情况" localSheetId="23">'土地比较法-住宅、综合'!$A$73:$M$73</definedName>
    <definedName name="套工交易情况">#REF!</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10">#REF!</definedName>
    <definedName name="套综道路等级" localSheetId="9">#REF!</definedName>
    <definedName name="套综道路等级" localSheetId="29">#REF!</definedName>
    <definedName name="套综道路等级" localSheetId="30">#REF!</definedName>
    <definedName name="套综道路等级" localSheetId="42">#REF!</definedName>
    <definedName name="套综道路等级" localSheetId="38">#REF!</definedName>
    <definedName name="套综道路等级" localSheetId="28">#REF!</definedName>
    <definedName name="套综道路等级" localSheetId="23">'土地比较法-住宅、综合'!$B$106:$M$106</definedName>
    <definedName name="套综道路等级">#REF!</definedName>
    <definedName name="套综工程地质条件" localSheetId="10">#REF!</definedName>
    <definedName name="套综工程地质条件" localSheetId="9">#REF!</definedName>
    <definedName name="套综工程地质条件" localSheetId="29">#REF!</definedName>
    <definedName name="套综工程地质条件" localSheetId="30">#REF!</definedName>
    <definedName name="套综工程地质条件" localSheetId="42">#REF!</definedName>
    <definedName name="套综工程地质条件" localSheetId="38">#REF!</definedName>
    <definedName name="套综工程地质条件" localSheetId="28">#REF!</definedName>
    <definedName name="套综工程地质条件" localSheetId="23">'土地比较法-住宅、综合'!$B$125:$M$125</definedName>
    <definedName name="套综工程地质条件">#REF!</definedName>
    <definedName name="套综交易情况" localSheetId="10">#REF!</definedName>
    <definedName name="套综交易情况" localSheetId="9">#REF!</definedName>
    <definedName name="套综交易情况" localSheetId="29">#REF!</definedName>
    <definedName name="套综交易情况" localSheetId="30">#REF!</definedName>
    <definedName name="套综交易情况" localSheetId="42">#REF!</definedName>
    <definedName name="套综交易情况" localSheetId="38">#REF!</definedName>
    <definedName name="套综交易情况" localSheetId="28">#REF!</definedName>
    <definedName name="套综交易情况" localSheetId="23">'土地比较法-住宅、综合'!$A$73:$M$73</definedName>
    <definedName name="套综交易情况">#REF!</definedName>
    <definedName name="套综临街宽度及深度" localSheetId="10">#REF!</definedName>
    <definedName name="套综临街宽度及深度" localSheetId="9">#REF!</definedName>
    <definedName name="套综临街宽度及深度" localSheetId="29">#REF!</definedName>
    <definedName name="套综临街宽度及深度" localSheetId="30">#REF!</definedName>
    <definedName name="套综临街宽度及深度" localSheetId="42">#REF!</definedName>
    <definedName name="套综临街宽度及深度" localSheetId="38">#REF!</definedName>
    <definedName name="套综临街宽度及深度" localSheetId="28">#REF!</definedName>
    <definedName name="套综临街宽度及深度" localSheetId="23">'土地比较法-住宅、综合'!$B$121:$M$121</definedName>
    <definedName name="套综临街宽度及深度">#REF!</definedName>
    <definedName name="套综土地级别" localSheetId="10">#REF!</definedName>
    <definedName name="套综土地级别" localSheetId="9">#REF!</definedName>
    <definedName name="套综土地级别" localSheetId="29">#REF!</definedName>
    <definedName name="套综土地级别" localSheetId="30">#REF!</definedName>
    <definedName name="套综土地级别" localSheetId="42">#REF!</definedName>
    <definedName name="套综土地级别" localSheetId="38">#REF!</definedName>
    <definedName name="套综土地级别" localSheetId="28">#REF!</definedName>
    <definedName name="套综土地级别" localSheetId="23">'土地比较法-住宅、综合'!$B$108:$M$108</definedName>
    <definedName name="套综土地级别">#REF!</definedName>
    <definedName name="套综用途" localSheetId="10">#REF!</definedName>
    <definedName name="套综用途" localSheetId="9">#REF!</definedName>
    <definedName name="套综用途" localSheetId="29">#REF!</definedName>
    <definedName name="套综用途" localSheetId="30">#REF!</definedName>
    <definedName name="套综用途" localSheetId="42">#REF!</definedName>
    <definedName name="套综用途" localSheetId="38">#REF!</definedName>
    <definedName name="套综用途" localSheetId="28">#REF!</definedName>
    <definedName name="套综用途" localSheetId="23">'土地比较法-住宅、综合'!$B$75:$M$75</definedName>
    <definedName name="套综用途">#REF!</definedName>
    <definedName name="套综宗地内开发程度" localSheetId="10">#REF!</definedName>
    <definedName name="套综宗地内开发程度" localSheetId="9">#REF!</definedName>
    <definedName name="套综宗地内开发程度" localSheetId="29">#REF!</definedName>
    <definedName name="套综宗地内开发程度" localSheetId="30">#REF!</definedName>
    <definedName name="套综宗地内开发程度" localSheetId="42">#REF!</definedName>
    <definedName name="套综宗地内开发程度" localSheetId="38">#REF!</definedName>
    <definedName name="套综宗地内开发程度" localSheetId="28">#REF!</definedName>
    <definedName name="套综宗地内开发程度" localSheetId="23">'土地比较法-住宅、综合'!$B$123:$M$123</definedName>
    <definedName name="套综宗地内开发程度">#REF!</definedName>
    <definedName name="套综宗地形状" localSheetId="10">#REF!</definedName>
    <definedName name="套综宗地形状" localSheetId="9">#REF!</definedName>
    <definedName name="套综宗地形状" localSheetId="29">#REF!</definedName>
    <definedName name="套综宗地形状" localSheetId="30">#REF!</definedName>
    <definedName name="套综宗地形状" localSheetId="42">#REF!</definedName>
    <definedName name="套综宗地形状" localSheetId="38">#REF!</definedName>
    <definedName name="套综宗地形状" localSheetId="28">#REF!</definedName>
    <definedName name="套综宗地形状" localSheetId="23">'土地比较法-住宅、综合'!$B$119:$M$119</definedName>
    <definedName name="套综宗地形状">#REF!</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'比较法-办公'!$B$113:$M$113</definedName>
    <definedName name="一级">区片价!$H$1:$H$6</definedName>
    <definedName name="一修多修正项2" localSheetId="37">典型户型修正办!$5:$5</definedName>
    <definedName name="一修多修正项2" localSheetId="23">[1]典型户型修正!$5:$5</definedName>
    <definedName name="一修多修正项2">典型户型修正!$5:$5</definedName>
    <definedName name="一修多修正项3" localSheetId="37">典型户型修正办!$7:$7</definedName>
    <definedName name="一修多修正项3" localSheetId="23">[1]典型户型修正!$7:$7</definedName>
    <definedName name="一修多修正项3">典型户型修正!$7:$7</definedName>
    <definedName name="一修多修正项4" localSheetId="37">典型户型修正办!$9:$9</definedName>
    <definedName name="一修多修正项4" localSheetId="23">[1]典型户型修正!$9:$9</definedName>
    <definedName name="一修多修正项4">典型户型修正!$9:$9</definedName>
    <definedName name="一修多修正项5" localSheetId="37">典型户型修正办!$11:$11</definedName>
    <definedName name="一修多修正项5" localSheetId="23">[1]典型户型修正!$11:$11</definedName>
    <definedName name="一修多修正项5">典型户型修正!$11:$11</definedName>
    <definedName name="一修多修正项6" localSheetId="37">典型户型修正办!$13:$13</definedName>
    <definedName name="一修多修正项6" localSheetId="23">[1]典型户型修正!$13:$13</definedName>
    <definedName name="一修多修正项6">典型户型修正!$13:$13</definedName>
    <definedName name="一修多修正项7" localSheetId="37">典型户型修正办!$15:$15</definedName>
    <definedName name="一修多修正项7" localSheetId="23">[1]典型户型修正!$15:$15</definedName>
    <definedName name="一修多修正项7">典型户型修正!$15:$15</definedName>
    <definedName name="一修多修正项8" localSheetId="37">典型户型修正办!$17:$17</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91" i="9" l="1"/>
  <c r="C88" i="9"/>
  <c r="N88" i="9"/>
  <c r="N87" i="9"/>
  <c r="M88" i="9"/>
  <c r="M87" i="9"/>
  <c r="E7" i="85" l="1"/>
  <c r="C7" i="85"/>
  <c r="C68" i="85"/>
  <c r="C70" i="85"/>
  <c r="D68" i="85"/>
  <c r="D70" i="85"/>
  <c r="E68" i="85"/>
  <c r="E70" i="85"/>
  <c r="F68" i="85"/>
  <c r="F70" i="85"/>
  <c r="G68" i="85"/>
  <c r="G70" i="85"/>
  <c r="H68" i="85"/>
  <c r="H70" i="85"/>
  <c r="I68" i="85"/>
  <c r="I70" i="85"/>
  <c r="J68" i="85"/>
  <c r="J70" i="85"/>
  <c r="K68" i="85"/>
  <c r="K70" i="85"/>
  <c r="L68" i="85"/>
  <c r="L70" i="85"/>
  <c r="M68" i="85"/>
  <c r="M70" i="85"/>
  <c r="N68" i="85"/>
  <c r="N70" i="85"/>
  <c r="O68" i="85"/>
  <c r="O70" i="85"/>
  <c r="B71" i="85"/>
  <c r="F7" i="85"/>
  <c r="AA7" i="85"/>
  <c r="F10" i="85"/>
  <c r="AA10" i="85"/>
  <c r="E11" i="85"/>
  <c r="F11" i="85"/>
  <c r="AA11" i="85"/>
  <c r="R47" i="85"/>
  <c r="G7" i="85"/>
  <c r="H7" i="85"/>
  <c r="AB7" i="85"/>
  <c r="H10" i="85"/>
  <c r="AB10" i="85"/>
  <c r="G11" i="85"/>
  <c r="H11" i="85"/>
  <c r="AB11" i="85"/>
  <c r="T47" i="85"/>
  <c r="I7" i="85"/>
  <c r="J7" i="85"/>
  <c r="AC7" i="85"/>
  <c r="J10" i="85"/>
  <c r="AC10" i="85"/>
  <c r="I11" i="85"/>
  <c r="J11" i="85"/>
  <c r="AC11" i="85"/>
  <c r="V47" i="85"/>
  <c r="R48" i="85"/>
  <c r="C48" i="85"/>
  <c r="B56" i="85"/>
  <c r="C6" i="68"/>
  <c r="C7" i="68"/>
  <c r="D10" i="68"/>
  <c r="F27" i="68"/>
  <c r="C47" i="68" s="1"/>
  <c r="D45" i="68" s="1"/>
  <c r="F34" i="68"/>
  <c r="C36" i="68" s="1"/>
  <c r="D9" i="68"/>
  <c r="R6" i="1"/>
  <c r="R7" i="1"/>
  <c r="R8" i="1"/>
  <c r="R9" i="1"/>
  <c r="C31" i="94"/>
  <c r="C30" i="94"/>
  <c r="C33" i="94"/>
  <c r="B33" i="94"/>
  <c r="J33" i="94"/>
  <c r="J34" i="94" s="1"/>
  <c r="K31" i="94"/>
  <c r="K32" i="94"/>
  <c r="K30" i="9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D156" i="95"/>
  <c r="I19" i="3"/>
  <c r="BB19" i="3"/>
  <c r="BC19" i="3"/>
  <c r="BD19" i="3"/>
  <c r="BE19" i="3"/>
  <c r="BF19" i="3"/>
  <c r="BG19" i="3"/>
  <c r="BH19" i="3"/>
  <c r="BI19" i="3"/>
  <c r="BJ19" i="3"/>
  <c r="BK19" i="3"/>
  <c r="BA19" i="3"/>
  <c r="BM19" i="3"/>
  <c r="BN19" i="3"/>
  <c r="BO19" i="3"/>
  <c r="BP19" i="3"/>
  <c r="BQ19" i="3"/>
  <c r="BR19" i="3"/>
  <c r="BS19" i="3"/>
  <c r="BT19" i="3"/>
  <c r="BL19" i="3"/>
  <c r="AZ19" i="3"/>
  <c r="D157" i="95"/>
  <c r="I20" i="3"/>
  <c r="BB20" i="3"/>
  <c r="BC20" i="3"/>
  <c r="BD20" i="3"/>
  <c r="BE20" i="3"/>
  <c r="BF20" i="3"/>
  <c r="BG20" i="3"/>
  <c r="BH20" i="3"/>
  <c r="BI20" i="3"/>
  <c r="BJ20" i="3"/>
  <c r="BK20" i="3"/>
  <c r="BA20" i="3"/>
  <c r="BM20" i="3"/>
  <c r="BN20" i="3"/>
  <c r="BO20" i="3"/>
  <c r="BP20" i="3"/>
  <c r="BQ20" i="3"/>
  <c r="BR20" i="3"/>
  <c r="BS20" i="3"/>
  <c r="BT20" i="3"/>
  <c r="BL20" i="3"/>
  <c r="AZ20" i="3"/>
  <c r="D158" i="95"/>
  <c r="I21"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B157" i="83"/>
  <c r="K14" i="3"/>
  <c r="H14" i="3"/>
  <c r="AC14" i="3"/>
  <c r="G14" i="3"/>
  <c r="D161" i="95"/>
  <c r="B163" i="95"/>
  <c r="D162" i="95"/>
  <c r="M15" i="3"/>
  <c r="H15" i="3"/>
  <c r="AC15" i="3"/>
  <c r="G15" i="3"/>
  <c r="D160" i="95"/>
  <c r="O16" i="3"/>
  <c r="H16" i="3"/>
  <c r="AC16" i="3"/>
  <c r="G16" i="3"/>
  <c r="H17" i="3"/>
  <c r="B160" i="83"/>
  <c r="AL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E10" i="68"/>
  <c r="R46" i="85"/>
  <c r="D71" i="85"/>
  <c r="F8" i="85"/>
  <c r="AA8" i="85"/>
  <c r="F9" i="85"/>
  <c r="AA9" i="85"/>
  <c r="D81" i="85"/>
  <c r="E81" i="85"/>
  <c r="F81" i="85"/>
  <c r="I4" i="6"/>
  <c r="C11" i="85"/>
  <c r="B82" i="85"/>
  <c r="F12" i="85"/>
  <c r="AA12" i="85"/>
  <c r="B84" i="85"/>
  <c r="F13" i="85"/>
  <c r="AA13" i="85"/>
  <c r="B86" i="85"/>
  <c r="F14" i="85"/>
  <c r="AA14" i="85"/>
  <c r="F15" i="85"/>
  <c r="AA15" i="85"/>
  <c r="D91" i="85"/>
  <c r="E91" i="85"/>
  <c r="F17" i="85"/>
  <c r="AA17" i="85"/>
  <c r="D93" i="85"/>
  <c r="E93" i="85"/>
  <c r="F19" i="85"/>
  <c r="AA19" i="85"/>
  <c r="D95" i="85"/>
  <c r="E95" i="85"/>
  <c r="F21" i="85"/>
  <c r="AA21" i="85"/>
  <c r="D97" i="85"/>
  <c r="F23" i="85"/>
  <c r="AA23" i="85"/>
  <c r="D99" i="85"/>
  <c r="E99" i="85"/>
  <c r="F25" i="85"/>
  <c r="AA25" i="85"/>
  <c r="D101" i="85"/>
  <c r="E101" i="85"/>
  <c r="F27" i="85"/>
  <c r="AA27" i="85"/>
  <c r="F29" i="85"/>
  <c r="AA29" i="85"/>
  <c r="B104" i="85"/>
  <c r="D105" i="85"/>
  <c r="E105" i="85"/>
  <c r="F105" i="85"/>
  <c r="F31" i="85"/>
  <c r="AA31" i="85"/>
  <c r="D107" i="85"/>
  <c r="E107" i="85"/>
  <c r="F107" i="85"/>
  <c r="G107" i="85"/>
  <c r="F32" i="85"/>
  <c r="AA32" i="85"/>
  <c r="F34" i="85"/>
  <c r="AA34" i="85"/>
  <c r="B110" i="85"/>
  <c r="F35" i="85"/>
  <c r="AA35" i="85"/>
  <c r="B112" i="85"/>
  <c r="F36" i="85"/>
  <c r="AA36" i="85"/>
  <c r="B114" i="85"/>
  <c r="F37" i="85"/>
  <c r="AA37" i="85"/>
  <c r="D118" i="85"/>
  <c r="E118" i="85"/>
  <c r="C38" i="85"/>
  <c r="F38" i="85"/>
  <c r="AA38" i="85"/>
  <c r="D120" i="85"/>
  <c r="F39" i="85"/>
  <c r="AA39" i="85"/>
  <c r="D122" i="85"/>
  <c r="F40" i="85"/>
  <c r="AA40" i="85"/>
  <c r="D124" i="85"/>
  <c r="F41" i="85"/>
  <c r="AA41" i="85"/>
  <c r="D126" i="85"/>
  <c r="F42" i="85"/>
  <c r="AA42" i="85"/>
  <c r="B127" i="85"/>
  <c r="F43" i="85"/>
  <c r="AA43" i="85"/>
  <c r="B129" i="85"/>
  <c r="F44" i="85"/>
  <c r="AA44" i="85"/>
  <c r="B131" i="85"/>
  <c r="F45" i="85"/>
  <c r="AA45" i="85"/>
  <c r="T46" i="85"/>
  <c r="H8" i="85"/>
  <c r="AB8" i="85"/>
  <c r="H9" i="85"/>
  <c r="AB9" i="85"/>
  <c r="H12" i="85"/>
  <c r="AB12" i="85"/>
  <c r="H13" i="85"/>
  <c r="AB13" i="85"/>
  <c r="H14" i="85"/>
  <c r="AB14" i="85"/>
  <c r="H15" i="85"/>
  <c r="AB15" i="85"/>
  <c r="H17" i="85"/>
  <c r="AB17" i="85"/>
  <c r="H19" i="85"/>
  <c r="AB19" i="85"/>
  <c r="H21" i="85"/>
  <c r="AB21" i="85"/>
  <c r="H23" i="85"/>
  <c r="AB23" i="85"/>
  <c r="H25" i="85"/>
  <c r="AB25" i="85"/>
  <c r="H27" i="85"/>
  <c r="AB27" i="85"/>
  <c r="H29" i="85"/>
  <c r="AB29" i="85"/>
  <c r="H31" i="85"/>
  <c r="AB31" i="85"/>
  <c r="H32" i="85"/>
  <c r="AB32" i="85"/>
  <c r="H34" i="85"/>
  <c r="AB34" i="85"/>
  <c r="H35" i="85"/>
  <c r="AB35" i="85"/>
  <c r="H36" i="85"/>
  <c r="AB36" i="85"/>
  <c r="H37" i="85"/>
  <c r="AB37" i="85"/>
  <c r="F118" i="85"/>
  <c r="H38" i="85"/>
  <c r="AB38" i="85"/>
  <c r="H39" i="85"/>
  <c r="AB39" i="85"/>
  <c r="H40" i="85"/>
  <c r="AB40" i="85"/>
  <c r="H41" i="85"/>
  <c r="AB41" i="85"/>
  <c r="H42" i="85"/>
  <c r="AB42" i="85"/>
  <c r="H43" i="85"/>
  <c r="AB43" i="85"/>
  <c r="H44" i="85"/>
  <c r="AB44" i="85"/>
  <c r="H45" i="85"/>
  <c r="AB45" i="85"/>
  <c r="V46" i="85"/>
  <c r="J8" i="85"/>
  <c r="AC8" i="85"/>
  <c r="J9" i="85"/>
  <c r="AC9" i="85"/>
  <c r="J12" i="85"/>
  <c r="AC12" i="85"/>
  <c r="J13" i="85"/>
  <c r="AC13" i="85"/>
  <c r="J14" i="85"/>
  <c r="AC14" i="85"/>
  <c r="J15" i="85"/>
  <c r="AC15" i="85"/>
  <c r="J17" i="85"/>
  <c r="AC17" i="85"/>
  <c r="J19" i="85"/>
  <c r="AC19" i="85"/>
  <c r="J21" i="85"/>
  <c r="AC21" i="85"/>
  <c r="J23" i="85"/>
  <c r="AC23" i="85"/>
  <c r="J25" i="85"/>
  <c r="AC25" i="85"/>
  <c r="J27" i="85"/>
  <c r="AC27" i="85"/>
  <c r="J29" i="85"/>
  <c r="AC29" i="85"/>
  <c r="J31" i="85"/>
  <c r="AC31" i="85"/>
  <c r="J32" i="85"/>
  <c r="AC32" i="85"/>
  <c r="J34" i="85"/>
  <c r="AC34" i="85"/>
  <c r="J35" i="85"/>
  <c r="AC35" i="85"/>
  <c r="J36" i="85"/>
  <c r="AC36" i="85"/>
  <c r="J37" i="85"/>
  <c r="AC37" i="85"/>
  <c r="J38" i="85"/>
  <c r="AC38" i="85"/>
  <c r="J39" i="85"/>
  <c r="AC39" i="85"/>
  <c r="J40" i="85"/>
  <c r="AC40" i="85"/>
  <c r="J41" i="85"/>
  <c r="AC41" i="85"/>
  <c r="J42" i="85"/>
  <c r="AC42" i="85"/>
  <c r="J43" i="85"/>
  <c r="AC43" i="85"/>
  <c r="J44" i="85"/>
  <c r="AC44" i="85"/>
  <c r="J45" i="85"/>
  <c r="AC45" i="85"/>
  <c r="F20" i="6"/>
  <c r="F21" i="6"/>
  <c r="F22" i="6"/>
  <c r="BB10" i="3"/>
  <c r="BC10" i="3"/>
  <c r="BD10" i="3"/>
  <c r="BE10" i="3"/>
  <c r="BF10" i="3"/>
  <c r="BG10" i="3"/>
  <c r="BH10" i="3"/>
  <c r="BI10" i="3"/>
  <c r="BJ10" i="3"/>
  <c r="BK10" i="3"/>
  <c r="E8" i="6"/>
  <c r="F27" i="6"/>
  <c r="F7" i="68"/>
  <c r="C19" i="68"/>
  <c r="F20" i="68"/>
  <c r="D3" i="4"/>
  <c r="C1" i="73"/>
  <c r="J1" i="73"/>
  <c r="B22" i="1"/>
  <c r="E1" i="73"/>
  <c r="K1" i="73"/>
  <c r="B23" i="1"/>
  <c r="F21" i="68"/>
  <c r="C21" i="68"/>
  <c r="B24" i="1"/>
  <c r="A6" i="1"/>
  <c r="E19" i="6"/>
  <c r="K6" i="1"/>
  <c r="M6" i="1"/>
  <c r="A7" i="1"/>
  <c r="E20" i="6"/>
  <c r="K7" i="1"/>
  <c r="L7" i="1"/>
  <c r="M7" i="1"/>
  <c r="A8" i="1"/>
  <c r="E21" i="6"/>
  <c r="K8" i="1"/>
  <c r="L8" i="1"/>
  <c r="M8" i="1"/>
  <c r="A9" i="1"/>
  <c r="E22" i="6"/>
  <c r="K9" i="1"/>
  <c r="L9" i="1"/>
  <c r="M9" i="1"/>
  <c r="A10" i="1"/>
  <c r="K10" i="1"/>
  <c r="M10" i="1"/>
  <c r="A11" i="1"/>
  <c r="K11" i="1"/>
  <c r="M11" i="1"/>
  <c r="A12" i="1"/>
  <c r="K12" i="1"/>
  <c r="M12" i="1"/>
  <c r="A13" i="1"/>
  <c r="K13" i="1"/>
  <c r="M13" i="1"/>
  <c r="F28" i="6"/>
  <c r="G28" i="6"/>
  <c r="E28" i="6"/>
  <c r="K14" i="1"/>
  <c r="M14" i="1"/>
  <c r="M16" i="1"/>
  <c r="F35" i="68"/>
  <c r="B2" i="1"/>
  <c r="C42" i="1"/>
  <c r="F36" i="68"/>
  <c r="E37" i="68"/>
  <c r="F38" i="68"/>
  <c r="C40" i="68"/>
  <c r="G1" i="77"/>
  <c r="AH6" i="1"/>
  <c r="L1" i="73"/>
  <c r="B43" i="1"/>
  <c r="B41" i="1"/>
  <c r="F32" i="77"/>
  <c r="F33" i="77"/>
  <c r="B3" i="3"/>
  <c r="AY6" i="3"/>
  <c r="D3" i="6"/>
  <c r="D19" i="6"/>
  <c r="E23" i="6"/>
  <c r="E24" i="6"/>
  <c r="E25" i="6"/>
  <c r="E26" i="6"/>
  <c r="E27" i="6"/>
  <c r="K19" i="6"/>
  <c r="L19" i="6"/>
  <c r="M19" i="6"/>
  <c r="I19" i="6"/>
  <c r="H19" i="6"/>
  <c r="R19" i="6"/>
  <c r="B52" i="1"/>
  <c r="F34" i="77"/>
  <c r="S6" i="1"/>
  <c r="T6" i="1"/>
  <c r="F15" i="77"/>
  <c r="F17" i="77"/>
  <c r="F18" i="77"/>
  <c r="F20" i="77"/>
  <c r="F23" i="77"/>
  <c r="F21" i="77"/>
  <c r="F28" i="77"/>
  <c r="C28" i="77"/>
  <c r="N6" i="1"/>
  <c r="Y6" i="1"/>
  <c r="Z6" i="1"/>
  <c r="M18" i="77"/>
  <c r="M19" i="77"/>
  <c r="M20" i="77"/>
  <c r="AD6" i="1"/>
  <c r="E15" i="4"/>
  <c r="F6" i="1"/>
  <c r="M47" i="77"/>
  <c r="J50" i="77"/>
  <c r="J51" i="77"/>
  <c r="G1" i="90"/>
  <c r="AH7" i="1"/>
  <c r="F32" i="90"/>
  <c r="F33" i="90"/>
  <c r="D20" i="6"/>
  <c r="K20" i="6"/>
  <c r="L20" i="6"/>
  <c r="M20" i="6"/>
  <c r="I20" i="6"/>
  <c r="H20" i="6"/>
  <c r="R20" i="6"/>
  <c r="F34" i="90"/>
  <c r="S7" i="1"/>
  <c r="T7" i="1"/>
  <c r="F15" i="90"/>
  <c r="F17" i="90"/>
  <c r="F18" i="90"/>
  <c r="F20" i="90"/>
  <c r="F23" i="90"/>
  <c r="F21" i="90"/>
  <c r="F28" i="90"/>
  <c r="C28" i="90"/>
  <c r="N7" i="1"/>
  <c r="Y7" i="1"/>
  <c r="AL7" i="1"/>
  <c r="F7" i="1"/>
  <c r="M47" i="90"/>
  <c r="J50" i="90"/>
  <c r="J51" i="90"/>
  <c r="G1" i="96"/>
  <c r="AH8" i="1"/>
  <c r="F32" i="96"/>
  <c r="F33" i="96"/>
  <c r="D21" i="6"/>
  <c r="K21" i="6"/>
  <c r="L21" i="6"/>
  <c r="M21" i="6"/>
  <c r="I21" i="6"/>
  <c r="H21" i="6"/>
  <c r="R21" i="6"/>
  <c r="F34" i="96"/>
  <c r="S8" i="1"/>
  <c r="T8" i="1"/>
  <c r="F15" i="96"/>
  <c r="F17" i="96"/>
  <c r="F18" i="96"/>
  <c r="F20" i="96"/>
  <c r="F23" i="96"/>
  <c r="F21" i="96"/>
  <c r="F28" i="96"/>
  <c r="C28" i="96"/>
  <c r="N8" i="1"/>
  <c r="Y8" i="1"/>
  <c r="AL8" i="1"/>
  <c r="Z8" i="1"/>
  <c r="M18" i="96"/>
  <c r="M19" i="96"/>
  <c r="M20" i="96"/>
  <c r="AD8" i="1"/>
  <c r="F8" i="1"/>
  <c r="M47" i="96"/>
  <c r="J50" i="96"/>
  <c r="J51" i="96"/>
  <c r="G1" i="97"/>
  <c r="AH9" i="1"/>
  <c r="F32" i="97"/>
  <c r="F33" i="97"/>
  <c r="D22" i="6"/>
  <c r="K22" i="6"/>
  <c r="L22" i="6"/>
  <c r="M22" i="6"/>
  <c r="I22" i="6"/>
  <c r="H22" i="6"/>
  <c r="R22" i="6"/>
  <c r="F34" i="97"/>
  <c r="S9" i="1"/>
  <c r="T9" i="1"/>
  <c r="F15" i="97"/>
  <c r="F17" i="97"/>
  <c r="F18" i="97"/>
  <c r="F20" i="97"/>
  <c r="F23" i="97"/>
  <c r="F21" i="97"/>
  <c r="F28" i="97"/>
  <c r="C28" i="97"/>
  <c r="Y9" i="1"/>
  <c r="AL9" i="1"/>
  <c r="F9" i="1"/>
  <c r="M47" i="97"/>
  <c r="J50" i="97"/>
  <c r="J51" i="97"/>
  <c r="B10" i="70"/>
  <c r="B11" i="70"/>
  <c r="B12" i="70"/>
  <c r="B13" i="70"/>
  <c r="A6" i="70"/>
  <c r="A7" i="70"/>
  <c r="A8" i="70"/>
  <c r="A9" i="70"/>
  <c r="A10" i="70"/>
  <c r="A11" i="70"/>
  <c r="A12" i="70"/>
  <c r="A13" i="70"/>
  <c r="E6" i="70"/>
  <c r="E7" i="70"/>
  <c r="E8" i="70"/>
  <c r="E9" i="70"/>
  <c r="E10" i="70"/>
  <c r="E11" i="70"/>
  <c r="E12" i="70"/>
  <c r="E13" i="70"/>
  <c r="E2" i="70"/>
  <c r="I6" i="94"/>
  <c r="I22" i="94"/>
  <c r="B22" i="94"/>
  <c r="H22" i="94"/>
  <c r="H23" i="94"/>
  <c r="D89" i="9"/>
  <c r="C89" i="9"/>
  <c r="C91" i="9"/>
  <c r="D59" i="9"/>
  <c r="M55" i="9" s="1"/>
  <c r="M89" i="9"/>
  <c r="B14" i="94"/>
  <c r="B30" i="94"/>
  <c r="L87" i="9"/>
  <c r="B15" i="94"/>
  <c r="B31" i="94"/>
  <c r="L88" i="9"/>
  <c r="B23" i="94"/>
  <c r="B16" i="94"/>
  <c r="B32" i="94"/>
  <c r="L89" i="9"/>
  <c r="L90" i="9"/>
  <c r="H5" i="94"/>
  <c r="D16" i="74"/>
  <c r="D17" i="74"/>
  <c r="D15" i="74"/>
  <c r="B16" i="74"/>
  <c r="C16" i="74"/>
  <c r="B17" i="74"/>
  <c r="C17" i="74"/>
  <c r="C15" i="74"/>
  <c r="B15" i="74"/>
  <c r="G6" i="94"/>
  <c r="G22" i="94"/>
  <c r="F22" i="94"/>
  <c r="F5" i="94"/>
  <c r="F23" i="94"/>
  <c r="C14" i="94"/>
  <c r="C22" i="94"/>
  <c r="C23" i="94"/>
  <c r="C15" i="94"/>
  <c r="C16" i="94"/>
  <c r="C32" i="94"/>
  <c r="I152" i="95"/>
  <c r="J152" i="95"/>
  <c r="I23" i="94"/>
  <c r="G23" i="94"/>
  <c r="E23" i="94"/>
  <c r="D23" i="94"/>
  <c r="E22" i="94"/>
  <c r="D22" i="94"/>
  <c r="N9" i="1"/>
  <c r="N16" i="1"/>
  <c r="F50" i="68"/>
  <c r="C3" i="94"/>
  <c r="C7" i="94"/>
  <c r="B3" i="94"/>
  <c r="B7" i="94"/>
  <c r="B159" i="83"/>
  <c r="D9" i="1"/>
  <c r="K59" i="97"/>
  <c r="P74" i="97"/>
  <c r="Q72" i="97"/>
  <c r="F60" i="97"/>
  <c r="F61" i="97"/>
  <c r="F62" i="97"/>
  <c r="P61" i="97"/>
  <c r="Q59" i="97"/>
  <c r="F59" i="97"/>
  <c r="Q58" i="97"/>
  <c r="Q51" i="97"/>
  <c r="D46" i="97"/>
  <c r="F31" i="97"/>
  <c r="AG9" i="1"/>
  <c r="M18" i="97"/>
  <c r="M19" i="97"/>
  <c r="M20" i="97"/>
  <c r="D24" i="97"/>
  <c r="D23" i="97"/>
  <c r="D22" i="97"/>
  <c r="M17" i="97"/>
  <c r="D8" i="1"/>
  <c r="K59" i="96"/>
  <c r="P74" i="96"/>
  <c r="Q72" i="96"/>
  <c r="F60" i="96"/>
  <c r="F61" i="96"/>
  <c r="F62" i="96"/>
  <c r="P61" i="96"/>
  <c r="Q59" i="96"/>
  <c r="F59" i="96"/>
  <c r="Q58" i="96"/>
  <c r="Q51" i="96"/>
  <c r="D46" i="96"/>
  <c r="F31" i="96"/>
  <c r="D24" i="96"/>
  <c r="D23" i="96"/>
  <c r="D22" i="96"/>
  <c r="M17" i="96"/>
  <c r="C20" i="3"/>
  <c r="C21" i="3"/>
  <c r="C19" i="3"/>
  <c r="D163" i="95"/>
  <c r="B162" i="95"/>
  <c r="D159" i="95"/>
  <c r="D164" i="95"/>
  <c r="I116" i="95"/>
  <c r="I15" i="95"/>
  <c r="I153" i="95"/>
  <c r="B156" i="95"/>
  <c r="B159" i="95"/>
  <c r="B157" i="95"/>
  <c r="B158" i="95"/>
  <c r="B160" i="95"/>
  <c r="B161" i="95"/>
  <c r="B164" i="95"/>
  <c r="B158" i="89"/>
  <c r="B156" i="89"/>
  <c r="B153" i="89"/>
  <c r="D4" i="94"/>
  <c r="D5" i="94"/>
  <c r="D6" i="94"/>
  <c r="G118" i="85"/>
  <c r="C17" i="9"/>
  <c r="D17" i="9"/>
  <c r="C18" i="9"/>
  <c r="D18" i="9"/>
  <c r="G5" i="94"/>
  <c r="I5" i="94"/>
  <c r="E5" i="94"/>
  <c r="G4" i="94"/>
  <c r="I4" i="94"/>
  <c r="E4" i="94"/>
  <c r="E6" i="94"/>
  <c r="G15" i="74"/>
  <c r="G16" i="74"/>
  <c r="G17" i="74"/>
  <c r="I166" i="83"/>
  <c r="I167" i="83"/>
  <c r="I168" i="83"/>
  <c r="L169" i="83"/>
  <c r="G169" i="83"/>
  <c r="M19" i="9"/>
  <c r="C118" i="9"/>
  <c r="C14" i="74"/>
  <c r="B2" i="74"/>
  <c r="M18" i="9"/>
  <c r="B118" i="9"/>
  <c r="B14" i="74"/>
  <c r="B1" i="74"/>
  <c r="A13" i="92"/>
  <c r="E13" i="92"/>
  <c r="A12" i="92"/>
  <c r="E12" i="92"/>
  <c r="A11" i="92"/>
  <c r="E11" i="92"/>
  <c r="A10" i="92"/>
  <c r="E10" i="92"/>
  <c r="A9" i="92"/>
  <c r="A8" i="92"/>
  <c r="A7" i="92"/>
  <c r="E7" i="92"/>
  <c r="A6" i="92"/>
  <c r="E6" i="92"/>
  <c r="Q72" i="91"/>
  <c r="Q59" i="91"/>
  <c r="K59" i="91"/>
  <c r="P74" i="91"/>
  <c r="F59" i="91"/>
  <c r="Q58" i="91"/>
  <c r="Q51" i="91"/>
  <c r="J50" i="91"/>
  <c r="J51" i="91"/>
  <c r="M47" i="91"/>
  <c r="D46" i="91"/>
  <c r="F34" i="91"/>
  <c r="F62" i="91"/>
  <c r="F33" i="91"/>
  <c r="F61" i="91"/>
  <c r="F32" i="91"/>
  <c r="F60" i="91"/>
  <c r="F31" i="91"/>
  <c r="F28" i="91"/>
  <c r="C28" i="91"/>
  <c r="F23" i="91"/>
  <c r="D23" i="91"/>
  <c r="F21" i="91"/>
  <c r="M20" i="91"/>
  <c r="F20" i="91"/>
  <c r="M19" i="91"/>
  <c r="M18" i="91"/>
  <c r="F18" i="91"/>
  <c r="M17" i="91"/>
  <c r="F17" i="91"/>
  <c r="F15" i="91"/>
  <c r="G1" i="91"/>
  <c r="Y10" i="1"/>
  <c r="Y11" i="1"/>
  <c r="Q72" i="90"/>
  <c r="Q59" i="90"/>
  <c r="K59" i="90"/>
  <c r="P74" i="90"/>
  <c r="F59" i="90"/>
  <c r="Q58" i="90"/>
  <c r="Q51" i="90"/>
  <c r="D46" i="90"/>
  <c r="F62" i="90"/>
  <c r="F61" i="90"/>
  <c r="F60" i="90"/>
  <c r="F31" i="90"/>
  <c r="D23" i="90"/>
  <c r="M20" i="90"/>
  <c r="M19" i="90"/>
  <c r="M18" i="90"/>
  <c r="M17" i="90"/>
  <c r="D24" i="91"/>
  <c r="P61" i="91"/>
  <c r="D22" i="91"/>
  <c r="P61" i="90"/>
  <c r="D24" i="90"/>
  <c r="D22" i="90"/>
  <c r="AG7" i="1"/>
  <c r="D7" i="1"/>
  <c r="D169" i="83"/>
  <c r="I3" i="66"/>
  <c r="I4" i="66"/>
  <c r="I5" i="66"/>
  <c r="I6" i="66"/>
  <c r="I7" i="66"/>
  <c r="I8" i="66"/>
  <c r="I9" i="66"/>
  <c r="I10" i="66"/>
  <c r="C28" i="66"/>
  <c r="D12" i="66"/>
  <c r="I12" i="66"/>
  <c r="I13" i="66"/>
  <c r="I14" i="66"/>
  <c r="I15" i="66"/>
  <c r="F17" i="66"/>
  <c r="I17" i="66"/>
  <c r="I18" i="66"/>
  <c r="I19" i="66"/>
  <c r="I20" i="66"/>
  <c r="C29" i="66"/>
  <c r="C27" i="66"/>
  <c r="C31" i="66"/>
  <c r="I21" i="66"/>
  <c r="N14" i="66"/>
  <c r="N15" i="66"/>
  <c r="B153" i="83"/>
  <c r="B158" i="83"/>
  <c r="G169" i="89"/>
  <c r="I150" i="89"/>
  <c r="D169" i="89"/>
  <c r="I168" i="89"/>
  <c r="I167" i="89"/>
  <c r="I166" i="89"/>
  <c r="B160" i="89"/>
  <c r="B159" i="89"/>
  <c r="B157" i="89"/>
  <c r="C168" i="89"/>
  <c r="E168" i="89"/>
  <c r="B155" i="89"/>
  <c r="C167" i="89"/>
  <c r="B154" i="89"/>
  <c r="C166" i="89"/>
  <c r="B161" i="89"/>
  <c r="C165" i="89"/>
  <c r="I169" i="89"/>
  <c r="C169" i="89"/>
  <c r="E165" i="89"/>
  <c r="E169" i="89"/>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C29" i="35"/>
  <c r="D49" i="35"/>
  <c r="E49" i="35"/>
  <c r="F49" i="35"/>
  <c r="A120" i="88"/>
  <c r="S2" i="4"/>
  <c r="A118" i="88"/>
  <c r="E111" i="88"/>
  <c r="H111" i="88"/>
  <c r="D126" i="88"/>
  <c r="D127" i="88"/>
  <c r="A126" i="88"/>
  <c r="E109" i="88"/>
  <c r="A124" i="88"/>
  <c r="E107" i="88"/>
  <c r="A122" i="88"/>
  <c r="H106" i="88"/>
  <c r="H105" i="88"/>
  <c r="H103" i="88"/>
  <c r="D120" i="88"/>
  <c r="H104" i="88"/>
  <c r="D101" i="88"/>
  <c r="C101" i="88"/>
  <c r="D93" i="88"/>
  <c r="C91" i="88"/>
  <c r="E90" i="88"/>
  <c r="D89" i="88"/>
  <c r="C89" i="88"/>
  <c r="C87" i="88"/>
  <c r="D78" i="88"/>
  <c r="H77" i="88"/>
  <c r="D77" i="88"/>
  <c r="C77" i="88"/>
  <c r="C76" i="88"/>
  <c r="D68" i="88"/>
  <c r="F59" i="88"/>
  <c r="E59" i="88"/>
  <c r="D59" i="88"/>
  <c r="K6" i="4"/>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M47" i="88"/>
  <c r="F33" i="88"/>
  <c r="D27" i="88"/>
  <c r="C25" i="88"/>
  <c r="C24" i="88"/>
  <c r="D17" i="88"/>
  <c r="C17" i="88"/>
  <c r="L4" i="88"/>
  <c r="K4" i="88"/>
  <c r="A2" i="88"/>
  <c r="H1" i="88"/>
  <c r="Q72" i="87"/>
  <c r="Q59" i="87"/>
  <c r="K59" i="87"/>
  <c r="P74" i="87"/>
  <c r="F59" i="87"/>
  <c r="Q58" i="87"/>
  <c r="Q51" i="87"/>
  <c r="J50" i="87"/>
  <c r="J51" i="87"/>
  <c r="M47" i="87"/>
  <c r="D46" i="87"/>
  <c r="F34" i="87"/>
  <c r="F62" i="87"/>
  <c r="F33" i="87"/>
  <c r="F61" i="87"/>
  <c r="F32" i="87"/>
  <c r="F60" i="87"/>
  <c r="F31" i="87"/>
  <c r="F28" i="87"/>
  <c r="C28" i="87"/>
  <c r="F23" i="87"/>
  <c r="D24" i="87"/>
  <c r="F21" i="87"/>
  <c r="M20" i="87"/>
  <c r="F20" i="87"/>
  <c r="M19" i="87"/>
  <c r="M18" i="87"/>
  <c r="F18" i="87"/>
  <c r="M17" i="87"/>
  <c r="F17" i="87"/>
  <c r="F15" i="87"/>
  <c r="C18" i="88"/>
  <c r="D18" i="88"/>
  <c r="D22" i="87"/>
  <c r="D23" i="87"/>
  <c r="C74" i="88"/>
  <c r="C92" i="88"/>
  <c r="C94" i="88"/>
  <c r="K120" i="88"/>
  <c r="D121" i="88"/>
  <c r="P61" i="87"/>
  <c r="H109" i="88"/>
  <c r="H112" i="88"/>
  <c r="C165" i="83"/>
  <c r="B156" i="83"/>
  <c r="B155" i="83"/>
  <c r="B154" i="83"/>
  <c r="G41" i="86"/>
  <c r="F38" i="86"/>
  <c r="E37" i="86"/>
  <c r="F36" i="86"/>
  <c r="F35" i="86"/>
  <c r="F34" i="86"/>
  <c r="F30" i="86"/>
  <c r="C48" i="86"/>
  <c r="G22" i="86"/>
  <c r="F21" i="86"/>
  <c r="C40" i="86"/>
  <c r="C21" i="86"/>
  <c r="F20" i="86"/>
  <c r="B31" i="1"/>
  <c r="E19" i="86"/>
  <c r="C19" i="86"/>
  <c r="E10" i="86"/>
  <c r="E9" i="86"/>
  <c r="F7" i="86"/>
  <c r="C25" i="85"/>
  <c r="C21" i="85"/>
  <c r="C19" i="85"/>
  <c r="C17" i="85"/>
  <c r="I5" i="85"/>
  <c r="G5" i="85"/>
  <c r="E5" i="85"/>
  <c r="E126" i="85"/>
  <c r="F126" i="85"/>
  <c r="G126" i="85"/>
  <c r="H126" i="85"/>
  <c r="I126" i="85"/>
  <c r="J126" i="85"/>
  <c r="K126" i="85"/>
  <c r="L126" i="85"/>
  <c r="M126" i="85"/>
  <c r="E124" i="85"/>
  <c r="F124" i="85"/>
  <c r="G124" i="85"/>
  <c r="H124" i="85"/>
  <c r="I124" i="85"/>
  <c r="J124" i="85"/>
  <c r="K124" i="85"/>
  <c r="L124" i="85"/>
  <c r="M124" i="85"/>
  <c r="E122" i="85"/>
  <c r="F122" i="85"/>
  <c r="G122" i="85"/>
  <c r="H122" i="85"/>
  <c r="I122" i="85"/>
  <c r="J122" i="85"/>
  <c r="K122" i="85"/>
  <c r="L122" i="85"/>
  <c r="M122" i="85"/>
  <c r="E120" i="85"/>
  <c r="F120" i="85"/>
  <c r="G120" i="85"/>
  <c r="H120" i="85"/>
  <c r="I120" i="85"/>
  <c r="J120" i="85"/>
  <c r="K120" i="85"/>
  <c r="L120" i="85"/>
  <c r="M120" i="85"/>
  <c r="M116" i="85"/>
  <c r="L116" i="85"/>
  <c r="K116" i="85"/>
  <c r="J116" i="85"/>
  <c r="I116" i="85"/>
  <c r="H116" i="85"/>
  <c r="G116" i="85"/>
  <c r="F116" i="85"/>
  <c r="E116" i="85"/>
  <c r="D116" i="85"/>
  <c r="C116" i="85"/>
  <c r="D109" i="85"/>
  <c r="E109" i="85"/>
  <c r="F109" i="85"/>
  <c r="G109" i="85"/>
  <c r="H109" i="85"/>
  <c r="I109" i="85"/>
  <c r="J109" i="85"/>
  <c r="K109" i="85"/>
  <c r="L109" i="85"/>
  <c r="M109" i="85"/>
  <c r="H107" i="85"/>
  <c r="I107" i="85"/>
  <c r="J107" i="85"/>
  <c r="K107" i="85"/>
  <c r="L107" i="85"/>
  <c r="M107" i="85"/>
  <c r="G105" i="85"/>
  <c r="H105" i="85"/>
  <c r="I105" i="85"/>
  <c r="J105" i="85"/>
  <c r="K105" i="85"/>
  <c r="L105" i="85"/>
  <c r="M105" i="85"/>
  <c r="D103" i="85"/>
  <c r="E103" i="85"/>
  <c r="F103" i="85"/>
  <c r="G103" i="85"/>
  <c r="F101" i="85"/>
  <c r="G101" i="85"/>
  <c r="F99" i="85"/>
  <c r="G99" i="85"/>
  <c r="E97" i="85"/>
  <c r="F97" i="85"/>
  <c r="G97" i="85"/>
  <c r="F95" i="85"/>
  <c r="G95" i="85"/>
  <c r="F93" i="85"/>
  <c r="G93" i="85"/>
  <c r="F91" i="85"/>
  <c r="G91" i="85"/>
  <c r="D89" i="85"/>
  <c r="E89" i="85"/>
  <c r="F89" i="85"/>
  <c r="G89" i="85"/>
  <c r="G81" i="85"/>
  <c r="H81" i="85"/>
  <c r="I81" i="85"/>
  <c r="J81" i="85"/>
  <c r="K81" i="85"/>
  <c r="L81" i="85"/>
  <c r="M81" i="85"/>
  <c r="M79" i="85"/>
  <c r="L79" i="85"/>
  <c r="K79" i="85"/>
  <c r="J79" i="85"/>
  <c r="I79" i="85"/>
  <c r="H79" i="85"/>
  <c r="G79" i="85"/>
  <c r="F79" i="85"/>
  <c r="E79" i="85"/>
  <c r="D79" i="85"/>
  <c r="C79" i="85"/>
  <c r="H65" i="85"/>
  <c r="I65" i="85"/>
  <c r="C65" i="85"/>
  <c r="E65" i="85"/>
  <c r="H64" i="85"/>
  <c r="I64" i="85"/>
  <c r="C64" i="85"/>
  <c r="E64" i="85"/>
  <c r="H63" i="85"/>
  <c r="I63" i="85"/>
  <c r="C63" i="85"/>
  <c r="E63" i="85"/>
  <c r="H62" i="85"/>
  <c r="I62" i="85"/>
  <c r="C62" i="85"/>
  <c r="E62" i="85"/>
  <c r="H61" i="85"/>
  <c r="I61" i="85"/>
  <c r="C61" i="85"/>
  <c r="E61" i="85"/>
  <c r="H60" i="85"/>
  <c r="I60" i="85"/>
  <c r="C60" i="85"/>
  <c r="H59" i="85"/>
  <c r="I59" i="85"/>
  <c r="C59" i="85"/>
  <c r="H58" i="85"/>
  <c r="I58" i="85"/>
  <c r="C58" i="85"/>
  <c r="H57" i="85"/>
  <c r="I57" i="85"/>
  <c r="C57" i="85"/>
  <c r="E56" i="85"/>
  <c r="E66" i="85"/>
  <c r="J55" i="85"/>
  <c r="I53" i="85"/>
  <c r="J53" i="85"/>
  <c r="G53" i="85"/>
  <c r="H53" i="85"/>
  <c r="E53" i="85"/>
  <c r="F53" i="85"/>
  <c r="P48" i="85"/>
  <c r="P47" i="85"/>
  <c r="P46" i="85"/>
  <c r="Q45" i="85"/>
  <c r="Z45" i="85"/>
  <c r="Q44" i="85"/>
  <c r="Z44" i="85"/>
  <c r="Q43" i="85"/>
  <c r="Z43" i="85"/>
  <c r="Q42" i="85"/>
  <c r="Z42" i="85"/>
  <c r="Q41" i="85"/>
  <c r="Z41" i="85"/>
  <c r="Q40" i="85"/>
  <c r="Z40" i="85"/>
  <c r="Q39" i="85"/>
  <c r="Z39" i="85"/>
  <c r="Q38" i="85"/>
  <c r="Z38" i="85"/>
  <c r="Q37" i="85"/>
  <c r="Z37" i="85"/>
  <c r="Q36" i="85"/>
  <c r="Z36" i="85"/>
  <c r="Q35" i="85"/>
  <c r="Z35" i="85"/>
  <c r="Q34" i="85"/>
  <c r="Z34" i="85"/>
  <c r="Q32" i="85"/>
  <c r="Z32" i="85"/>
  <c r="Q31" i="85"/>
  <c r="Z31" i="85"/>
  <c r="Q29" i="85"/>
  <c r="Z29" i="85"/>
  <c r="C29" i="85"/>
  <c r="Q27" i="85"/>
  <c r="Z27" i="85"/>
  <c r="C27" i="85"/>
  <c r="Q25" i="85"/>
  <c r="Z25" i="85"/>
  <c r="Q23" i="85"/>
  <c r="Z23" i="85"/>
  <c r="C23" i="85"/>
  <c r="W21" i="85"/>
  <c r="Q21" i="85"/>
  <c r="Z21" i="85"/>
  <c r="Q19" i="85"/>
  <c r="Z19" i="85"/>
  <c r="Q17" i="85"/>
  <c r="Z17" i="85"/>
  <c r="Q15" i="85"/>
  <c r="Z15" i="85"/>
  <c r="C15" i="85"/>
  <c r="Q14" i="85"/>
  <c r="Z14" i="85"/>
  <c r="Q13" i="85"/>
  <c r="Z13" i="85"/>
  <c r="Q12" i="85"/>
  <c r="Z12" i="85"/>
  <c r="Q11" i="85"/>
  <c r="Z11" i="85"/>
  <c r="Q10" i="85"/>
  <c r="Z10" i="85"/>
  <c r="Q9" i="85"/>
  <c r="Z9" i="85"/>
  <c r="W8" i="85"/>
  <c r="S8" i="85"/>
  <c r="U8" i="85"/>
  <c r="D124" i="88"/>
  <c r="D125" i="88"/>
  <c r="H110" i="88"/>
  <c r="C30" i="86"/>
  <c r="S15" i="85"/>
  <c r="W15" i="85"/>
  <c r="S17" i="85"/>
  <c r="W17" i="85"/>
  <c r="S19" i="85"/>
  <c r="W19" i="85"/>
  <c r="S21" i="85"/>
  <c r="W23"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U7" i="85"/>
  <c r="W7" i="85"/>
  <c r="S7" i="85"/>
  <c r="B25" i="31"/>
  <c r="B26" i="31"/>
  <c r="B27" i="31"/>
  <c r="B28" i="31"/>
  <c r="B29" i="31"/>
  <c r="B30" i="31"/>
  <c r="B31" i="31"/>
  <c r="B32" i="31"/>
  <c r="B33" i="31"/>
  <c r="B24" i="31"/>
  <c r="A25" i="31"/>
  <c r="A26" i="31"/>
  <c r="A27" i="31"/>
  <c r="A28" i="31"/>
  <c r="A29" i="31"/>
  <c r="A30" i="31"/>
  <c r="A31" i="31"/>
  <c r="A32" i="31"/>
  <c r="A33" i="31"/>
  <c r="A24" i="31"/>
  <c r="C33" i="33"/>
  <c r="E165" i="83"/>
  <c r="C168" i="83"/>
  <c r="E168" i="83"/>
  <c r="M169" i="83"/>
  <c r="B161" i="83"/>
  <c r="C167" i="83"/>
  <c r="C166" i="83"/>
  <c r="B7" i="4"/>
  <c r="I150" i="83"/>
  <c r="E169" i="83"/>
  <c r="C169" i="83"/>
  <c r="I169" i="83"/>
  <c r="D104" i="33"/>
  <c r="E104" i="33"/>
  <c r="F104" i="33"/>
  <c r="G104" i="33"/>
  <c r="H104" i="33"/>
  <c r="I104" i="33"/>
  <c r="J104" i="33"/>
  <c r="J4" i="31"/>
  <c r="D4" i="31"/>
  <c r="E4" i="31"/>
  <c r="F4" i="31"/>
  <c r="G4" i="31"/>
  <c r="H4" i="31"/>
  <c r="I4" i="31"/>
  <c r="C4" i="3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18" i="82"/>
  <c r="C4" i="82"/>
  <c r="D4" i="82"/>
  <c r="E4" i="82"/>
  <c r="F4" i="82"/>
  <c r="G4" i="82"/>
  <c r="H4" i="82"/>
  <c r="I4" i="82"/>
  <c r="F5" i="82"/>
  <c r="E5" i="82"/>
  <c r="D5" i="82"/>
  <c r="C5" i="82"/>
  <c r="B5" i="82"/>
  <c r="K17" i="34"/>
  <c r="R524" i="82"/>
  <c r="S524" i="82"/>
  <c r="O524" i="82"/>
  <c r="M524" i="82"/>
  <c r="K524" i="82"/>
  <c r="C524" i="82"/>
  <c r="R523" i="82"/>
  <c r="S523" i="82"/>
  <c r="O523" i="82"/>
  <c r="M523" i="82"/>
  <c r="K523" i="82"/>
  <c r="C523" i="82"/>
  <c r="R522" i="82"/>
  <c r="S522" i="82"/>
  <c r="O522" i="82"/>
  <c r="M522" i="82"/>
  <c r="K522" i="82"/>
  <c r="C522" i="82"/>
  <c r="R521" i="82"/>
  <c r="S521" i="82"/>
  <c r="O521" i="82"/>
  <c r="M521" i="82"/>
  <c r="K521" i="82"/>
  <c r="C521" i="82"/>
  <c r="R520" i="82"/>
  <c r="S520" i="82"/>
  <c r="O520" i="82"/>
  <c r="M520" i="82"/>
  <c r="K520" i="82"/>
  <c r="C520" i="82"/>
  <c r="R519" i="82"/>
  <c r="S519" i="82"/>
  <c r="O519" i="82"/>
  <c r="M519" i="82"/>
  <c r="K519" i="82"/>
  <c r="C519" i="82"/>
  <c r="R518" i="82"/>
  <c r="S518" i="82"/>
  <c r="O518" i="82"/>
  <c r="M518" i="82"/>
  <c r="K518" i="82"/>
  <c r="C518" i="82"/>
  <c r="R517" i="82"/>
  <c r="S517" i="82"/>
  <c r="O517" i="82"/>
  <c r="M517" i="82"/>
  <c r="K517" i="82"/>
  <c r="C517" i="82"/>
  <c r="R516" i="82"/>
  <c r="S516" i="82"/>
  <c r="O516" i="82"/>
  <c r="M516" i="82"/>
  <c r="K516" i="82"/>
  <c r="C516" i="82"/>
  <c r="R515" i="82"/>
  <c r="S515" i="82"/>
  <c r="O515" i="82"/>
  <c r="M515" i="82"/>
  <c r="K515" i="82"/>
  <c r="C515" i="82"/>
  <c r="R514" i="82"/>
  <c r="S514" i="82"/>
  <c r="O514" i="82"/>
  <c r="M514" i="82"/>
  <c r="K514" i="82"/>
  <c r="C514" i="82"/>
  <c r="R513" i="82"/>
  <c r="S513" i="82"/>
  <c r="O513" i="82"/>
  <c r="M513" i="82"/>
  <c r="K513" i="82"/>
  <c r="C513" i="82"/>
  <c r="R512" i="82"/>
  <c r="S512" i="82"/>
  <c r="O512" i="82"/>
  <c r="M512" i="82"/>
  <c r="K512" i="82"/>
  <c r="C512" i="82"/>
  <c r="R511" i="82"/>
  <c r="S511" i="82"/>
  <c r="O511" i="82"/>
  <c r="M511" i="82"/>
  <c r="K511" i="82"/>
  <c r="C511" i="82"/>
  <c r="R510" i="82"/>
  <c r="S510" i="82"/>
  <c r="O510" i="82"/>
  <c r="M510" i="82"/>
  <c r="K510" i="82"/>
  <c r="C510" i="82"/>
  <c r="R509" i="82"/>
  <c r="S509" i="82"/>
  <c r="O509" i="82"/>
  <c r="M509" i="82"/>
  <c r="K509" i="82"/>
  <c r="C509" i="82"/>
  <c r="R508" i="82"/>
  <c r="S508" i="82"/>
  <c r="O508" i="82"/>
  <c r="M508" i="82"/>
  <c r="K508" i="82"/>
  <c r="C508" i="82"/>
  <c r="R507" i="82"/>
  <c r="S507" i="82"/>
  <c r="O507" i="82"/>
  <c r="M507" i="82"/>
  <c r="K507" i="82"/>
  <c r="C507" i="82"/>
  <c r="R506" i="82"/>
  <c r="S506" i="82"/>
  <c r="O506" i="82"/>
  <c r="M506" i="82"/>
  <c r="K506" i="82"/>
  <c r="C506" i="82"/>
  <c r="R505" i="82"/>
  <c r="S505" i="82"/>
  <c r="O505" i="82"/>
  <c r="M505" i="82"/>
  <c r="K505" i="82"/>
  <c r="C505" i="82"/>
  <c r="R504" i="82"/>
  <c r="S504" i="82"/>
  <c r="O504" i="82"/>
  <c r="M504" i="82"/>
  <c r="K504" i="82"/>
  <c r="C504" i="82"/>
  <c r="R503" i="82"/>
  <c r="S503" i="82"/>
  <c r="O503" i="82"/>
  <c r="M503" i="82"/>
  <c r="K503" i="82"/>
  <c r="C503" i="82"/>
  <c r="R502" i="82"/>
  <c r="S502" i="82"/>
  <c r="O502" i="82"/>
  <c r="M502" i="82"/>
  <c r="K502" i="82"/>
  <c r="C502" i="82"/>
  <c r="R501" i="82"/>
  <c r="S501" i="82"/>
  <c r="O501" i="82"/>
  <c r="M501" i="82"/>
  <c r="K501" i="82"/>
  <c r="C501" i="82"/>
  <c r="R500" i="82"/>
  <c r="S500" i="82"/>
  <c r="O500" i="82"/>
  <c r="M500" i="82"/>
  <c r="K500" i="82"/>
  <c r="C500" i="82"/>
  <c r="R499" i="82"/>
  <c r="S499" i="82"/>
  <c r="O499" i="82"/>
  <c r="M499" i="82"/>
  <c r="K499" i="82"/>
  <c r="C499" i="82"/>
  <c r="R498" i="82"/>
  <c r="S498" i="82"/>
  <c r="O498" i="82"/>
  <c r="M498" i="82"/>
  <c r="K498" i="82"/>
  <c r="C498" i="82"/>
  <c r="R497" i="82"/>
  <c r="S497" i="82"/>
  <c r="O497" i="82"/>
  <c r="M497" i="82"/>
  <c r="K497" i="82"/>
  <c r="C497" i="82"/>
  <c r="R496" i="82"/>
  <c r="S496" i="82"/>
  <c r="O496" i="82"/>
  <c r="M496" i="82"/>
  <c r="K496" i="82"/>
  <c r="C496" i="82"/>
  <c r="R495" i="82"/>
  <c r="S495" i="82"/>
  <c r="O495" i="82"/>
  <c r="M495" i="82"/>
  <c r="K495" i="82"/>
  <c r="C495" i="82"/>
  <c r="R494" i="82"/>
  <c r="S494" i="82"/>
  <c r="O494" i="82"/>
  <c r="M494" i="82"/>
  <c r="K494" i="82"/>
  <c r="C494" i="82"/>
  <c r="R493" i="82"/>
  <c r="S493" i="82"/>
  <c r="O493" i="82"/>
  <c r="M493" i="82"/>
  <c r="K493" i="82"/>
  <c r="C493" i="82"/>
  <c r="R492" i="82"/>
  <c r="S492" i="82"/>
  <c r="O492" i="82"/>
  <c r="M492" i="82"/>
  <c r="K492" i="82"/>
  <c r="C492" i="82"/>
  <c r="R491" i="82"/>
  <c r="S491" i="82"/>
  <c r="O491" i="82"/>
  <c r="M491" i="82"/>
  <c r="K491" i="82"/>
  <c r="C491" i="82"/>
  <c r="R490" i="82"/>
  <c r="S490" i="82"/>
  <c r="O490" i="82"/>
  <c r="M490" i="82"/>
  <c r="K490" i="82"/>
  <c r="C490" i="82"/>
  <c r="R489" i="82"/>
  <c r="S489" i="82"/>
  <c r="O489" i="82"/>
  <c r="M489" i="82"/>
  <c r="K489" i="82"/>
  <c r="C489" i="82"/>
  <c r="R488" i="82"/>
  <c r="S488" i="82"/>
  <c r="O488" i="82"/>
  <c r="M488" i="82"/>
  <c r="K488" i="82"/>
  <c r="C488" i="82"/>
  <c r="R487" i="82"/>
  <c r="S487" i="82"/>
  <c r="O487" i="82"/>
  <c r="M487" i="82"/>
  <c r="K487" i="82"/>
  <c r="C487" i="82"/>
  <c r="R486" i="82"/>
  <c r="S486" i="82"/>
  <c r="O486" i="82"/>
  <c r="M486" i="82"/>
  <c r="K486" i="82"/>
  <c r="C486" i="82"/>
  <c r="R485" i="82"/>
  <c r="S485" i="82"/>
  <c r="O485" i="82"/>
  <c r="M485" i="82"/>
  <c r="K485" i="82"/>
  <c r="C485" i="82"/>
  <c r="R484" i="82"/>
  <c r="S484" i="82"/>
  <c r="O484" i="82"/>
  <c r="M484" i="82"/>
  <c r="K484" i="82"/>
  <c r="C484" i="82"/>
  <c r="R483" i="82"/>
  <c r="S483" i="82"/>
  <c r="O483" i="82"/>
  <c r="M483" i="82"/>
  <c r="K483" i="82"/>
  <c r="C483" i="82"/>
  <c r="R482" i="82"/>
  <c r="S482" i="82"/>
  <c r="O482" i="82"/>
  <c r="M482" i="82"/>
  <c r="K482" i="82"/>
  <c r="C482" i="82"/>
  <c r="R481" i="82"/>
  <c r="S481" i="82"/>
  <c r="O481" i="82"/>
  <c r="M481" i="82"/>
  <c r="K481" i="82"/>
  <c r="C481" i="82"/>
  <c r="R480" i="82"/>
  <c r="S480" i="82"/>
  <c r="O480" i="82"/>
  <c r="M480" i="82"/>
  <c r="K480" i="82"/>
  <c r="C480" i="82"/>
  <c r="R479" i="82"/>
  <c r="S479" i="82"/>
  <c r="O479" i="82"/>
  <c r="M479" i="82"/>
  <c r="K479" i="82"/>
  <c r="C479" i="82"/>
  <c r="R478" i="82"/>
  <c r="S478" i="82"/>
  <c r="O478" i="82"/>
  <c r="M478" i="82"/>
  <c r="K478" i="82"/>
  <c r="C478" i="82"/>
  <c r="R477" i="82"/>
  <c r="S477" i="82"/>
  <c r="O477" i="82"/>
  <c r="M477" i="82"/>
  <c r="K477" i="82"/>
  <c r="C477" i="82"/>
  <c r="R476" i="82"/>
  <c r="S476" i="82"/>
  <c r="O476" i="82"/>
  <c r="M476" i="82"/>
  <c r="K476" i="82"/>
  <c r="C476" i="82"/>
  <c r="R475" i="82"/>
  <c r="S475" i="82"/>
  <c r="O475" i="82"/>
  <c r="M475" i="82"/>
  <c r="K475" i="82"/>
  <c r="C475" i="82"/>
  <c r="R474" i="82"/>
  <c r="S474" i="82"/>
  <c r="O474" i="82"/>
  <c r="M474" i="82"/>
  <c r="K474" i="82"/>
  <c r="C474" i="82"/>
  <c r="R473" i="82"/>
  <c r="S473" i="82"/>
  <c r="O473" i="82"/>
  <c r="M473" i="82"/>
  <c r="K473" i="82"/>
  <c r="C473" i="82"/>
  <c r="R472" i="82"/>
  <c r="S472" i="82"/>
  <c r="O472" i="82"/>
  <c r="M472" i="82"/>
  <c r="K472" i="82"/>
  <c r="C472" i="82"/>
  <c r="R471" i="82"/>
  <c r="S471" i="82"/>
  <c r="O471" i="82"/>
  <c r="M471" i="82"/>
  <c r="K471" i="82"/>
  <c r="C471" i="82"/>
  <c r="R470" i="82"/>
  <c r="S470" i="82"/>
  <c r="O470" i="82"/>
  <c r="M470" i="82"/>
  <c r="K470" i="82"/>
  <c r="C470" i="82"/>
  <c r="R469" i="82"/>
  <c r="S469" i="82"/>
  <c r="O469" i="82"/>
  <c r="M469" i="82"/>
  <c r="K469" i="82"/>
  <c r="C469" i="82"/>
  <c r="R468" i="82"/>
  <c r="S468" i="82"/>
  <c r="O468" i="82"/>
  <c r="M468" i="82"/>
  <c r="K468" i="82"/>
  <c r="C468" i="82"/>
  <c r="R467" i="82"/>
  <c r="S467" i="82"/>
  <c r="O467" i="82"/>
  <c r="M467" i="82"/>
  <c r="K467" i="82"/>
  <c r="C467" i="82"/>
  <c r="R466" i="82"/>
  <c r="S466" i="82"/>
  <c r="O466" i="82"/>
  <c r="M466" i="82"/>
  <c r="K466" i="82"/>
  <c r="C466" i="82"/>
  <c r="R465" i="82"/>
  <c r="S465" i="82"/>
  <c r="O465" i="82"/>
  <c r="M465" i="82"/>
  <c r="K465" i="82"/>
  <c r="C465" i="82"/>
  <c r="R464" i="82"/>
  <c r="S464" i="82"/>
  <c r="O464" i="82"/>
  <c r="M464" i="82"/>
  <c r="K464" i="82"/>
  <c r="C464" i="82"/>
  <c r="R463" i="82"/>
  <c r="S463" i="82"/>
  <c r="O463" i="82"/>
  <c r="M463" i="82"/>
  <c r="K463" i="82"/>
  <c r="C463" i="82"/>
  <c r="R462" i="82"/>
  <c r="S462" i="82"/>
  <c r="O462" i="82"/>
  <c r="M462" i="82"/>
  <c r="K462" i="82"/>
  <c r="C462" i="82"/>
  <c r="R461" i="82"/>
  <c r="S461" i="82"/>
  <c r="O461" i="82"/>
  <c r="M461" i="82"/>
  <c r="K461" i="82"/>
  <c r="C461" i="82"/>
  <c r="R460" i="82"/>
  <c r="S460" i="82"/>
  <c r="O460" i="82"/>
  <c r="M460" i="82"/>
  <c r="K460" i="82"/>
  <c r="C460" i="82"/>
  <c r="R459" i="82"/>
  <c r="S459" i="82"/>
  <c r="O459" i="82"/>
  <c r="M459" i="82"/>
  <c r="K459" i="82"/>
  <c r="C459" i="82"/>
  <c r="R458" i="82"/>
  <c r="S458" i="82"/>
  <c r="O458" i="82"/>
  <c r="M458" i="82"/>
  <c r="K458" i="82"/>
  <c r="C458" i="82"/>
  <c r="R457" i="82"/>
  <c r="S457" i="82"/>
  <c r="O457" i="82"/>
  <c r="M457" i="82"/>
  <c r="K457" i="82"/>
  <c r="C457" i="82"/>
  <c r="R456" i="82"/>
  <c r="S456" i="82"/>
  <c r="O456" i="82"/>
  <c r="M456" i="82"/>
  <c r="K456" i="82"/>
  <c r="C456" i="82"/>
  <c r="R455" i="82"/>
  <c r="S455" i="82"/>
  <c r="O455" i="82"/>
  <c r="M455" i="82"/>
  <c r="K455" i="82"/>
  <c r="C455" i="82"/>
  <c r="R454" i="82"/>
  <c r="S454" i="82"/>
  <c r="O454" i="82"/>
  <c r="M454" i="82"/>
  <c r="K454" i="82"/>
  <c r="C454" i="82"/>
  <c r="R453" i="82"/>
  <c r="S453" i="82"/>
  <c r="O453" i="82"/>
  <c r="M453" i="82"/>
  <c r="K453" i="82"/>
  <c r="C453" i="82"/>
  <c r="R452" i="82"/>
  <c r="S452" i="82"/>
  <c r="O452" i="82"/>
  <c r="M452" i="82"/>
  <c r="K452" i="82"/>
  <c r="C452" i="82"/>
  <c r="R451" i="82"/>
  <c r="S451" i="82"/>
  <c r="O451" i="82"/>
  <c r="M451" i="82"/>
  <c r="K451" i="82"/>
  <c r="C451" i="82"/>
  <c r="R450" i="82"/>
  <c r="S450" i="82"/>
  <c r="O450" i="82"/>
  <c r="M450" i="82"/>
  <c r="K450" i="82"/>
  <c r="C450" i="82"/>
  <c r="R449" i="82"/>
  <c r="S449" i="82"/>
  <c r="O449" i="82"/>
  <c r="M449" i="82"/>
  <c r="K449" i="82"/>
  <c r="C449" i="82"/>
  <c r="R448" i="82"/>
  <c r="S448" i="82"/>
  <c r="O448" i="82"/>
  <c r="M448" i="82"/>
  <c r="K448" i="82"/>
  <c r="C448" i="82"/>
  <c r="R447" i="82"/>
  <c r="S447" i="82"/>
  <c r="O447" i="82"/>
  <c r="M447" i="82"/>
  <c r="K447" i="82"/>
  <c r="C447" i="82"/>
  <c r="R446" i="82"/>
  <c r="S446" i="82"/>
  <c r="O446" i="82"/>
  <c r="M446" i="82"/>
  <c r="K446" i="82"/>
  <c r="C446" i="82"/>
  <c r="R445" i="82"/>
  <c r="S445" i="82"/>
  <c r="O445" i="82"/>
  <c r="M445" i="82"/>
  <c r="K445" i="82"/>
  <c r="C445" i="82"/>
  <c r="R444" i="82"/>
  <c r="S444" i="82"/>
  <c r="O444" i="82"/>
  <c r="M444" i="82"/>
  <c r="K444" i="82"/>
  <c r="C444" i="82"/>
  <c r="R443" i="82"/>
  <c r="S443" i="82"/>
  <c r="O443" i="82"/>
  <c r="M443" i="82"/>
  <c r="K443" i="82"/>
  <c r="C443" i="82"/>
  <c r="R442" i="82"/>
  <c r="S442" i="82"/>
  <c r="O442" i="82"/>
  <c r="M442" i="82"/>
  <c r="K442" i="82"/>
  <c r="C442" i="82"/>
  <c r="R441" i="82"/>
  <c r="S441" i="82"/>
  <c r="O441" i="82"/>
  <c r="M441" i="82"/>
  <c r="K441" i="82"/>
  <c r="C441" i="82"/>
  <c r="R440" i="82"/>
  <c r="S440" i="82"/>
  <c r="O440" i="82"/>
  <c r="M440" i="82"/>
  <c r="K440" i="82"/>
  <c r="C440" i="82"/>
  <c r="R439" i="82"/>
  <c r="S439" i="82"/>
  <c r="O439" i="82"/>
  <c r="M439" i="82"/>
  <c r="K439" i="82"/>
  <c r="C439" i="82"/>
  <c r="R438" i="82"/>
  <c r="S438" i="82"/>
  <c r="O438" i="82"/>
  <c r="M438" i="82"/>
  <c r="K438" i="82"/>
  <c r="C438" i="82"/>
  <c r="R437" i="82"/>
  <c r="S437" i="82"/>
  <c r="O437" i="82"/>
  <c r="M437" i="82"/>
  <c r="K437" i="82"/>
  <c r="C437" i="82"/>
  <c r="R436" i="82"/>
  <c r="S436" i="82"/>
  <c r="O436" i="82"/>
  <c r="M436" i="82"/>
  <c r="K436" i="82"/>
  <c r="C436" i="82"/>
  <c r="R435" i="82"/>
  <c r="S435" i="82"/>
  <c r="O435" i="82"/>
  <c r="M435" i="82"/>
  <c r="K435" i="82"/>
  <c r="C435" i="82"/>
  <c r="R434" i="82"/>
  <c r="S434" i="82"/>
  <c r="O434" i="82"/>
  <c r="M434" i="82"/>
  <c r="K434" i="82"/>
  <c r="C434" i="82"/>
  <c r="R433" i="82"/>
  <c r="S433" i="82"/>
  <c r="O433" i="82"/>
  <c r="M433" i="82"/>
  <c r="K433" i="82"/>
  <c r="C433" i="82"/>
  <c r="R432" i="82"/>
  <c r="S432" i="82"/>
  <c r="O432" i="82"/>
  <c r="M432" i="82"/>
  <c r="K432" i="82"/>
  <c r="C432" i="82"/>
  <c r="R431" i="82"/>
  <c r="S431" i="82"/>
  <c r="O431" i="82"/>
  <c r="M431" i="82"/>
  <c r="K431" i="82"/>
  <c r="C431" i="82"/>
  <c r="R430" i="82"/>
  <c r="S430" i="82"/>
  <c r="O430" i="82"/>
  <c r="M430" i="82"/>
  <c r="K430" i="82"/>
  <c r="C430" i="82"/>
  <c r="R429" i="82"/>
  <c r="S429" i="82"/>
  <c r="O429" i="82"/>
  <c r="M429" i="82"/>
  <c r="K429" i="82"/>
  <c r="C429" i="82"/>
  <c r="R428" i="82"/>
  <c r="S428" i="82"/>
  <c r="O428" i="82"/>
  <c r="M428" i="82"/>
  <c r="K428" i="82"/>
  <c r="C428" i="82"/>
  <c r="R427" i="82"/>
  <c r="S427" i="82"/>
  <c r="O427" i="82"/>
  <c r="M427" i="82"/>
  <c r="K427" i="82"/>
  <c r="C427" i="82"/>
  <c r="R426" i="82"/>
  <c r="S426" i="82"/>
  <c r="O426" i="82"/>
  <c r="M426" i="82"/>
  <c r="K426" i="82"/>
  <c r="C426" i="82"/>
  <c r="R425" i="82"/>
  <c r="S425" i="82"/>
  <c r="O425" i="82"/>
  <c r="M425" i="82"/>
  <c r="K425" i="82"/>
  <c r="C425" i="82"/>
  <c r="R424" i="82"/>
  <c r="S424" i="82"/>
  <c r="O424" i="82"/>
  <c r="M424" i="82"/>
  <c r="K424" i="82"/>
  <c r="C424" i="82"/>
  <c r="R423" i="82"/>
  <c r="S423" i="82"/>
  <c r="O423" i="82"/>
  <c r="M423" i="82"/>
  <c r="K423" i="82"/>
  <c r="C423" i="82"/>
  <c r="R422" i="82"/>
  <c r="S422" i="82"/>
  <c r="O422" i="82"/>
  <c r="M422" i="82"/>
  <c r="K422" i="82"/>
  <c r="C422" i="82"/>
  <c r="R421" i="82"/>
  <c r="S421" i="82"/>
  <c r="O421" i="82"/>
  <c r="M421" i="82"/>
  <c r="K421" i="82"/>
  <c r="C421" i="82"/>
  <c r="R420" i="82"/>
  <c r="S420" i="82"/>
  <c r="O420" i="82"/>
  <c r="M420" i="82"/>
  <c r="K420" i="82"/>
  <c r="C420" i="82"/>
  <c r="R419" i="82"/>
  <c r="S419" i="82"/>
  <c r="O419" i="82"/>
  <c r="M419" i="82"/>
  <c r="K419" i="82"/>
  <c r="C419" i="82"/>
  <c r="R418" i="82"/>
  <c r="S418" i="82"/>
  <c r="O418" i="82"/>
  <c r="M418" i="82"/>
  <c r="K418" i="82"/>
  <c r="C418" i="82"/>
  <c r="R417" i="82"/>
  <c r="S417" i="82"/>
  <c r="O417" i="82"/>
  <c r="M417" i="82"/>
  <c r="K417" i="82"/>
  <c r="C417" i="82"/>
  <c r="R416" i="82"/>
  <c r="S416" i="82"/>
  <c r="O416" i="82"/>
  <c r="M416" i="82"/>
  <c r="K416" i="82"/>
  <c r="C416" i="82"/>
  <c r="R415" i="82"/>
  <c r="S415" i="82"/>
  <c r="O415" i="82"/>
  <c r="M415" i="82"/>
  <c r="K415" i="82"/>
  <c r="C415" i="82"/>
  <c r="R414" i="82"/>
  <c r="S414" i="82"/>
  <c r="O414" i="82"/>
  <c r="M414" i="82"/>
  <c r="K414" i="82"/>
  <c r="C414" i="82"/>
  <c r="R413" i="82"/>
  <c r="S413" i="82"/>
  <c r="O413" i="82"/>
  <c r="M413" i="82"/>
  <c r="K413" i="82"/>
  <c r="C413" i="82"/>
  <c r="R412" i="82"/>
  <c r="S412" i="82"/>
  <c r="O412" i="82"/>
  <c r="M412" i="82"/>
  <c r="K412" i="82"/>
  <c r="C412" i="82"/>
  <c r="R411" i="82"/>
  <c r="S411" i="82"/>
  <c r="O411" i="82"/>
  <c r="M411" i="82"/>
  <c r="K411" i="82"/>
  <c r="C411" i="82"/>
  <c r="R410" i="82"/>
  <c r="S410" i="82"/>
  <c r="O410" i="82"/>
  <c r="M410" i="82"/>
  <c r="K410" i="82"/>
  <c r="C410" i="82"/>
  <c r="R409" i="82"/>
  <c r="S409" i="82"/>
  <c r="O409" i="82"/>
  <c r="M409" i="82"/>
  <c r="K409" i="82"/>
  <c r="C409" i="82"/>
  <c r="R408" i="82"/>
  <c r="S408" i="82"/>
  <c r="O408" i="82"/>
  <c r="M408" i="82"/>
  <c r="K408" i="82"/>
  <c r="C408" i="82"/>
  <c r="R407" i="82"/>
  <c r="S407" i="82"/>
  <c r="O407" i="82"/>
  <c r="M407" i="82"/>
  <c r="K407" i="82"/>
  <c r="C407" i="82"/>
  <c r="R406" i="82"/>
  <c r="S406" i="82"/>
  <c r="O406" i="82"/>
  <c r="M406" i="82"/>
  <c r="K406" i="82"/>
  <c r="C406" i="82"/>
  <c r="R405" i="82"/>
  <c r="S405" i="82"/>
  <c r="O405" i="82"/>
  <c r="M405" i="82"/>
  <c r="K405" i="82"/>
  <c r="C405" i="82"/>
  <c r="R404" i="82"/>
  <c r="S404" i="82"/>
  <c r="O404" i="82"/>
  <c r="M404" i="82"/>
  <c r="K404" i="82"/>
  <c r="C404" i="82"/>
  <c r="R403" i="82"/>
  <c r="S403" i="82"/>
  <c r="O403" i="82"/>
  <c r="M403" i="82"/>
  <c r="K403" i="82"/>
  <c r="C403" i="82"/>
  <c r="R402" i="82"/>
  <c r="S402" i="82"/>
  <c r="O402" i="82"/>
  <c r="M402" i="82"/>
  <c r="K402" i="82"/>
  <c r="C402" i="82"/>
  <c r="R401" i="82"/>
  <c r="S401" i="82"/>
  <c r="O401" i="82"/>
  <c r="M401" i="82"/>
  <c r="K401" i="82"/>
  <c r="C401" i="82"/>
  <c r="R400" i="82"/>
  <c r="S400" i="82"/>
  <c r="O400" i="82"/>
  <c r="M400" i="82"/>
  <c r="K400" i="82"/>
  <c r="C400" i="82"/>
  <c r="R399" i="82"/>
  <c r="S399" i="82"/>
  <c r="O399" i="82"/>
  <c r="M399" i="82"/>
  <c r="K399" i="82"/>
  <c r="C399" i="82"/>
  <c r="R398" i="82"/>
  <c r="S398" i="82"/>
  <c r="O398" i="82"/>
  <c r="M398" i="82"/>
  <c r="K398" i="82"/>
  <c r="C398" i="82"/>
  <c r="R397" i="82"/>
  <c r="S397" i="82"/>
  <c r="O397" i="82"/>
  <c r="M397" i="82"/>
  <c r="K397" i="82"/>
  <c r="C397" i="82"/>
  <c r="R396" i="82"/>
  <c r="S396" i="82"/>
  <c r="O396" i="82"/>
  <c r="M396" i="82"/>
  <c r="K396" i="82"/>
  <c r="C396" i="82"/>
  <c r="R395" i="82"/>
  <c r="S395" i="82"/>
  <c r="O395" i="82"/>
  <c r="M395" i="82"/>
  <c r="K395" i="82"/>
  <c r="C395" i="82"/>
  <c r="R394" i="82"/>
  <c r="S394" i="82"/>
  <c r="O394" i="82"/>
  <c r="M394" i="82"/>
  <c r="K394" i="82"/>
  <c r="C394" i="82"/>
  <c r="R393" i="82"/>
  <c r="S393" i="82"/>
  <c r="O393" i="82"/>
  <c r="M393" i="82"/>
  <c r="K393" i="82"/>
  <c r="C393" i="82"/>
  <c r="R392" i="82"/>
  <c r="S392" i="82"/>
  <c r="O392" i="82"/>
  <c r="M392" i="82"/>
  <c r="K392" i="82"/>
  <c r="C392" i="82"/>
  <c r="R391" i="82"/>
  <c r="S391" i="82"/>
  <c r="O391" i="82"/>
  <c r="M391" i="82"/>
  <c r="K391" i="82"/>
  <c r="C391" i="82"/>
  <c r="R390" i="82"/>
  <c r="S390" i="82"/>
  <c r="O390" i="82"/>
  <c r="M390" i="82"/>
  <c r="K390" i="82"/>
  <c r="C390" i="82"/>
  <c r="R389" i="82"/>
  <c r="S389" i="82"/>
  <c r="O389" i="82"/>
  <c r="M389" i="82"/>
  <c r="K389" i="82"/>
  <c r="C389" i="82"/>
  <c r="R388" i="82"/>
  <c r="S388" i="82"/>
  <c r="O388" i="82"/>
  <c r="M388" i="82"/>
  <c r="K388" i="82"/>
  <c r="C388" i="82"/>
  <c r="R387" i="82"/>
  <c r="S387" i="82"/>
  <c r="O387" i="82"/>
  <c r="M387" i="82"/>
  <c r="K387" i="82"/>
  <c r="C387" i="82"/>
  <c r="R386" i="82"/>
  <c r="S386" i="82"/>
  <c r="O386" i="82"/>
  <c r="M386" i="82"/>
  <c r="K386" i="82"/>
  <c r="C386" i="82"/>
  <c r="R385" i="82"/>
  <c r="S385" i="82"/>
  <c r="O385" i="82"/>
  <c r="M385" i="82"/>
  <c r="K385" i="82"/>
  <c r="C385" i="82"/>
  <c r="R384" i="82"/>
  <c r="S384" i="82"/>
  <c r="O384" i="82"/>
  <c r="M384" i="82"/>
  <c r="K384" i="82"/>
  <c r="C384" i="82"/>
  <c r="R383" i="82"/>
  <c r="S383" i="82"/>
  <c r="O383" i="82"/>
  <c r="M383" i="82"/>
  <c r="K383" i="82"/>
  <c r="C383" i="82"/>
  <c r="R382" i="82"/>
  <c r="S382" i="82"/>
  <c r="O382" i="82"/>
  <c r="M382" i="82"/>
  <c r="K382" i="82"/>
  <c r="C382" i="82"/>
  <c r="R381" i="82"/>
  <c r="S381" i="82"/>
  <c r="O381" i="82"/>
  <c r="M381" i="82"/>
  <c r="K381" i="82"/>
  <c r="C381" i="82"/>
  <c r="R380" i="82"/>
  <c r="S380" i="82"/>
  <c r="O380" i="82"/>
  <c r="M380" i="82"/>
  <c r="K380" i="82"/>
  <c r="C380" i="82"/>
  <c r="R379" i="82"/>
  <c r="S379" i="82"/>
  <c r="O379" i="82"/>
  <c r="M379" i="82"/>
  <c r="K379" i="82"/>
  <c r="C379" i="82"/>
  <c r="R378" i="82"/>
  <c r="S378" i="82"/>
  <c r="O378" i="82"/>
  <c r="M378" i="82"/>
  <c r="K378" i="82"/>
  <c r="C378" i="82"/>
  <c r="R377" i="82"/>
  <c r="S377" i="82"/>
  <c r="O377" i="82"/>
  <c r="M377" i="82"/>
  <c r="K377" i="82"/>
  <c r="C377" i="82"/>
  <c r="R376" i="82"/>
  <c r="S376" i="82"/>
  <c r="O376" i="82"/>
  <c r="M376" i="82"/>
  <c r="K376" i="82"/>
  <c r="C376" i="82"/>
  <c r="R375" i="82"/>
  <c r="S375" i="82"/>
  <c r="O375" i="82"/>
  <c r="M375" i="82"/>
  <c r="K375" i="82"/>
  <c r="C375" i="82"/>
  <c r="R374" i="82"/>
  <c r="S374" i="82"/>
  <c r="O374" i="82"/>
  <c r="M374" i="82"/>
  <c r="K374" i="82"/>
  <c r="C374" i="82"/>
  <c r="R373" i="82"/>
  <c r="S373" i="82"/>
  <c r="O373" i="82"/>
  <c r="M373" i="82"/>
  <c r="K373" i="82"/>
  <c r="C373" i="82"/>
  <c r="R372" i="82"/>
  <c r="S372" i="82"/>
  <c r="O372" i="82"/>
  <c r="M372" i="82"/>
  <c r="K372" i="82"/>
  <c r="C372" i="82"/>
  <c r="R371" i="82"/>
  <c r="S371" i="82"/>
  <c r="O371" i="82"/>
  <c r="M371" i="82"/>
  <c r="K371" i="82"/>
  <c r="C371" i="82"/>
  <c r="R370" i="82"/>
  <c r="S370" i="82"/>
  <c r="O370" i="82"/>
  <c r="M370" i="82"/>
  <c r="K370" i="82"/>
  <c r="C370" i="82"/>
  <c r="R369" i="82"/>
  <c r="S369" i="82"/>
  <c r="O369" i="82"/>
  <c r="M369" i="82"/>
  <c r="K369" i="82"/>
  <c r="C369" i="82"/>
  <c r="R368" i="82"/>
  <c r="S368" i="82"/>
  <c r="O368" i="82"/>
  <c r="M368" i="82"/>
  <c r="K368" i="82"/>
  <c r="C368" i="82"/>
  <c r="R367" i="82"/>
  <c r="S367" i="82"/>
  <c r="O367" i="82"/>
  <c r="M367" i="82"/>
  <c r="K367" i="82"/>
  <c r="C367" i="82"/>
  <c r="R366" i="82"/>
  <c r="S366" i="82"/>
  <c r="O366" i="82"/>
  <c r="M366" i="82"/>
  <c r="K366" i="82"/>
  <c r="C366" i="82"/>
  <c r="R365" i="82"/>
  <c r="S365" i="82"/>
  <c r="O365" i="82"/>
  <c r="M365" i="82"/>
  <c r="K365" i="82"/>
  <c r="C365" i="82"/>
  <c r="R364" i="82"/>
  <c r="S364" i="82"/>
  <c r="O364" i="82"/>
  <c r="M364" i="82"/>
  <c r="K364" i="82"/>
  <c r="C364" i="82"/>
  <c r="R363" i="82"/>
  <c r="S363" i="82"/>
  <c r="O363" i="82"/>
  <c r="M363" i="82"/>
  <c r="K363" i="82"/>
  <c r="C363" i="82"/>
  <c r="R362" i="82"/>
  <c r="S362" i="82"/>
  <c r="O362" i="82"/>
  <c r="M362" i="82"/>
  <c r="K362" i="82"/>
  <c r="C362" i="82"/>
  <c r="R361" i="82"/>
  <c r="S361" i="82"/>
  <c r="O361" i="82"/>
  <c r="M361" i="82"/>
  <c r="K361" i="82"/>
  <c r="C361" i="82"/>
  <c r="R360" i="82"/>
  <c r="S360" i="82"/>
  <c r="O360" i="82"/>
  <c r="M360" i="82"/>
  <c r="K360" i="82"/>
  <c r="C360" i="82"/>
  <c r="R359" i="82"/>
  <c r="S359" i="82"/>
  <c r="O359" i="82"/>
  <c r="M359" i="82"/>
  <c r="K359" i="82"/>
  <c r="C359" i="82"/>
  <c r="R358" i="82"/>
  <c r="S358" i="82"/>
  <c r="O358" i="82"/>
  <c r="M358" i="82"/>
  <c r="K358" i="82"/>
  <c r="C358" i="82"/>
  <c r="R357" i="82"/>
  <c r="S357" i="82"/>
  <c r="O357" i="82"/>
  <c r="M357" i="82"/>
  <c r="K357" i="82"/>
  <c r="C357" i="82"/>
  <c r="R356" i="82"/>
  <c r="S356" i="82"/>
  <c r="O356" i="82"/>
  <c r="M356" i="82"/>
  <c r="K356" i="82"/>
  <c r="C356" i="82"/>
  <c r="R355" i="82"/>
  <c r="S355" i="82"/>
  <c r="O355" i="82"/>
  <c r="M355" i="82"/>
  <c r="K355" i="82"/>
  <c r="C355" i="82"/>
  <c r="R354" i="82"/>
  <c r="S354" i="82"/>
  <c r="O354" i="82"/>
  <c r="M354" i="82"/>
  <c r="K354" i="82"/>
  <c r="C354" i="82"/>
  <c r="R353" i="82"/>
  <c r="S353" i="82"/>
  <c r="O353" i="82"/>
  <c r="M353" i="82"/>
  <c r="K353" i="82"/>
  <c r="C353" i="82"/>
  <c r="R352" i="82"/>
  <c r="S352" i="82"/>
  <c r="O352" i="82"/>
  <c r="M352" i="82"/>
  <c r="K352" i="82"/>
  <c r="C352" i="82"/>
  <c r="R351" i="82"/>
  <c r="S351" i="82"/>
  <c r="O351" i="82"/>
  <c r="M351" i="82"/>
  <c r="K351" i="82"/>
  <c r="C351" i="82"/>
  <c r="R350" i="82"/>
  <c r="S350" i="82"/>
  <c r="O350" i="82"/>
  <c r="M350" i="82"/>
  <c r="K350" i="82"/>
  <c r="C350" i="82"/>
  <c r="R349" i="82"/>
  <c r="S349" i="82"/>
  <c r="O349" i="82"/>
  <c r="M349" i="82"/>
  <c r="K349" i="82"/>
  <c r="C349" i="82"/>
  <c r="R348" i="82"/>
  <c r="S348" i="82"/>
  <c r="O348" i="82"/>
  <c r="M348" i="82"/>
  <c r="K348" i="82"/>
  <c r="C348" i="82"/>
  <c r="R347" i="82"/>
  <c r="S347" i="82"/>
  <c r="O347" i="82"/>
  <c r="M347" i="82"/>
  <c r="K347" i="82"/>
  <c r="C347" i="82"/>
  <c r="R346" i="82"/>
  <c r="S346" i="82"/>
  <c r="O346" i="82"/>
  <c r="M346" i="82"/>
  <c r="K346" i="82"/>
  <c r="C346" i="82"/>
  <c r="R345" i="82"/>
  <c r="S345" i="82"/>
  <c r="O345" i="82"/>
  <c r="M345" i="82"/>
  <c r="K345" i="82"/>
  <c r="C345" i="82"/>
  <c r="R344" i="82"/>
  <c r="S344" i="82"/>
  <c r="O344" i="82"/>
  <c r="M344" i="82"/>
  <c r="K344" i="82"/>
  <c r="C344" i="82"/>
  <c r="R343" i="82"/>
  <c r="S343" i="82"/>
  <c r="O343" i="82"/>
  <c r="M343" i="82"/>
  <c r="K343" i="82"/>
  <c r="C343" i="82"/>
  <c r="R342" i="82"/>
  <c r="S342" i="82"/>
  <c r="O342" i="82"/>
  <c r="M342" i="82"/>
  <c r="K342" i="82"/>
  <c r="C342" i="82"/>
  <c r="R341" i="82"/>
  <c r="S341" i="82"/>
  <c r="O341" i="82"/>
  <c r="M341" i="82"/>
  <c r="K341" i="82"/>
  <c r="C341" i="82"/>
  <c r="R340" i="82"/>
  <c r="S340" i="82"/>
  <c r="O340" i="82"/>
  <c r="M340" i="82"/>
  <c r="K340" i="82"/>
  <c r="C340" i="82"/>
  <c r="R339" i="82"/>
  <c r="S339" i="82"/>
  <c r="O339" i="82"/>
  <c r="M339" i="82"/>
  <c r="K339" i="82"/>
  <c r="C339" i="82"/>
  <c r="R338" i="82"/>
  <c r="S338" i="82"/>
  <c r="O338" i="82"/>
  <c r="M338" i="82"/>
  <c r="K338" i="82"/>
  <c r="C338" i="82"/>
  <c r="R337" i="82"/>
  <c r="S337" i="82"/>
  <c r="O337" i="82"/>
  <c r="M337" i="82"/>
  <c r="K337" i="82"/>
  <c r="C337" i="82"/>
  <c r="R336" i="82"/>
  <c r="S336" i="82"/>
  <c r="O336" i="82"/>
  <c r="M336" i="82"/>
  <c r="K336" i="82"/>
  <c r="C336" i="82"/>
  <c r="R335" i="82"/>
  <c r="S335" i="82"/>
  <c r="O335" i="82"/>
  <c r="M335" i="82"/>
  <c r="K335" i="82"/>
  <c r="C335" i="82"/>
  <c r="R334" i="82"/>
  <c r="S334" i="82"/>
  <c r="O334" i="82"/>
  <c r="M334" i="82"/>
  <c r="K334" i="82"/>
  <c r="C334" i="82"/>
  <c r="R333" i="82"/>
  <c r="S333" i="82"/>
  <c r="O333" i="82"/>
  <c r="M333" i="82"/>
  <c r="K333" i="82"/>
  <c r="C333" i="82"/>
  <c r="R332" i="82"/>
  <c r="S332" i="82"/>
  <c r="O332" i="82"/>
  <c r="M332" i="82"/>
  <c r="K332" i="82"/>
  <c r="C332" i="82"/>
  <c r="R331" i="82"/>
  <c r="S331" i="82"/>
  <c r="O331" i="82"/>
  <c r="M331" i="82"/>
  <c r="K331" i="82"/>
  <c r="C331" i="82"/>
  <c r="R330" i="82"/>
  <c r="S330" i="82"/>
  <c r="O330" i="82"/>
  <c r="M330" i="82"/>
  <c r="K330" i="82"/>
  <c r="C330" i="82"/>
  <c r="R329" i="82"/>
  <c r="S329" i="82"/>
  <c r="O329" i="82"/>
  <c r="M329" i="82"/>
  <c r="K329" i="82"/>
  <c r="C329" i="82"/>
  <c r="R328" i="82"/>
  <c r="S328" i="82"/>
  <c r="O328" i="82"/>
  <c r="M328" i="82"/>
  <c r="K328" i="82"/>
  <c r="C328" i="82"/>
  <c r="R327" i="82"/>
  <c r="S327" i="82"/>
  <c r="O327" i="82"/>
  <c r="M327" i="82"/>
  <c r="K327" i="82"/>
  <c r="C327" i="82"/>
  <c r="R326" i="82"/>
  <c r="S326" i="82"/>
  <c r="O326" i="82"/>
  <c r="M326" i="82"/>
  <c r="K326" i="82"/>
  <c r="C326" i="82"/>
  <c r="R325" i="82"/>
  <c r="S325" i="82"/>
  <c r="O325" i="82"/>
  <c r="M325" i="82"/>
  <c r="K325" i="82"/>
  <c r="C325" i="82"/>
  <c r="R324" i="82"/>
  <c r="S324" i="82"/>
  <c r="O324" i="82"/>
  <c r="M324" i="82"/>
  <c r="K324" i="82"/>
  <c r="C324" i="82"/>
  <c r="R323" i="82"/>
  <c r="S323" i="82"/>
  <c r="O323" i="82"/>
  <c r="M323" i="82"/>
  <c r="K323" i="82"/>
  <c r="C323" i="82"/>
  <c r="R322" i="82"/>
  <c r="S322" i="82"/>
  <c r="O322" i="82"/>
  <c r="M322" i="82"/>
  <c r="K322" i="82"/>
  <c r="C322" i="82"/>
  <c r="R321" i="82"/>
  <c r="S321" i="82"/>
  <c r="O321" i="82"/>
  <c r="M321" i="82"/>
  <c r="K321" i="82"/>
  <c r="C321" i="82"/>
  <c r="R320" i="82"/>
  <c r="S320" i="82"/>
  <c r="O320" i="82"/>
  <c r="M320" i="82"/>
  <c r="K320" i="82"/>
  <c r="C320" i="82"/>
  <c r="R319" i="82"/>
  <c r="S319" i="82"/>
  <c r="O319" i="82"/>
  <c r="M319" i="82"/>
  <c r="K319" i="82"/>
  <c r="C319" i="82"/>
  <c r="R318" i="82"/>
  <c r="S318" i="82"/>
  <c r="O318" i="82"/>
  <c r="M318" i="82"/>
  <c r="K318" i="82"/>
  <c r="C318" i="82"/>
  <c r="R317" i="82"/>
  <c r="S317" i="82"/>
  <c r="O317" i="82"/>
  <c r="M317" i="82"/>
  <c r="K317" i="82"/>
  <c r="C317" i="82"/>
  <c r="R316" i="82"/>
  <c r="S316" i="82"/>
  <c r="O316" i="82"/>
  <c r="M316" i="82"/>
  <c r="K316" i="82"/>
  <c r="C316" i="82"/>
  <c r="R315" i="82"/>
  <c r="S315" i="82"/>
  <c r="O315" i="82"/>
  <c r="M315" i="82"/>
  <c r="K315" i="82"/>
  <c r="C315" i="82"/>
  <c r="R314" i="82"/>
  <c r="S314" i="82"/>
  <c r="O314" i="82"/>
  <c r="M314" i="82"/>
  <c r="K314" i="82"/>
  <c r="C314" i="82"/>
  <c r="R313" i="82"/>
  <c r="S313" i="82"/>
  <c r="O313" i="82"/>
  <c r="M313" i="82"/>
  <c r="K313" i="82"/>
  <c r="C313" i="82"/>
  <c r="R312" i="82"/>
  <c r="S312" i="82"/>
  <c r="O312" i="82"/>
  <c r="M312" i="82"/>
  <c r="K312" i="82"/>
  <c r="C312" i="82"/>
  <c r="R311" i="82"/>
  <c r="S311" i="82"/>
  <c r="O311" i="82"/>
  <c r="M311" i="82"/>
  <c r="K311" i="82"/>
  <c r="C311" i="82"/>
  <c r="R310" i="82"/>
  <c r="S310" i="82"/>
  <c r="O310" i="82"/>
  <c r="M310" i="82"/>
  <c r="K310" i="82"/>
  <c r="C310" i="82"/>
  <c r="R309" i="82"/>
  <c r="S309" i="82"/>
  <c r="O309" i="82"/>
  <c r="M309" i="82"/>
  <c r="K309" i="82"/>
  <c r="C309" i="82"/>
  <c r="R308" i="82"/>
  <c r="S308" i="82"/>
  <c r="O308" i="82"/>
  <c r="M308" i="82"/>
  <c r="K308" i="82"/>
  <c r="C308" i="82"/>
  <c r="R307" i="82"/>
  <c r="S307" i="82"/>
  <c r="O307" i="82"/>
  <c r="M307" i="82"/>
  <c r="K307" i="82"/>
  <c r="C307" i="82"/>
  <c r="R306" i="82"/>
  <c r="S306" i="82"/>
  <c r="O306" i="82"/>
  <c r="M306" i="82"/>
  <c r="K306" i="82"/>
  <c r="C306" i="82"/>
  <c r="R305" i="82"/>
  <c r="S305" i="82"/>
  <c r="O305" i="82"/>
  <c r="M305" i="82"/>
  <c r="K305" i="82"/>
  <c r="C305" i="82"/>
  <c r="R304" i="82"/>
  <c r="S304" i="82"/>
  <c r="O304" i="82"/>
  <c r="M304" i="82"/>
  <c r="K304" i="82"/>
  <c r="C304" i="82"/>
  <c r="R303" i="82"/>
  <c r="S303" i="82"/>
  <c r="O303" i="82"/>
  <c r="M303" i="82"/>
  <c r="K303" i="82"/>
  <c r="C303" i="82"/>
  <c r="R302" i="82"/>
  <c r="S302" i="82"/>
  <c r="O302" i="82"/>
  <c r="M302" i="82"/>
  <c r="K302" i="82"/>
  <c r="C302" i="82"/>
  <c r="R301" i="82"/>
  <c r="S301" i="82"/>
  <c r="O301" i="82"/>
  <c r="M301" i="82"/>
  <c r="K301" i="82"/>
  <c r="C301" i="82"/>
  <c r="R300" i="82"/>
  <c r="S300" i="82"/>
  <c r="O300" i="82"/>
  <c r="M300" i="82"/>
  <c r="K300" i="82"/>
  <c r="C300" i="82"/>
  <c r="R299" i="82"/>
  <c r="S299" i="82"/>
  <c r="O299" i="82"/>
  <c r="M299" i="82"/>
  <c r="K299" i="82"/>
  <c r="C299" i="82"/>
  <c r="R298" i="82"/>
  <c r="S298" i="82"/>
  <c r="O298" i="82"/>
  <c r="M298" i="82"/>
  <c r="K298" i="82"/>
  <c r="C298" i="82"/>
  <c r="R297" i="82"/>
  <c r="S297" i="82"/>
  <c r="O297" i="82"/>
  <c r="M297" i="82"/>
  <c r="K297" i="82"/>
  <c r="C297" i="82"/>
  <c r="R296" i="82"/>
  <c r="S296" i="82"/>
  <c r="O296" i="82"/>
  <c r="M296" i="82"/>
  <c r="K296" i="82"/>
  <c r="C296" i="82"/>
  <c r="R295" i="82"/>
  <c r="S295" i="82"/>
  <c r="O295" i="82"/>
  <c r="M295" i="82"/>
  <c r="K295" i="82"/>
  <c r="C295" i="82"/>
  <c r="R294" i="82"/>
  <c r="S294" i="82"/>
  <c r="O294" i="82"/>
  <c r="M294" i="82"/>
  <c r="K294" i="82"/>
  <c r="C294" i="82"/>
  <c r="R293" i="82"/>
  <c r="S293" i="82"/>
  <c r="O293" i="82"/>
  <c r="M293" i="82"/>
  <c r="K293" i="82"/>
  <c r="C293" i="82"/>
  <c r="R292" i="82"/>
  <c r="S292" i="82"/>
  <c r="O292" i="82"/>
  <c r="M292" i="82"/>
  <c r="K292" i="82"/>
  <c r="C292" i="82"/>
  <c r="R291" i="82"/>
  <c r="S291" i="82"/>
  <c r="O291" i="82"/>
  <c r="M291" i="82"/>
  <c r="K291" i="82"/>
  <c r="C291" i="82"/>
  <c r="R290" i="82"/>
  <c r="S290" i="82"/>
  <c r="O290" i="82"/>
  <c r="M290" i="82"/>
  <c r="K290" i="82"/>
  <c r="C290" i="82"/>
  <c r="R289" i="82"/>
  <c r="S289" i="82"/>
  <c r="O289" i="82"/>
  <c r="M289" i="82"/>
  <c r="K289" i="82"/>
  <c r="C289" i="82"/>
  <c r="R288" i="82"/>
  <c r="S288" i="82"/>
  <c r="O288" i="82"/>
  <c r="M288" i="82"/>
  <c r="K288" i="82"/>
  <c r="C288" i="82"/>
  <c r="R287" i="82"/>
  <c r="S287" i="82"/>
  <c r="O287" i="82"/>
  <c r="M287" i="82"/>
  <c r="K287" i="82"/>
  <c r="C287" i="82"/>
  <c r="R286" i="82"/>
  <c r="S286" i="82"/>
  <c r="O286" i="82"/>
  <c r="M286" i="82"/>
  <c r="K286" i="82"/>
  <c r="C286" i="82"/>
  <c r="R285" i="82"/>
  <c r="S285" i="82"/>
  <c r="O285" i="82"/>
  <c r="M285" i="82"/>
  <c r="K285" i="82"/>
  <c r="C285" i="82"/>
  <c r="R284" i="82"/>
  <c r="S284" i="82"/>
  <c r="O284" i="82"/>
  <c r="M284" i="82"/>
  <c r="K284" i="82"/>
  <c r="C284" i="82"/>
  <c r="R283" i="82"/>
  <c r="S283" i="82"/>
  <c r="O283" i="82"/>
  <c r="M283" i="82"/>
  <c r="K283" i="82"/>
  <c r="C283" i="82"/>
  <c r="R282" i="82"/>
  <c r="S282" i="82"/>
  <c r="O282" i="82"/>
  <c r="M282" i="82"/>
  <c r="K282" i="82"/>
  <c r="C282" i="82"/>
  <c r="R281" i="82"/>
  <c r="S281" i="82"/>
  <c r="O281" i="82"/>
  <c r="M281" i="82"/>
  <c r="K281" i="82"/>
  <c r="C281" i="82"/>
  <c r="R280" i="82"/>
  <c r="S280" i="82"/>
  <c r="O280" i="82"/>
  <c r="M280" i="82"/>
  <c r="K280" i="82"/>
  <c r="C280" i="82"/>
  <c r="R279" i="82"/>
  <c r="S279" i="82"/>
  <c r="O279" i="82"/>
  <c r="M279" i="82"/>
  <c r="K279" i="82"/>
  <c r="C279" i="82"/>
  <c r="R278" i="82"/>
  <c r="S278" i="82"/>
  <c r="O278" i="82"/>
  <c r="M278" i="82"/>
  <c r="K278" i="82"/>
  <c r="C278" i="82"/>
  <c r="R277" i="82"/>
  <c r="S277" i="82"/>
  <c r="O277" i="82"/>
  <c r="M277" i="82"/>
  <c r="K277" i="82"/>
  <c r="C277" i="82"/>
  <c r="R276" i="82"/>
  <c r="S276" i="82"/>
  <c r="O276" i="82"/>
  <c r="M276" i="82"/>
  <c r="K276" i="82"/>
  <c r="C276" i="82"/>
  <c r="R275" i="82"/>
  <c r="S275" i="82"/>
  <c r="O275" i="82"/>
  <c r="M275" i="82"/>
  <c r="K275" i="82"/>
  <c r="C275" i="82"/>
  <c r="R274" i="82"/>
  <c r="S274" i="82"/>
  <c r="O274" i="82"/>
  <c r="M274" i="82"/>
  <c r="K274" i="82"/>
  <c r="C274" i="82"/>
  <c r="R273" i="82"/>
  <c r="S273" i="82"/>
  <c r="O273" i="82"/>
  <c r="M273" i="82"/>
  <c r="K273" i="82"/>
  <c r="C273" i="82"/>
  <c r="R272" i="82"/>
  <c r="S272" i="82"/>
  <c r="O272" i="82"/>
  <c r="M272" i="82"/>
  <c r="K272" i="82"/>
  <c r="C272" i="82"/>
  <c r="R271" i="82"/>
  <c r="S271" i="82"/>
  <c r="O271" i="82"/>
  <c r="M271" i="82"/>
  <c r="K271" i="82"/>
  <c r="C271" i="82"/>
  <c r="R270" i="82"/>
  <c r="S270" i="82"/>
  <c r="O270" i="82"/>
  <c r="M270" i="82"/>
  <c r="K270" i="82"/>
  <c r="C270" i="82"/>
  <c r="R269" i="82"/>
  <c r="S269" i="82"/>
  <c r="O269" i="82"/>
  <c r="M269" i="82"/>
  <c r="K269" i="82"/>
  <c r="C269" i="82"/>
  <c r="R268" i="82"/>
  <c r="S268" i="82"/>
  <c r="O268" i="82"/>
  <c r="M268" i="82"/>
  <c r="K268" i="82"/>
  <c r="C268" i="82"/>
  <c r="R267" i="82"/>
  <c r="S267" i="82"/>
  <c r="O267" i="82"/>
  <c r="M267" i="82"/>
  <c r="K267" i="82"/>
  <c r="C267" i="82"/>
  <c r="R266" i="82"/>
  <c r="S266" i="82"/>
  <c r="O266" i="82"/>
  <c r="M266" i="82"/>
  <c r="K266" i="82"/>
  <c r="C266" i="82"/>
  <c r="R265" i="82"/>
  <c r="S265" i="82"/>
  <c r="O265" i="82"/>
  <c r="M265" i="82"/>
  <c r="K265" i="82"/>
  <c r="C265" i="82"/>
  <c r="R264" i="82"/>
  <c r="S264" i="82"/>
  <c r="O264" i="82"/>
  <c r="M264" i="82"/>
  <c r="K264" i="82"/>
  <c r="C264" i="82"/>
  <c r="R263" i="82"/>
  <c r="S263" i="82"/>
  <c r="O263" i="82"/>
  <c r="M263" i="82"/>
  <c r="K263" i="82"/>
  <c r="C263" i="82"/>
  <c r="R262" i="82"/>
  <c r="S262" i="82"/>
  <c r="O262" i="82"/>
  <c r="M262" i="82"/>
  <c r="K262" i="82"/>
  <c r="C262" i="82"/>
  <c r="R261" i="82"/>
  <c r="S261" i="82"/>
  <c r="O261" i="82"/>
  <c r="M261" i="82"/>
  <c r="K261" i="82"/>
  <c r="C261" i="82"/>
  <c r="R260" i="82"/>
  <c r="S260" i="82"/>
  <c r="O260" i="82"/>
  <c r="M260" i="82"/>
  <c r="K260" i="82"/>
  <c r="C260" i="82"/>
  <c r="R259" i="82"/>
  <c r="S259" i="82"/>
  <c r="O259" i="82"/>
  <c r="M259" i="82"/>
  <c r="K259" i="82"/>
  <c r="C259" i="82"/>
  <c r="R258" i="82"/>
  <c r="S258" i="82"/>
  <c r="O258" i="82"/>
  <c r="M258" i="82"/>
  <c r="K258" i="82"/>
  <c r="C258" i="82"/>
  <c r="R257" i="82"/>
  <c r="S257" i="82"/>
  <c r="O257" i="82"/>
  <c r="M257" i="82"/>
  <c r="K257" i="82"/>
  <c r="C257" i="82"/>
  <c r="R256" i="82"/>
  <c r="S256" i="82"/>
  <c r="O256" i="82"/>
  <c r="M256" i="82"/>
  <c r="K256" i="82"/>
  <c r="C256" i="82"/>
  <c r="R255" i="82"/>
  <c r="S255" i="82"/>
  <c r="O255" i="82"/>
  <c r="M255" i="82"/>
  <c r="K255" i="82"/>
  <c r="C255" i="82"/>
  <c r="R254" i="82"/>
  <c r="S254" i="82"/>
  <c r="O254" i="82"/>
  <c r="M254" i="82"/>
  <c r="K254" i="82"/>
  <c r="C254" i="82"/>
  <c r="R253" i="82"/>
  <c r="S253" i="82"/>
  <c r="O253" i="82"/>
  <c r="M253" i="82"/>
  <c r="K253" i="82"/>
  <c r="C253" i="82"/>
  <c r="R252" i="82"/>
  <c r="S252" i="82"/>
  <c r="O252" i="82"/>
  <c r="M252" i="82"/>
  <c r="K252" i="82"/>
  <c r="C252" i="82"/>
  <c r="R251" i="82"/>
  <c r="S251" i="82"/>
  <c r="O251" i="82"/>
  <c r="M251" i="82"/>
  <c r="K251" i="82"/>
  <c r="C251" i="82"/>
  <c r="R250" i="82"/>
  <c r="S250" i="82"/>
  <c r="O250" i="82"/>
  <c r="M250" i="82"/>
  <c r="K250" i="82"/>
  <c r="C250" i="82"/>
  <c r="R249" i="82"/>
  <c r="S249" i="82"/>
  <c r="O249" i="82"/>
  <c r="M249" i="82"/>
  <c r="K249" i="82"/>
  <c r="C249" i="82"/>
  <c r="R248" i="82"/>
  <c r="S248" i="82"/>
  <c r="O248" i="82"/>
  <c r="M248" i="82"/>
  <c r="K248" i="82"/>
  <c r="C248" i="82"/>
  <c r="R247" i="82"/>
  <c r="S247" i="82"/>
  <c r="O247" i="82"/>
  <c r="M247" i="82"/>
  <c r="K247" i="82"/>
  <c r="C247" i="82"/>
  <c r="R246" i="82"/>
  <c r="S246" i="82"/>
  <c r="O246" i="82"/>
  <c r="M246" i="82"/>
  <c r="K246" i="82"/>
  <c r="C246" i="82"/>
  <c r="R245" i="82"/>
  <c r="S245" i="82"/>
  <c r="O245" i="82"/>
  <c r="M245" i="82"/>
  <c r="K245" i="82"/>
  <c r="C245" i="82"/>
  <c r="R244" i="82"/>
  <c r="S244" i="82"/>
  <c r="O244" i="82"/>
  <c r="M244" i="82"/>
  <c r="K244" i="82"/>
  <c r="C244" i="82"/>
  <c r="R243" i="82"/>
  <c r="S243" i="82"/>
  <c r="O243" i="82"/>
  <c r="M243" i="82"/>
  <c r="K243" i="82"/>
  <c r="C243" i="82"/>
  <c r="R242" i="82"/>
  <c r="S242" i="82"/>
  <c r="O242" i="82"/>
  <c r="M242" i="82"/>
  <c r="K242" i="82"/>
  <c r="C242" i="82"/>
  <c r="R241" i="82"/>
  <c r="S241" i="82"/>
  <c r="O241" i="82"/>
  <c r="M241" i="82"/>
  <c r="K241" i="82"/>
  <c r="C241" i="82"/>
  <c r="R240" i="82"/>
  <c r="S240" i="82"/>
  <c r="O240" i="82"/>
  <c r="M240" i="82"/>
  <c r="K240" i="82"/>
  <c r="C240" i="82"/>
  <c r="R239" i="82"/>
  <c r="S239" i="82"/>
  <c r="O239" i="82"/>
  <c r="M239" i="82"/>
  <c r="K239" i="82"/>
  <c r="C239" i="82"/>
  <c r="R238" i="82"/>
  <c r="S238" i="82"/>
  <c r="O238" i="82"/>
  <c r="M238" i="82"/>
  <c r="K238" i="82"/>
  <c r="C238" i="82"/>
  <c r="R237" i="82"/>
  <c r="S237" i="82"/>
  <c r="O237" i="82"/>
  <c r="M237" i="82"/>
  <c r="K237" i="82"/>
  <c r="C237" i="82"/>
  <c r="R236" i="82"/>
  <c r="S236" i="82"/>
  <c r="O236" i="82"/>
  <c r="M236" i="82"/>
  <c r="K236" i="82"/>
  <c r="C236" i="82"/>
  <c r="R235" i="82"/>
  <c r="S235" i="82"/>
  <c r="O235" i="82"/>
  <c r="M235" i="82"/>
  <c r="K235" i="82"/>
  <c r="C235" i="82"/>
  <c r="R234" i="82"/>
  <c r="S234" i="82"/>
  <c r="O234" i="82"/>
  <c r="M234" i="82"/>
  <c r="K234" i="82"/>
  <c r="C234" i="82"/>
  <c r="R233" i="82"/>
  <c r="S233" i="82"/>
  <c r="O233" i="82"/>
  <c r="M233" i="82"/>
  <c r="K233" i="82"/>
  <c r="C233" i="82"/>
  <c r="R232" i="82"/>
  <c r="S232" i="82"/>
  <c r="O232" i="82"/>
  <c r="M232" i="82"/>
  <c r="K232" i="82"/>
  <c r="C232" i="82"/>
  <c r="R231" i="82"/>
  <c r="S231" i="82"/>
  <c r="O231" i="82"/>
  <c r="M231" i="82"/>
  <c r="K231" i="82"/>
  <c r="C231" i="82"/>
  <c r="R230" i="82"/>
  <c r="S230" i="82"/>
  <c r="O230" i="82"/>
  <c r="M230" i="82"/>
  <c r="K230" i="82"/>
  <c r="C230" i="82"/>
  <c r="R229" i="82"/>
  <c r="S229" i="82"/>
  <c r="O229" i="82"/>
  <c r="M229" i="82"/>
  <c r="K229" i="82"/>
  <c r="C229" i="82"/>
  <c r="R228" i="82"/>
  <c r="S228" i="82"/>
  <c r="O228" i="82"/>
  <c r="M228" i="82"/>
  <c r="K228" i="82"/>
  <c r="C228" i="82"/>
  <c r="R227" i="82"/>
  <c r="S227" i="82"/>
  <c r="O227" i="82"/>
  <c r="M227" i="82"/>
  <c r="K227" i="82"/>
  <c r="C227" i="82"/>
  <c r="R226" i="82"/>
  <c r="S226" i="82"/>
  <c r="O226" i="82"/>
  <c r="M226" i="82"/>
  <c r="K226" i="82"/>
  <c r="C226" i="82"/>
  <c r="R225" i="82"/>
  <c r="S225" i="82"/>
  <c r="O225" i="82"/>
  <c r="M225" i="82"/>
  <c r="K225" i="82"/>
  <c r="C225" i="82"/>
  <c r="R224" i="82"/>
  <c r="S224" i="82"/>
  <c r="O224" i="82"/>
  <c r="M224" i="82"/>
  <c r="K224" i="82"/>
  <c r="C224" i="82"/>
  <c r="R223" i="82"/>
  <c r="S223" i="82"/>
  <c r="O223" i="82"/>
  <c r="M223" i="82"/>
  <c r="K223" i="82"/>
  <c r="C223" i="82"/>
  <c r="R222" i="82"/>
  <c r="S222" i="82"/>
  <c r="O222" i="82"/>
  <c r="M222" i="82"/>
  <c r="K222" i="82"/>
  <c r="C222" i="82"/>
  <c r="R221" i="82"/>
  <c r="S221" i="82"/>
  <c r="O221" i="82"/>
  <c r="M221" i="82"/>
  <c r="K221" i="82"/>
  <c r="C221" i="82"/>
  <c r="R220" i="82"/>
  <c r="S220" i="82"/>
  <c r="O220" i="82"/>
  <c r="M220" i="82"/>
  <c r="K220" i="82"/>
  <c r="C220" i="82"/>
  <c r="R219" i="82"/>
  <c r="S219" i="82"/>
  <c r="O219" i="82"/>
  <c r="M219" i="82"/>
  <c r="K219" i="82"/>
  <c r="C219" i="82"/>
  <c r="R218" i="82"/>
  <c r="S218" i="82"/>
  <c r="O218" i="82"/>
  <c r="M218" i="82"/>
  <c r="K218" i="82"/>
  <c r="C218" i="82"/>
  <c r="R217" i="82"/>
  <c r="S217" i="82"/>
  <c r="O217" i="82"/>
  <c r="M217" i="82"/>
  <c r="K217" i="82"/>
  <c r="C217" i="82"/>
  <c r="R216" i="82"/>
  <c r="S216" i="82"/>
  <c r="O216" i="82"/>
  <c r="M216" i="82"/>
  <c r="K216" i="82"/>
  <c r="C216" i="82"/>
  <c r="R215" i="82"/>
  <c r="S215" i="82"/>
  <c r="O215" i="82"/>
  <c r="M215" i="82"/>
  <c r="K215" i="82"/>
  <c r="C215" i="82"/>
  <c r="R214" i="82"/>
  <c r="S214" i="82"/>
  <c r="O214" i="82"/>
  <c r="M214" i="82"/>
  <c r="K214" i="82"/>
  <c r="C214" i="82"/>
  <c r="R213" i="82"/>
  <c r="S213" i="82"/>
  <c r="O213" i="82"/>
  <c r="M213" i="82"/>
  <c r="K213" i="82"/>
  <c r="C213" i="82"/>
  <c r="R212" i="82"/>
  <c r="S212" i="82"/>
  <c r="O212" i="82"/>
  <c r="M212" i="82"/>
  <c r="K212" i="82"/>
  <c r="C212" i="82"/>
  <c r="R211" i="82"/>
  <c r="S211" i="82"/>
  <c r="O211" i="82"/>
  <c r="M211" i="82"/>
  <c r="K211" i="82"/>
  <c r="C211" i="82"/>
  <c r="R210" i="82"/>
  <c r="S210" i="82"/>
  <c r="O210" i="82"/>
  <c r="M210" i="82"/>
  <c r="K210" i="82"/>
  <c r="C210" i="82"/>
  <c r="R209" i="82"/>
  <c r="S209" i="82"/>
  <c r="O209" i="82"/>
  <c r="M209" i="82"/>
  <c r="K209" i="82"/>
  <c r="C209" i="82"/>
  <c r="R208" i="82"/>
  <c r="S208" i="82"/>
  <c r="O208" i="82"/>
  <c r="M208" i="82"/>
  <c r="K208" i="82"/>
  <c r="C208" i="82"/>
  <c r="R207" i="82"/>
  <c r="S207" i="82"/>
  <c r="O207" i="82"/>
  <c r="M207" i="82"/>
  <c r="K207" i="82"/>
  <c r="C207" i="82"/>
  <c r="R206" i="82"/>
  <c r="S206" i="82"/>
  <c r="O206" i="82"/>
  <c r="M206" i="82"/>
  <c r="K206" i="82"/>
  <c r="C206" i="82"/>
  <c r="R205" i="82"/>
  <c r="S205" i="82"/>
  <c r="O205" i="82"/>
  <c r="M205" i="82"/>
  <c r="K205" i="82"/>
  <c r="C205" i="82"/>
  <c r="R204" i="82"/>
  <c r="S204" i="82"/>
  <c r="O204" i="82"/>
  <c r="M204" i="82"/>
  <c r="K204" i="82"/>
  <c r="C204" i="82"/>
  <c r="R203" i="82"/>
  <c r="S203" i="82"/>
  <c r="O203" i="82"/>
  <c r="M203" i="82"/>
  <c r="K203" i="82"/>
  <c r="C203" i="82"/>
  <c r="R202" i="82"/>
  <c r="S202" i="82"/>
  <c r="O202" i="82"/>
  <c r="M202" i="82"/>
  <c r="K202" i="82"/>
  <c r="C202" i="82"/>
  <c r="R201" i="82"/>
  <c r="S201" i="82"/>
  <c r="O201" i="82"/>
  <c r="M201" i="82"/>
  <c r="K201" i="82"/>
  <c r="C201" i="82"/>
  <c r="R200" i="82"/>
  <c r="S200" i="82"/>
  <c r="O200" i="82"/>
  <c r="M200" i="82"/>
  <c r="K200" i="82"/>
  <c r="C200" i="82"/>
  <c r="R199" i="82"/>
  <c r="S199" i="82"/>
  <c r="O199" i="82"/>
  <c r="M199" i="82"/>
  <c r="K199" i="82"/>
  <c r="C199" i="82"/>
  <c r="R198" i="82"/>
  <c r="S198" i="82"/>
  <c r="O198" i="82"/>
  <c r="M198" i="82"/>
  <c r="K198" i="82"/>
  <c r="C198" i="82"/>
  <c r="R197" i="82"/>
  <c r="S197" i="82"/>
  <c r="O197" i="82"/>
  <c r="M197" i="82"/>
  <c r="K197" i="82"/>
  <c r="C197" i="82"/>
  <c r="R196" i="82"/>
  <c r="S196" i="82"/>
  <c r="O196" i="82"/>
  <c r="M196" i="82"/>
  <c r="K196" i="82"/>
  <c r="C196" i="82"/>
  <c r="R195" i="82"/>
  <c r="S195" i="82"/>
  <c r="O195" i="82"/>
  <c r="M195" i="82"/>
  <c r="K195" i="82"/>
  <c r="C195" i="82"/>
  <c r="R194" i="82"/>
  <c r="S194" i="82"/>
  <c r="O194" i="82"/>
  <c r="M194" i="82"/>
  <c r="K194" i="82"/>
  <c r="C194" i="82"/>
  <c r="R193" i="82"/>
  <c r="S193" i="82"/>
  <c r="O193" i="82"/>
  <c r="M193" i="82"/>
  <c r="K193" i="82"/>
  <c r="C193" i="82"/>
  <c r="R192" i="82"/>
  <c r="S192" i="82"/>
  <c r="O192" i="82"/>
  <c r="M192" i="82"/>
  <c r="K192" i="82"/>
  <c r="C192" i="82"/>
  <c r="R191" i="82"/>
  <c r="S191" i="82"/>
  <c r="O191" i="82"/>
  <c r="M191" i="82"/>
  <c r="K191" i="82"/>
  <c r="C191" i="82"/>
  <c r="R190" i="82"/>
  <c r="S190" i="82"/>
  <c r="O190" i="82"/>
  <c r="M190" i="82"/>
  <c r="K190" i="82"/>
  <c r="C190" i="82"/>
  <c r="R189" i="82"/>
  <c r="S189" i="82"/>
  <c r="O189" i="82"/>
  <c r="M189" i="82"/>
  <c r="K189" i="82"/>
  <c r="C189" i="82"/>
  <c r="R188" i="82"/>
  <c r="S188" i="82"/>
  <c r="O188" i="82"/>
  <c r="M188" i="82"/>
  <c r="K188" i="82"/>
  <c r="C188" i="82"/>
  <c r="R187" i="82"/>
  <c r="S187" i="82"/>
  <c r="O187" i="82"/>
  <c r="M187" i="82"/>
  <c r="K187" i="82"/>
  <c r="C187" i="82"/>
  <c r="R186" i="82"/>
  <c r="S186" i="82"/>
  <c r="O186" i="82"/>
  <c r="M186" i="82"/>
  <c r="K186" i="82"/>
  <c r="C186" i="82"/>
  <c r="R185" i="82"/>
  <c r="S185" i="82"/>
  <c r="O185" i="82"/>
  <c r="M185" i="82"/>
  <c r="K185" i="82"/>
  <c r="C185" i="82"/>
  <c r="R184" i="82"/>
  <c r="S184" i="82"/>
  <c r="O184" i="82"/>
  <c r="M184" i="82"/>
  <c r="K184" i="82"/>
  <c r="C184" i="82"/>
  <c r="R183" i="82"/>
  <c r="S183" i="82"/>
  <c r="O183" i="82"/>
  <c r="M183" i="82"/>
  <c r="K183" i="82"/>
  <c r="C183" i="82"/>
  <c r="R182" i="82"/>
  <c r="S182" i="82"/>
  <c r="O182" i="82"/>
  <c r="M182" i="82"/>
  <c r="K182" i="82"/>
  <c r="C182" i="82"/>
  <c r="R181" i="82"/>
  <c r="S181" i="82"/>
  <c r="O181" i="82"/>
  <c r="M181" i="82"/>
  <c r="K181" i="82"/>
  <c r="C181" i="82"/>
  <c r="R180" i="82"/>
  <c r="S180" i="82"/>
  <c r="O180" i="82"/>
  <c r="M180" i="82"/>
  <c r="K180" i="82"/>
  <c r="C180" i="82"/>
  <c r="R179" i="82"/>
  <c r="S179" i="82"/>
  <c r="O179" i="82"/>
  <c r="M179" i="82"/>
  <c r="K179" i="82"/>
  <c r="C179" i="82"/>
  <c r="R178" i="82"/>
  <c r="S178" i="82"/>
  <c r="O178" i="82"/>
  <c r="M178" i="82"/>
  <c r="K178" i="82"/>
  <c r="C178" i="82"/>
  <c r="R177" i="82"/>
  <c r="S177" i="82"/>
  <c r="O177" i="82"/>
  <c r="M177" i="82"/>
  <c r="K177" i="82"/>
  <c r="C177" i="82"/>
  <c r="R176" i="82"/>
  <c r="S176" i="82"/>
  <c r="O176" i="82"/>
  <c r="M176" i="82"/>
  <c r="K176" i="82"/>
  <c r="C176" i="82"/>
  <c r="R175" i="82"/>
  <c r="S175" i="82"/>
  <c r="O175" i="82"/>
  <c r="M175" i="82"/>
  <c r="K175" i="82"/>
  <c r="C175" i="82"/>
  <c r="R174" i="82"/>
  <c r="S174" i="82"/>
  <c r="O174" i="82"/>
  <c r="M174" i="82"/>
  <c r="K174" i="82"/>
  <c r="C174" i="82"/>
  <c r="R173" i="82"/>
  <c r="S173" i="82"/>
  <c r="O173" i="82"/>
  <c r="M173" i="82"/>
  <c r="K173" i="82"/>
  <c r="C173" i="82"/>
  <c r="R172" i="82"/>
  <c r="S172" i="82"/>
  <c r="O172" i="82"/>
  <c r="M172" i="82"/>
  <c r="K172" i="82"/>
  <c r="C172" i="82"/>
  <c r="R171" i="82"/>
  <c r="S171" i="82"/>
  <c r="O171" i="82"/>
  <c r="M171" i="82"/>
  <c r="K171" i="82"/>
  <c r="C171" i="82"/>
  <c r="R170" i="82"/>
  <c r="S170" i="82"/>
  <c r="O170" i="82"/>
  <c r="M170" i="82"/>
  <c r="K170" i="82"/>
  <c r="C170" i="82"/>
  <c r="R169" i="82"/>
  <c r="S169" i="82"/>
  <c r="O169" i="82"/>
  <c r="M169" i="82"/>
  <c r="K169" i="82"/>
  <c r="C169" i="82"/>
  <c r="R168" i="82"/>
  <c r="S168" i="82"/>
  <c r="O168" i="82"/>
  <c r="M168" i="82"/>
  <c r="K168" i="82"/>
  <c r="C168" i="82"/>
  <c r="R167" i="82"/>
  <c r="S167" i="82"/>
  <c r="O167" i="82"/>
  <c r="M167" i="82"/>
  <c r="K167" i="82"/>
  <c r="C167" i="82"/>
  <c r="R166" i="82"/>
  <c r="S166" i="82"/>
  <c r="O166" i="82"/>
  <c r="M166" i="82"/>
  <c r="K166" i="82"/>
  <c r="C166" i="82"/>
  <c r="R165" i="82"/>
  <c r="S165" i="82"/>
  <c r="O165" i="82"/>
  <c r="M165" i="82"/>
  <c r="K165" i="82"/>
  <c r="C165" i="82"/>
  <c r="R164" i="82"/>
  <c r="S164" i="82"/>
  <c r="O164" i="82"/>
  <c r="M164" i="82"/>
  <c r="K164" i="82"/>
  <c r="C164" i="82"/>
  <c r="R163" i="82"/>
  <c r="S163" i="82"/>
  <c r="O163" i="82"/>
  <c r="M163" i="82"/>
  <c r="K163" i="82"/>
  <c r="C163" i="82"/>
  <c r="R162" i="82"/>
  <c r="S162" i="82"/>
  <c r="O162" i="82"/>
  <c r="M162" i="82"/>
  <c r="K162" i="82"/>
  <c r="C162" i="82"/>
  <c r="R161" i="82"/>
  <c r="S161" i="82"/>
  <c r="O161" i="82"/>
  <c r="M161" i="82"/>
  <c r="K161" i="82"/>
  <c r="C161" i="82"/>
  <c r="R160" i="82"/>
  <c r="S160" i="82"/>
  <c r="O160" i="82"/>
  <c r="M160" i="82"/>
  <c r="K160" i="82"/>
  <c r="C160" i="82"/>
  <c r="R159" i="82"/>
  <c r="S159" i="82"/>
  <c r="O159" i="82"/>
  <c r="M159" i="82"/>
  <c r="K159" i="82"/>
  <c r="C159" i="82"/>
  <c r="R158" i="82"/>
  <c r="S158" i="82"/>
  <c r="O158" i="82"/>
  <c r="M158" i="82"/>
  <c r="K158" i="82"/>
  <c r="C158" i="82"/>
  <c r="R157" i="82"/>
  <c r="S157" i="82"/>
  <c r="O157" i="82"/>
  <c r="M157" i="82"/>
  <c r="K157" i="82"/>
  <c r="C157" i="82"/>
  <c r="R156" i="82"/>
  <c r="S156" i="82"/>
  <c r="O156" i="82"/>
  <c r="M156" i="82"/>
  <c r="K156" i="82"/>
  <c r="C156" i="82"/>
  <c r="R155" i="82"/>
  <c r="S155" i="82"/>
  <c r="O155" i="82"/>
  <c r="M155" i="82"/>
  <c r="K155" i="82"/>
  <c r="C155" i="82"/>
  <c r="R154" i="82"/>
  <c r="S154" i="82"/>
  <c r="O154" i="82"/>
  <c r="M154" i="82"/>
  <c r="K154" i="82"/>
  <c r="C154" i="82"/>
  <c r="R153" i="82"/>
  <c r="S153" i="82"/>
  <c r="O153" i="82"/>
  <c r="M153" i="82"/>
  <c r="K153" i="82"/>
  <c r="C153" i="82"/>
  <c r="R152" i="82"/>
  <c r="S152" i="82"/>
  <c r="O152" i="82"/>
  <c r="M152" i="82"/>
  <c r="K152" i="82"/>
  <c r="C152" i="82"/>
  <c r="R151" i="82"/>
  <c r="S151" i="82"/>
  <c r="O151" i="82"/>
  <c r="M151" i="82"/>
  <c r="K151" i="82"/>
  <c r="C151" i="82"/>
  <c r="R150" i="82"/>
  <c r="S150" i="82"/>
  <c r="O150" i="82"/>
  <c r="M150" i="82"/>
  <c r="K150" i="82"/>
  <c r="C150" i="82"/>
  <c r="R149" i="82"/>
  <c r="S149" i="82"/>
  <c r="O149" i="82"/>
  <c r="M149" i="82"/>
  <c r="K149" i="82"/>
  <c r="C149" i="82"/>
  <c r="R148" i="82"/>
  <c r="S148" i="82"/>
  <c r="O148" i="82"/>
  <c r="M148" i="82"/>
  <c r="K148" i="82"/>
  <c r="C148" i="82"/>
  <c r="R147" i="82"/>
  <c r="S147" i="82"/>
  <c r="O147" i="82"/>
  <c r="M147" i="82"/>
  <c r="K147" i="82"/>
  <c r="C147" i="82"/>
  <c r="R146" i="82"/>
  <c r="S146" i="82"/>
  <c r="O146" i="82"/>
  <c r="M146" i="82"/>
  <c r="K146" i="82"/>
  <c r="C146" i="82"/>
  <c r="R145" i="82"/>
  <c r="S145" i="82"/>
  <c r="O145" i="82"/>
  <c r="M145" i="82"/>
  <c r="K145" i="82"/>
  <c r="C145" i="82"/>
  <c r="R144" i="82"/>
  <c r="S144" i="82"/>
  <c r="O144" i="82"/>
  <c r="M144" i="82"/>
  <c r="K144" i="82"/>
  <c r="C144" i="82"/>
  <c r="R143" i="82"/>
  <c r="S143" i="82"/>
  <c r="O143" i="82"/>
  <c r="M143" i="82"/>
  <c r="K143" i="82"/>
  <c r="C143" i="82"/>
  <c r="R142" i="82"/>
  <c r="S142" i="82"/>
  <c r="O142" i="82"/>
  <c r="M142" i="82"/>
  <c r="K142" i="82"/>
  <c r="C142" i="82"/>
  <c r="R141" i="82"/>
  <c r="S141" i="82"/>
  <c r="O141" i="82"/>
  <c r="M141" i="82"/>
  <c r="K141" i="82"/>
  <c r="C141" i="82"/>
  <c r="R140" i="82"/>
  <c r="S140" i="82"/>
  <c r="O140" i="82"/>
  <c r="M140" i="82"/>
  <c r="K140" i="82"/>
  <c r="C140" i="82"/>
  <c r="R139" i="82"/>
  <c r="S139" i="82"/>
  <c r="O139" i="82"/>
  <c r="M139" i="82"/>
  <c r="K139" i="82"/>
  <c r="C139" i="82"/>
  <c r="R138" i="82"/>
  <c r="S138" i="82"/>
  <c r="O138" i="82"/>
  <c r="M138" i="82"/>
  <c r="K138" i="82"/>
  <c r="C138" i="82"/>
  <c r="R137" i="82"/>
  <c r="S137" i="82"/>
  <c r="O137" i="82"/>
  <c r="M137" i="82"/>
  <c r="K137" i="82"/>
  <c r="C137" i="82"/>
  <c r="R136" i="82"/>
  <c r="S136" i="82"/>
  <c r="O136" i="82"/>
  <c r="M136" i="82"/>
  <c r="K136" i="82"/>
  <c r="C136" i="82"/>
  <c r="R135" i="82"/>
  <c r="S135" i="82"/>
  <c r="O135" i="82"/>
  <c r="M135" i="82"/>
  <c r="K135" i="82"/>
  <c r="C135" i="82"/>
  <c r="R134" i="82"/>
  <c r="S134" i="82"/>
  <c r="O134" i="82"/>
  <c r="M134" i="82"/>
  <c r="K134" i="82"/>
  <c r="C134" i="82"/>
  <c r="R133" i="82"/>
  <c r="S133" i="82"/>
  <c r="O133" i="82"/>
  <c r="M133" i="82"/>
  <c r="K133" i="82"/>
  <c r="C133" i="82"/>
  <c r="R132" i="82"/>
  <c r="S132" i="82"/>
  <c r="O132" i="82"/>
  <c r="M132" i="82"/>
  <c r="K132" i="82"/>
  <c r="C132" i="82"/>
  <c r="R131" i="82"/>
  <c r="S131" i="82"/>
  <c r="O131" i="82"/>
  <c r="M131" i="82"/>
  <c r="K131" i="82"/>
  <c r="C131" i="82"/>
  <c r="R130" i="82"/>
  <c r="S130" i="82"/>
  <c r="O130" i="82"/>
  <c r="M130" i="82"/>
  <c r="K130" i="82"/>
  <c r="C130" i="82"/>
  <c r="R129" i="82"/>
  <c r="S129" i="82"/>
  <c r="O129" i="82"/>
  <c r="M129" i="82"/>
  <c r="K129" i="82"/>
  <c r="C129" i="82"/>
  <c r="R128" i="82"/>
  <c r="S128" i="82"/>
  <c r="O128" i="82"/>
  <c r="M128" i="82"/>
  <c r="K128" i="82"/>
  <c r="C128" i="82"/>
  <c r="R127" i="82"/>
  <c r="S127" i="82"/>
  <c r="O127" i="82"/>
  <c r="M127" i="82"/>
  <c r="K127" i="82"/>
  <c r="C127" i="82"/>
  <c r="R126" i="82"/>
  <c r="S126" i="82"/>
  <c r="O126" i="82"/>
  <c r="M126" i="82"/>
  <c r="K126" i="82"/>
  <c r="C126" i="82"/>
  <c r="R125" i="82"/>
  <c r="S125" i="82"/>
  <c r="O125" i="82"/>
  <c r="M125" i="82"/>
  <c r="K125" i="82"/>
  <c r="C125" i="82"/>
  <c r="R124" i="82"/>
  <c r="S124" i="82"/>
  <c r="O124" i="82"/>
  <c r="M124" i="82"/>
  <c r="K124" i="82"/>
  <c r="C124" i="82"/>
  <c r="R123" i="82"/>
  <c r="S123" i="82"/>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D89" i="33"/>
  <c r="E89" i="33"/>
  <c r="F89" i="33"/>
  <c r="G89" i="33"/>
  <c r="G9" i="31"/>
  <c r="F9" i="31"/>
  <c r="E9" i="31"/>
  <c r="D9" i="31"/>
  <c r="C9" i="31"/>
  <c r="B9" i="31"/>
  <c r="G7" i="31"/>
  <c r="F7" i="31"/>
  <c r="E7" i="31"/>
  <c r="D7" i="31"/>
  <c r="C7" i="31"/>
  <c r="B7" i="31"/>
  <c r="T5" i="31"/>
  <c r="B5" i="31"/>
  <c r="F5" i="31"/>
  <c r="E5" i="31"/>
  <c r="D5" i="31"/>
  <c r="C5" i="31"/>
  <c r="J3" i="31"/>
  <c r="I3" i="31"/>
  <c r="H3" i="31"/>
  <c r="G3" i="31"/>
  <c r="F3" i="31"/>
  <c r="E3" i="31"/>
  <c r="D3" i="31"/>
  <c r="C3" i="31"/>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E111" i="80"/>
  <c r="H111" i="80"/>
  <c r="D126" i="80"/>
  <c r="D127" i="80"/>
  <c r="A126" i="80"/>
  <c r="E109" i="80"/>
  <c r="A124" i="80"/>
  <c r="E107" i="80"/>
  <c r="A122" i="80"/>
  <c r="H106" i="80"/>
  <c r="H105" i="80"/>
  <c r="H103" i="80"/>
  <c r="D120"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E111" i="78"/>
  <c r="H111" i="78"/>
  <c r="D126" i="78"/>
  <c r="D127" i="78"/>
  <c r="A126" i="78"/>
  <c r="E109" i="78"/>
  <c r="A124" i="78"/>
  <c r="E107" i="78"/>
  <c r="A122" i="78"/>
  <c r="H106" i="78"/>
  <c r="H105" i="78"/>
  <c r="H103" i="78"/>
  <c r="D120"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D46" i="77"/>
  <c r="F61" i="77"/>
  <c r="F60" i="77"/>
  <c r="F31" i="77"/>
  <c r="M17" i="77"/>
  <c r="C18" i="80"/>
  <c r="D18" i="80"/>
  <c r="C18" i="78"/>
  <c r="D18" i="78"/>
  <c r="C92" i="80"/>
  <c r="C94" i="80"/>
  <c r="K120" i="80"/>
  <c r="D121" i="80"/>
  <c r="H109" i="80"/>
  <c r="H112" i="80"/>
  <c r="D24" i="79"/>
  <c r="P61" i="79"/>
  <c r="D22" i="79"/>
  <c r="C92" i="78"/>
  <c r="C94" i="78"/>
  <c r="K120" i="78"/>
  <c r="D121" i="78"/>
  <c r="H109" i="78"/>
  <c r="H112" i="78"/>
  <c r="D23" i="77"/>
  <c r="D22" i="77"/>
  <c r="D24" i="77"/>
  <c r="P61" i="77"/>
  <c r="D124" i="80"/>
  <c r="D125" i="80"/>
  <c r="H110" i="80"/>
  <c r="D124" i="78"/>
  <c r="D125" i="78"/>
  <c r="H110"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C26" i="71"/>
  <c r="C27" i="71"/>
  <c r="C28" i="71"/>
  <c r="D28"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A21" i="62"/>
  <c r="A20" i="62"/>
  <c r="A22" i="51"/>
  <c r="A21" i="51"/>
  <c r="A20" i="51"/>
  <c r="L20" i="4"/>
  <c r="L21" i="4"/>
  <c r="L22" i="4"/>
  <c r="A15" i="62"/>
  <c r="A14" i="62"/>
  <c r="A13" i="62"/>
  <c r="B59" i="72"/>
  <c r="A19" i="62"/>
  <c r="A12" i="62"/>
  <c r="B58" i="72"/>
  <c r="A120" i="9"/>
  <c r="H2" i="52"/>
  <c r="A1" i="52"/>
  <c r="A3" i="53"/>
  <c r="A15" i="51"/>
  <c r="B12" i="72"/>
  <c r="C76" i="9"/>
  <c r="I107" i="40"/>
  <c r="B22" i="31"/>
  <c r="N56" i="9"/>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D27" i="71"/>
  <c r="C24" i="71"/>
  <c r="D23" i="71"/>
  <c r="C20" i="71"/>
  <c r="D19" i="71"/>
  <c r="C14" i="71"/>
  <c r="D14" i="71"/>
  <c r="D15" i="71"/>
  <c r="V16" i="71"/>
  <c r="P53" i="71"/>
  <c r="P54" i="71"/>
  <c r="O54" i="71"/>
  <c r="D54" i="71"/>
  <c r="O53" i="71"/>
  <c r="T20" i="71"/>
  <c r="D20" i="71"/>
  <c r="T24" i="71"/>
  <c r="D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3" i="6"/>
  <c r="L24" i="6"/>
  <c r="L25" i="6"/>
  <c r="L26" i="6"/>
  <c r="P27" i="6"/>
  <c r="Q25" i="40"/>
  <c r="Z25" i="40"/>
  <c r="D94" i="40"/>
  <c r="E94" i="40"/>
  <c r="F25" i="40"/>
  <c r="AA25" i="40"/>
  <c r="Q18" i="36"/>
  <c r="Z18" i="36"/>
  <c r="D66" i="36"/>
  <c r="E66" i="36"/>
  <c r="F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E9" i="68"/>
  <c r="W21" i="21"/>
  <c r="AC21" i="21"/>
  <c r="Q72" i="67"/>
  <c r="Q59" i="67"/>
  <c r="Q58" i="67"/>
  <c r="Q51" i="67"/>
  <c r="J50" i="67"/>
  <c r="M47" i="67"/>
  <c r="D46" i="67"/>
  <c r="F33" i="67"/>
  <c r="F61" i="67"/>
  <c r="F23" i="67"/>
  <c r="D24" i="67"/>
  <c r="F21" i="67"/>
  <c r="F20" i="67"/>
  <c r="M19" i="67"/>
  <c r="F18" i="67"/>
  <c r="F17" i="67"/>
  <c r="F15" i="67"/>
  <c r="D22" i="67"/>
  <c r="D23" i="67"/>
  <c r="A13" i="51"/>
  <c r="B11" i="72"/>
  <c r="S1" i="4"/>
  <c r="B1" i="4"/>
  <c r="I23" i="66"/>
  <c r="D2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F15" i="4"/>
  <c r="G15" i="4"/>
  <c r="F10" i="1"/>
  <c r="F11" i="1"/>
  <c r="F12" i="1"/>
  <c r="D12" i="1"/>
  <c r="G12" i="1"/>
  <c r="F13" i="1"/>
  <c r="D6" i="1"/>
  <c r="D10" i="1"/>
  <c r="D11" i="1"/>
  <c r="D13"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R80" i="31"/>
  <c r="R81" i="31"/>
  <c r="R82" i="31"/>
  <c r="R83" i="31"/>
  <c r="R84" i="31"/>
  <c r="R85" i="31"/>
  <c r="R86" i="31"/>
  <c r="R87" i="31"/>
  <c r="R88" i="31"/>
  <c r="R89" i="31"/>
  <c r="R90" i="31"/>
  <c r="R91" i="31"/>
  <c r="R92" i="31"/>
  <c r="R93" i="31"/>
  <c r="R94" i="31"/>
  <c r="R95" i="31"/>
  <c r="R96" i="31"/>
  <c r="R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R115" i="31"/>
  <c r="S115" i="31"/>
  <c r="R116" i="31"/>
  <c r="R117" i="31"/>
  <c r="S117" i="31"/>
  <c r="R118" i="31"/>
  <c r="R119" i="31"/>
  <c r="S119" i="31"/>
  <c r="R120" i="31"/>
  <c r="R121" i="31"/>
  <c r="S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S206" i="31"/>
  <c r="R207" i="31"/>
  <c r="S207" i="31"/>
  <c r="R208" i="31"/>
  <c r="R209" i="31"/>
  <c r="S209" i="31"/>
  <c r="R210" i="31"/>
  <c r="S210" i="31"/>
  <c r="R211" i="31"/>
  <c r="S211" i="31"/>
  <c r="R212" i="31"/>
  <c r="R213" i="31"/>
  <c r="S213" i="31"/>
  <c r="R214" i="31"/>
  <c r="S214" i="31"/>
  <c r="R215" i="31"/>
  <c r="S215" i="31"/>
  <c r="R216" i="31"/>
  <c r="R217" i="31"/>
  <c r="S217" i="31"/>
  <c r="R218" i="31"/>
  <c r="S218" i="31"/>
  <c r="R219" i="31"/>
  <c r="S219" i="31"/>
  <c r="R220" i="31"/>
  <c r="R221" i="31"/>
  <c r="S221" i="31"/>
  <c r="R222" i="31"/>
  <c r="S222" i="31"/>
  <c r="R223" i="31"/>
  <c r="R224" i="31"/>
  <c r="S224" i="31"/>
  <c r="R225" i="31"/>
  <c r="S225" i="31"/>
  <c r="R226" i="31"/>
  <c r="S226" i="31"/>
  <c r="R227" i="31"/>
  <c r="R228" i="31"/>
  <c r="S228" i="31"/>
  <c r="R229" i="31"/>
  <c r="S229" i="31"/>
  <c r="R230" i="31"/>
  <c r="S230" i="31"/>
  <c r="R231" i="31"/>
  <c r="R232" i="31"/>
  <c r="S232" i="31"/>
  <c r="R233" i="31"/>
  <c r="S233" i="31"/>
  <c r="R234" i="31"/>
  <c r="S234" i="31"/>
  <c r="R235" i="31"/>
  <c r="R236" i="31"/>
  <c r="S236" i="31"/>
  <c r="R237" i="31"/>
  <c r="S237" i="31"/>
  <c r="R238" i="31"/>
  <c r="S238" i="31"/>
  <c r="R239" i="31"/>
  <c r="R240" i="31"/>
  <c r="S240" i="31"/>
  <c r="R241" i="31"/>
  <c r="S241" i="31"/>
  <c r="R242" i="31"/>
  <c r="S242" i="31"/>
  <c r="R243" i="31"/>
  <c r="R244" i="31"/>
  <c r="S244" i="31"/>
  <c r="R245" i="31"/>
  <c r="S245" i="31"/>
  <c r="R246" i="31"/>
  <c r="S246" i="31"/>
  <c r="R247" i="31"/>
  <c r="R248" i="31"/>
  <c r="S248" i="31"/>
  <c r="R249" i="31"/>
  <c r="S249" i="31"/>
  <c r="R250" i="31"/>
  <c r="S250" i="31"/>
  <c r="R251" i="31"/>
  <c r="R252" i="31"/>
  <c r="S252" i="31"/>
  <c r="R253" i="31"/>
  <c r="S253" i="31"/>
  <c r="R254" i="31"/>
  <c r="S254" i="31"/>
  <c r="R255" i="31"/>
  <c r="S255" i="31"/>
  <c r="R256" i="31"/>
  <c r="R257" i="31"/>
  <c r="S257" i="31"/>
  <c r="R258" i="31"/>
  <c r="S258" i="31"/>
  <c r="R259" i="31"/>
  <c r="S259" i="31"/>
  <c r="R260" i="31"/>
  <c r="S260" i="31"/>
  <c r="R261" i="31"/>
  <c r="S261" i="31"/>
  <c r="R262" i="31"/>
  <c r="S262" i="31"/>
  <c r="R263" i="31"/>
  <c r="S263" i="31"/>
  <c r="R264" i="31"/>
  <c r="R265" i="31"/>
  <c r="S265" i="31"/>
  <c r="R266" i="31"/>
  <c r="S266" i="31"/>
  <c r="R267" i="31"/>
  <c r="S267" i="31"/>
  <c r="R268" i="31"/>
  <c r="S268" i="31"/>
  <c r="R269" i="31"/>
  <c r="S269" i="31"/>
  <c r="R270" i="31"/>
  <c r="S270" i="31"/>
  <c r="R271" i="31"/>
  <c r="S271" i="31"/>
  <c r="R272" i="31"/>
  <c r="R273" i="31"/>
  <c r="S273" i="31"/>
  <c r="R274" i="31"/>
  <c r="S274" i="31"/>
  <c r="R275" i="31"/>
  <c r="S275" i="31"/>
  <c r="R276" i="31"/>
  <c r="S276" i="31"/>
  <c r="R277" i="31"/>
  <c r="S277" i="31"/>
  <c r="R278" i="31"/>
  <c r="S278" i="31"/>
  <c r="R279" i="31"/>
  <c r="S279" i="31"/>
  <c r="R280" i="31"/>
  <c r="R281" i="31"/>
  <c r="S281" i="31"/>
  <c r="R282" i="31"/>
  <c r="S282" i="31"/>
  <c r="R283" i="31"/>
  <c r="S283" i="31"/>
  <c r="R284" i="31"/>
  <c r="S284" i="31"/>
  <c r="R285" i="31"/>
  <c r="S285" i="31"/>
  <c r="R286" i="31"/>
  <c r="S286" i="31"/>
  <c r="R287" i="31"/>
  <c r="S287" i="31"/>
  <c r="R288" i="31"/>
  <c r="R289" i="31"/>
  <c r="S289" i="31"/>
  <c r="R290" i="31"/>
  <c r="S290" i="31"/>
  <c r="R291" i="31"/>
  <c r="S291" i="31"/>
  <c r="R292" i="31"/>
  <c r="S292" i="31"/>
  <c r="R293" i="31"/>
  <c r="S293" i="31"/>
  <c r="R294" i="31"/>
  <c r="S294" i="31"/>
  <c r="R295" i="31"/>
  <c r="S295" i="31"/>
  <c r="R296" i="31"/>
  <c r="R297" i="31"/>
  <c r="S297" i="31"/>
  <c r="R298" i="31"/>
  <c r="S298" i="31"/>
  <c r="R299" i="31"/>
  <c r="S299" i="31"/>
  <c r="R300" i="31"/>
  <c r="S300" i="31"/>
  <c r="R301" i="31"/>
  <c r="S301" i="31"/>
  <c r="R302" i="31"/>
  <c r="S302" i="31"/>
  <c r="R303" i="31"/>
  <c r="S303" i="31"/>
  <c r="R304" i="31"/>
  <c r="R305" i="31"/>
  <c r="S305" i="31"/>
  <c r="R306" i="31"/>
  <c r="S306" i="31"/>
  <c r="R307" i="31"/>
  <c r="S307" i="31"/>
  <c r="R308" i="31"/>
  <c r="S308" i="31"/>
  <c r="R309" i="31"/>
  <c r="S309" i="31"/>
  <c r="R310" i="31"/>
  <c r="S310" i="31"/>
  <c r="R311" i="31"/>
  <c r="S311" i="31"/>
  <c r="R312" i="31"/>
  <c r="R313" i="31"/>
  <c r="S313" i="31"/>
  <c r="R314" i="31"/>
  <c r="S314" i="31"/>
  <c r="R315" i="31"/>
  <c r="S315" i="31"/>
  <c r="R316" i="31"/>
  <c r="S316" i="31"/>
  <c r="R317" i="31"/>
  <c r="S317" i="31"/>
  <c r="R318" i="31"/>
  <c r="S318" i="31"/>
  <c r="R319" i="31"/>
  <c r="S319" i="31"/>
  <c r="R320" i="31"/>
  <c r="R321" i="31"/>
  <c r="S321" i="31"/>
  <c r="R322" i="31"/>
  <c r="S322" i="31"/>
  <c r="R323" i="31"/>
  <c r="S323" i="31"/>
  <c r="R324" i="31"/>
  <c r="S324" i="31"/>
  <c r="R325" i="31"/>
  <c r="S325" i="31"/>
  <c r="R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R343" i="31"/>
  <c r="S343" i="31"/>
  <c r="R344" i="31"/>
  <c r="S344" i="31"/>
  <c r="R345" i="31"/>
  <c r="S345" i="31"/>
  <c r="R346" i="31"/>
  <c r="S346" i="31"/>
  <c r="R347" i="31"/>
  <c r="S347" i="31"/>
  <c r="R348" i="31"/>
  <c r="S348" i="31"/>
  <c r="R349" i="31"/>
  <c r="S349" i="31"/>
  <c r="R350" i="31"/>
  <c r="R351" i="31"/>
  <c r="S351" i="31"/>
  <c r="R352" i="31"/>
  <c r="S352" i="31"/>
  <c r="R353" i="31"/>
  <c r="S353" i="31"/>
  <c r="R354" i="31"/>
  <c r="S354" i="31"/>
  <c r="R355" i="31"/>
  <c r="S355" i="31"/>
  <c r="R356" i="31"/>
  <c r="S356" i="31"/>
  <c r="R357" i="31"/>
  <c r="S357" i="31"/>
  <c r="R358" i="31"/>
  <c r="R359" i="31"/>
  <c r="S359" i="31"/>
  <c r="R360" i="31"/>
  <c r="S360" i="31"/>
  <c r="R361" i="31"/>
  <c r="S361" i="31"/>
  <c r="R362" i="31"/>
  <c r="S362" i="31"/>
  <c r="R363" i="31"/>
  <c r="S363" i="31"/>
  <c r="R364" i="31"/>
  <c r="S364" i="31"/>
  <c r="R365" i="31"/>
  <c r="S365" i="31"/>
  <c r="R366" i="31"/>
  <c r="R367" i="31"/>
  <c r="S367" i="31"/>
  <c r="R368" i="31"/>
  <c r="S368" i="31"/>
  <c r="R369" i="31"/>
  <c r="S369" i="31"/>
  <c r="R370" i="31"/>
  <c r="S370" i="31"/>
  <c r="R371" i="31"/>
  <c r="S371" i="31"/>
  <c r="R372" i="31"/>
  <c r="S372" i="31"/>
  <c r="R373" i="31"/>
  <c r="S373" i="31"/>
  <c r="R374" i="31"/>
  <c r="R375" i="31"/>
  <c r="S375" i="31"/>
  <c r="R376" i="31"/>
  <c r="S376" i="31"/>
  <c r="R377" i="31"/>
  <c r="S377" i="31"/>
  <c r="R378" i="31"/>
  <c r="S378" i="31"/>
  <c r="R379" i="31"/>
  <c r="S379" i="31"/>
  <c r="R380" i="31"/>
  <c r="S380" i="31"/>
  <c r="R381" i="31"/>
  <c r="S381" i="31"/>
  <c r="R382" i="31"/>
  <c r="R383" i="31"/>
  <c r="S383" i="31"/>
  <c r="R384" i="31"/>
  <c r="S384" i="31"/>
  <c r="R385" i="31"/>
  <c r="S385" i="31"/>
  <c r="R386" i="31"/>
  <c r="S386" i="31"/>
  <c r="R387" i="31"/>
  <c r="S387" i="31"/>
  <c r="R388" i="31"/>
  <c r="S388" i="31"/>
  <c r="R389" i="31"/>
  <c r="S389" i="31"/>
  <c r="R390" i="31"/>
  <c r="R391" i="31"/>
  <c r="S391" i="31"/>
  <c r="R392" i="31"/>
  <c r="S392" i="31"/>
  <c r="R393" i="31"/>
  <c r="S393" i="31"/>
  <c r="R394" i="31"/>
  <c r="S394" i="31"/>
  <c r="R395" i="31"/>
  <c r="S395" i="31"/>
  <c r="R396" i="31"/>
  <c r="S396" i="31"/>
  <c r="R397" i="31"/>
  <c r="S397" i="31"/>
  <c r="R398" i="31"/>
  <c r="R399" i="31"/>
  <c r="S399" i="31"/>
  <c r="R400" i="31"/>
  <c r="S400" i="31"/>
  <c r="R401" i="31"/>
  <c r="S401" i="31"/>
  <c r="R402" i="31"/>
  <c r="S402" i="31"/>
  <c r="R403" i="31"/>
  <c r="S403" i="31"/>
  <c r="R404" i="31"/>
  <c r="S404" i="31"/>
  <c r="R405" i="31"/>
  <c r="S405" i="31"/>
  <c r="R406" i="31"/>
  <c r="R407" i="31"/>
  <c r="S407" i="31"/>
  <c r="R408" i="31"/>
  <c r="S408" i="31"/>
  <c r="R409" i="31"/>
  <c r="S409" i="31"/>
  <c r="R410" i="31"/>
  <c r="S410" i="31"/>
  <c r="R411" i="31"/>
  <c r="S411" i="31"/>
  <c r="R412" i="31"/>
  <c r="S412" i="31"/>
  <c r="R413" i="31"/>
  <c r="S413" i="31"/>
  <c r="R414" i="31"/>
  <c r="R415" i="31"/>
  <c r="S415" i="31"/>
  <c r="R416" i="31"/>
  <c r="S416" i="31"/>
  <c r="R417" i="31"/>
  <c r="S417" i="31"/>
  <c r="R418" i="31"/>
  <c r="S418" i="31"/>
  <c r="R419" i="31"/>
  <c r="S419" i="31"/>
  <c r="R420" i="31"/>
  <c r="S420" i="31"/>
  <c r="R421" i="31"/>
  <c r="S421" i="31"/>
  <c r="R422" i="31"/>
  <c r="R423" i="31"/>
  <c r="S423" i="31"/>
  <c r="R424" i="31"/>
  <c r="S424" i="31"/>
  <c r="R425" i="31"/>
  <c r="S425" i="31"/>
  <c r="R426" i="31"/>
  <c r="R427" i="31"/>
  <c r="S427" i="31"/>
  <c r="R428" i="31"/>
  <c r="S428" i="31"/>
  <c r="R429" i="31"/>
  <c r="S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S443" i="31"/>
  <c r="R444" i="31"/>
  <c r="S444" i="31"/>
  <c r="R445" i="31"/>
  <c r="R446" i="31"/>
  <c r="S446" i="31"/>
  <c r="R447" i="31"/>
  <c r="S447" i="31"/>
  <c r="R448" i="31"/>
  <c r="S448" i="31"/>
  <c r="R449" i="31"/>
  <c r="R450" i="31"/>
  <c r="S450" i="31"/>
  <c r="R451" i="31"/>
  <c r="S451" i="31"/>
  <c r="R452" i="31"/>
  <c r="S452" i="31"/>
  <c r="R453" i="31"/>
  <c r="R454" i="31"/>
  <c r="S454" i="31"/>
  <c r="R455" i="31"/>
  <c r="S455" i="31"/>
  <c r="R456" i="31"/>
  <c r="S456" i="31"/>
  <c r="R457" i="31"/>
  <c r="R458" i="31"/>
  <c r="S458" i="31"/>
  <c r="R459" i="31"/>
  <c r="S459" i="31"/>
  <c r="R460" i="31"/>
  <c r="S460" i="31"/>
  <c r="R461" i="31"/>
  <c r="R462" i="31"/>
  <c r="S462" i="31"/>
  <c r="R463" i="31"/>
  <c r="S463" i="31"/>
  <c r="R464" i="31"/>
  <c r="S464" i="31"/>
  <c r="R465" i="31"/>
  <c r="R466" i="31"/>
  <c r="S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S498" i="31"/>
  <c r="R499" i="31"/>
  <c r="S499" i="31"/>
  <c r="R500" i="31"/>
  <c r="R501" i="31"/>
  <c r="R502" i="31"/>
  <c r="S502" i="31"/>
  <c r="R503" i="31"/>
  <c r="S503" i="31"/>
  <c r="R504" i="31"/>
  <c r="R505" i="31"/>
  <c r="R506" i="31"/>
  <c r="S506" i="31"/>
  <c r="R507" i="31"/>
  <c r="S507" i="31"/>
  <c r="R508" i="31"/>
  <c r="R509" i="31"/>
  <c r="S509" i="31"/>
  <c r="R510" i="31"/>
  <c r="R511" i="31"/>
  <c r="S511" i="31"/>
  <c r="R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G7" i="1"/>
  <c r="F19" i="4"/>
  <c r="F2" i="52"/>
  <c r="B50" i="72"/>
  <c r="D2" i="52"/>
  <c r="B46" i="72"/>
  <c r="B8" i="53"/>
  <c r="B23" i="72"/>
  <c r="L4" i="9"/>
  <c r="B17" i="72"/>
  <c r="B15" i="72"/>
  <c r="A3" i="51"/>
  <c r="C8" i="11"/>
  <c r="B2" i="49"/>
  <c r="E10" i="49" s="1"/>
  <c r="B40" i="48"/>
  <c r="B3" i="72"/>
  <c r="I2" i="43"/>
  <c r="N1" i="43"/>
  <c r="F35" i="4"/>
  <c r="H34" i="43"/>
  <c r="H35" i="43"/>
  <c r="H36" i="43"/>
  <c r="H37" i="43"/>
  <c r="H38" i="43"/>
  <c r="H39" i="43"/>
  <c r="H33" i="43"/>
  <c r="J20" i="43"/>
  <c r="C18" i="43"/>
  <c r="F15" i="43"/>
  <c r="E15" i="43"/>
  <c r="D15" i="43"/>
  <c r="C15" i="43"/>
  <c r="C10" i="43"/>
  <c r="C11" i="43"/>
  <c r="C9" i="43"/>
  <c r="A7" i="43"/>
  <c r="F33" i="15"/>
  <c r="F61" i="15"/>
  <c r="M19" i="15"/>
  <c r="D78" i="9"/>
  <c r="M18" i="78"/>
  <c r="B118" i="78"/>
  <c r="F23" i="15"/>
  <c r="D24" i="15"/>
  <c r="O13" i="1"/>
  <c r="P13" i="1"/>
  <c r="M18" i="88"/>
  <c r="B118" i="88"/>
  <c r="F35" i="11"/>
  <c r="F36" i="11"/>
  <c r="F38" i="11"/>
  <c r="E37" i="11"/>
  <c r="F20" i="11"/>
  <c r="F21" i="11"/>
  <c r="C21" i="11"/>
  <c r="F7" i="11"/>
  <c r="C7" i="11"/>
  <c r="F12" i="12"/>
  <c r="F13" i="12"/>
  <c r="F15" i="12"/>
  <c r="E14" i="12"/>
  <c r="E19" i="12"/>
  <c r="E20" i="12"/>
  <c r="E17" i="12"/>
  <c r="F22" i="12"/>
  <c r="F23" i="12"/>
  <c r="I55" i="9"/>
  <c r="F55" i="9"/>
  <c r="O53" i="9"/>
  <c r="J55" i="9"/>
  <c r="T4" i="1"/>
  <c r="F15" i="15"/>
  <c r="F17" i="15"/>
  <c r="F18" i="15"/>
  <c r="F20" i="15"/>
  <c r="F21" i="15"/>
  <c r="D3" i="35"/>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7" i="31"/>
  <c r="S433" i="31"/>
  <c r="S122" i="31"/>
  <c r="S120" i="31"/>
  <c r="S118" i="31"/>
  <c r="S116" i="31"/>
  <c r="S114" i="31"/>
  <c r="S112" i="31"/>
  <c r="S504" i="31"/>
  <c r="S500" i="31"/>
  <c r="S465" i="31"/>
  <c r="S461" i="31"/>
  <c r="S457"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F17" i="21"/>
  <c r="AA17" i="21"/>
  <c r="H17" i="21"/>
  <c r="AB17" i="21"/>
  <c r="F15" i="21"/>
  <c r="S15" i="21"/>
  <c r="AB11" i="21"/>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c r="A12" i="52"/>
  <c r="B56" i="72"/>
  <c r="G4" i="4"/>
  <c r="I4" i="4"/>
  <c r="K5" i="4"/>
  <c r="B47" i="48"/>
  <c r="A2" i="9"/>
  <c r="F29" i="6"/>
  <c r="U36" i="40"/>
  <c r="F36" i="43"/>
  <c r="F81" i="43"/>
  <c r="H83" i="43"/>
  <c r="H113" i="43"/>
  <c r="F48" i="43"/>
  <c r="H52" i="43"/>
  <c r="F70" i="43"/>
  <c r="H73" i="43"/>
  <c r="M11" i="43"/>
  <c r="D17" i="43"/>
  <c r="F39" i="43"/>
  <c r="I17" i="43"/>
  <c r="F35" i="43"/>
  <c r="J17" i="43"/>
  <c r="G6" i="1"/>
  <c r="U43" i="21"/>
  <c r="U35" i="21"/>
  <c r="AC35" i="21"/>
  <c r="U10" i="21"/>
  <c r="F48" i="9"/>
  <c r="O52" i="9"/>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H75" i="43"/>
  <c r="H27" i="36"/>
  <c r="U27" i="36"/>
  <c r="F27" i="36"/>
  <c r="AA27" i="36"/>
  <c r="H33" i="34"/>
  <c r="U33" i="34"/>
  <c r="F32" i="37"/>
  <c r="AA32" i="37"/>
  <c r="G96" i="37"/>
  <c r="H96" i="37"/>
  <c r="I96" i="37"/>
  <c r="J96" i="37"/>
  <c r="K96" i="37"/>
  <c r="L96" i="37"/>
  <c r="M96" i="37"/>
  <c r="F20" i="36"/>
  <c r="AA20" i="36"/>
  <c r="J33" i="34"/>
  <c r="AC33" i="34"/>
  <c r="H86" i="43"/>
  <c r="H82" i="43"/>
  <c r="H87" i="43"/>
  <c r="D93" i="9"/>
  <c r="AC26" i="33"/>
  <c r="W26" i="33"/>
  <c r="AB34" i="36"/>
  <c r="U34" i="36"/>
  <c r="AB33" i="36"/>
  <c r="U33" i="36"/>
  <c r="AC39" i="40"/>
  <c r="W39" i="40"/>
  <c r="W12" i="33"/>
  <c r="AC12" i="33"/>
  <c r="AA32" i="36"/>
  <c r="S32" i="36"/>
  <c r="U30" i="33"/>
  <c r="AC13" i="34"/>
  <c r="AA47" i="34"/>
  <c r="W28" i="37"/>
  <c r="F12" i="33"/>
  <c r="F39" i="40"/>
  <c r="S12" i="1"/>
  <c r="AR12" i="1"/>
  <c r="R12" i="1"/>
  <c r="B12" i="1"/>
  <c r="E12" i="1"/>
  <c r="B10" i="1"/>
  <c r="E10" i="1"/>
  <c r="S13" i="1"/>
  <c r="AR13" i="1"/>
  <c r="R13" i="1"/>
  <c r="J51" i="67"/>
  <c r="C77" i="9"/>
  <c r="H100" i="43"/>
  <c r="AC34" i="33"/>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J56" i="9"/>
  <c r="J57" i="9"/>
  <c r="J59" i="9"/>
  <c r="J61" i="9"/>
  <c r="A24" i="51"/>
  <c r="B18" i="72"/>
  <c r="U29" i="34"/>
  <c r="D9" i="11"/>
  <c r="C9" i="11"/>
  <c r="E32" i="6"/>
  <c r="G1" i="68"/>
  <c r="K1" i="12"/>
  <c r="E19" i="69"/>
  <c r="E19" i="68"/>
  <c r="E19" i="11"/>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5"/>
  <c r="C48" i="35"/>
  <c r="C7" i="33"/>
  <c r="C58" i="33"/>
  <c r="D58" i="33"/>
  <c r="E58" i="33"/>
  <c r="F58" i="33"/>
  <c r="G58" i="33"/>
  <c r="H58" i="33"/>
  <c r="I58" i="33"/>
  <c r="J58" i="33"/>
  <c r="K58" i="33"/>
  <c r="L58" i="33"/>
  <c r="M58" i="33"/>
  <c r="N58" i="33"/>
  <c r="O58" i="33"/>
  <c r="C7" i="21"/>
  <c r="C58" i="21"/>
  <c r="C7" i="40"/>
  <c r="C63" i="40"/>
  <c r="C65" i="40"/>
  <c r="M47" i="9"/>
  <c r="G19" i="43"/>
  <c r="O19" i="43"/>
  <c r="C19" i="43"/>
  <c r="C46" i="36"/>
  <c r="C59" i="34"/>
  <c r="D59" i="34"/>
  <c r="E59" i="34"/>
  <c r="C52" i="37"/>
  <c r="A4" i="51"/>
  <c r="B6" i="72"/>
  <c r="C4" i="12"/>
  <c r="H55" i="43"/>
  <c r="H56" i="43"/>
  <c r="H72" i="43"/>
  <c r="B6" i="1"/>
  <c r="E6"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c r="D19" i="12"/>
  <c r="C19" i="12" s="1"/>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C36" i="11"/>
  <c r="F11" i="12"/>
  <c r="C23" i="12" s="1"/>
  <c r="H109" i="9"/>
  <c r="H110" i="9"/>
  <c r="D18" i="53"/>
  <c r="B35" i="72"/>
  <c r="D124" i="9"/>
  <c r="H14" i="74"/>
  <c r="B7" i="74"/>
  <c r="D16" i="53"/>
  <c r="B34" i="72"/>
  <c r="D10" i="52"/>
  <c r="D17" i="53"/>
  <c r="B36" i="72"/>
  <c r="D125" i="9"/>
  <c r="D11" i="52"/>
  <c r="J7" i="33"/>
  <c r="W7" i="33"/>
  <c r="F7" i="33"/>
  <c r="H7" i="33"/>
  <c r="H112" i="9"/>
  <c r="D21" i="53" s="1"/>
  <c r="B39" i="72" s="1"/>
  <c r="H111" i="9"/>
  <c r="D19" i="53" s="1"/>
  <c r="AD3" i="71"/>
  <c r="D63" i="40"/>
  <c r="D65" i="40"/>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10" i="71"/>
  <c r="D11" i="71"/>
  <c r="D12" i="71"/>
  <c r="U12" i="71"/>
  <c r="S12" i="71"/>
  <c r="T12" i="71"/>
  <c r="AB10" i="71"/>
  <c r="X8" i="71"/>
  <c r="X7" i="71"/>
  <c r="AA8" i="71"/>
  <c r="AA7" i="71"/>
  <c r="X11" i="71"/>
  <c r="Z6" i="71"/>
  <c r="Y7" i="71"/>
  <c r="Z7" i="71"/>
  <c r="AB8" i="71"/>
  <c r="AB7" i="71"/>
  <c r="S8" i="71"/>
  <c r="Y8" i="71"/>
  <c r="Z8" i="71"/>
  <c r="AB3" i="71"/>
  <c r="X3" i="71"/>
  <c r="AF3" i="71"/>
  <c r="P24" i="43"/>
  <c r="B66" i="40"/>
  <c r="P21" i="43"/>
  <c r="P22" i="43"/>
  <c r="V8" i="71"/>
  <c r="P23" i="43"/>
  <c r="D9" i="71"/>
  <c r="P25" i="43"/>
  <c r="D6" i="71"/>
  <c r="T8" i="71"/>
  <c r="D7" i="71"/>
  <c r="D8" i="71"/>
  <c r="M20" i="43"/>
  <c r="U8" i="71"/>
  <c r="F31" i="15"/>
  <c r="F31" i="67"/>
  <c r="R10" i="1"/>
  <c r="AE10" i="1"/>
  <c r="G29" i="6"/>
  <c r="E29" i="6"/>
  <c r="F30" i="6"/>
  <c r="B13" i="92"/>
  <c r="B12" i="92"/>
  <c r="G11" i="1"/>
  <c r="G9" i="1"/>
  <c r="G10" i="1"/>
  <c r="G1" i="79"/>
  <c r="G1" i="87"/>
  <c r="G1" i="86"/>
  <c r="G8" i="1"/>
  <c r="W19" i="34"/>
  <c r="H29" i="35"/>
  <c r="H87" i="35"/>
  <c r="I87" i="35"/>
  <c r="J87" i="35"/>
  <c r="K87" i="35"/>
  <c r="L87" i="35"/>
  <c r="M87" i="35"/>
  <c r="J29" i="35"/>
  <c r="F29" i="35"/>
  <c r="S29" i="35"/>
  <c r="AA29"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c r="C5" i="11"/>
  <c r="AC37" i="33"/>
  <c r="S26" i="33"/>
  <c r="W21" i="33"/>
  <c r="AA17" i="33"/>
  <c r="M20" i="15"/>
  <c r="M20" i="79"/>
  <c r="F34" i="79"/>
  <c r="F62" i="79"/>
  <c r="F62" i="77"/>
  <c r="G30" i="6"/>
  <c r="I20" i="43"/>
  <c r="L27" i="6"/>
  <c r="E11" i="6"/>
  <c r="E56" i="40"/>
  <c r="D9" i="69"/>
  <c r="C9" i="69" s="1"/>
  <c r="M18" i="80"/>
  <c r="B118" i="80"/>
  <c r="G27" i="6"/>
  <c r="G31" i="6"/>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AC7" i="33"/>
  <c r="J67" i="43"/>
  <c r="J61" i="43"/>
  <c r="D62" i="43"/>
  <c r="E59" i="43"/>
  <c r="B57" i="43"/>
  <c r="C24" i="43"/>
  <c r="C40" i="11"/>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E13" i="6"/>
  <c r="O6" i="1"/>
  <c r="AA34" i="33"/>
  <c r="S32" i="33"/>
  <c r="S41" i="33"/>
  <c r="W39" i="33"/>
  <c r="AC35" i="33"/>
  <c r="AC32" i="33"/>
  <c r="U32" i="33"/>
  <c r="S28" i="33"/>
  <c r="AC28" i="33"/>
  <c r="S45" i="33"/>
  <c r="AB26" i="33"/>
  <c r="AA25" i="33"/>
  <c r="AB23" i="33"/>
  <c r="S23" i="33"/>
  <c r="U19" i="33"/>
  <c r="U17" i="33"/>
  <c r="S9" i="33"/>
  <c r="E63" i="40"/>
  <c r="M47" i="78"/>
  <c r="M47" i="80"/>
  <c r="J51" i="79"/>
  <c r="C13" i="12"/>
  <c r="C77" i="80"/>
  <c r="C77" i="78"/>
  <c r="C74" i="80"/>
  <c r="C28" i="79"/>
  <c r="C74" i="78"/>
  <c r="J51" i="15"/>
  <c r="C51" i="10"/>
  <c r="A118" i="78"/>
  <c r="A2" i="78"/>
  <c r="A118" i="80"/>
  <c r="A2" i="80"/>
  <c r="C9" i="68"/>
  <c r="E10" i="43"/>
  <c r="E8" i="43"/>
  <c r="E9" i="43"/>
  <c r="E11" i="43"/>
  <c r="AC36" i="33"/>
  <c r="AC10" i="33"/>
  <c r="W8" i="33"/>
  <c r="G17" i="43"/>
  <c r="C16" i="43"/>
  <c r="C5" i="43"/>
  <c r="C24" i="12"/>
  <c r="C74" i="9"/>
  <c r="M18" i="15"/>
  <c r="M18" i="67"/>
  <c r="F30" i="68"/>
  <c r="C31" i="12"/>
  <c r="F54" i="9"/>
  <c r="F28" i="15"/>
  <c r="F30" i="69"/>
  <c r="C30" i="69"/>
  <c r="F32" i="67"/>
  <c r="F60" i="67"/>
  <c r="F52" i="9"/>
  <c r="F28" i="67"/>
  <c r="C28" i="67"/>
  <c r="F30" i="11"/>
  <c r="P61" i="15"/>
  <c r="C36" i="69"/>
  <c r="E30" i="6"/>
  <c r="K15" i="1"/>
  <c r="E12" i="6"/>
  <c r="E57" i="40"/>
  <c r="E237" i="3"/>
  <c r="O14" i="1"/>
  <c r="P14" i="1"/>
  <c r="P6" i="1"/>
  <c r="O12" i="1"/>
  <c r="P12" i="1"/>
  <c r="O9" i="1"/>
  <c r="P9" i="1"/>
  <c r="O8" i="1"/>
  <c r="P11" i="1"/>
  <c r="D5" i="43"/>
  <c r="H50" i="43"/>
  <c r="F59" i="34"/>
  <c r="D58" i="21"/>
  <c r="E58" i="21"/>
  <c r="F58" i="21"/>
  <c r="G58" i="21"/>
  <c r="H58" i="21"/>
  <c r="I58" i="21"/>
  <c r="J58" i="21"/>
  <c r="K58" i="21"/>
  <c r="L58" i="21"/>
  <c r="M58" i="21"/>
  <c r="N58" i="21"/>
  <c r="O58" i="21"/>
  <c r="J7" i="21"/>
  <c r="AB7" i="33"/>
  <c r="U7" i="33"/>
  <c r="D46" i="36"/>
  <c r="S7" i="33"/>
  <c r="AA7" i="33"/>
  <c r="D48" i="35"/>
  <c r="D52" i="37"/>
  <c r="C28" i="15"/>
  <c r="C48" i="69"/>
  <c r="F59" i="15"/>
  <c r="F59" i="67"/>
  <c r="M17" i="15"/>
  <c r="M17" i="67"/>
  <c r="S10" i="1"/>
  <c r="O7" i="1"/>
  <c r="P7" i="1"/>
  <c r="O10" i="1"/>
  <c r="P10" i="1"/>
  <c r="G3" i="43"/>
  <c r="H16" i="1"/>
  <c r="C32" i="66"/>
  <c r="C30" i="66"/>
  <c r="G16" i="1"/>
  <c r="F10" i="40"/>
  <c r="E387" i="3"/>
  <c r="H101" i="43"/>
  <c r="N104" i="46"/>
  <c r="C101" i="43"/>
  <c r="B113" i="43"/>
  <c r="B115" i="43"/>
  <c r="N101" i="43"/>
  <c r="K101" i="43"/>
  <c r="K103" i="43"/>
  <c r="AC11" i="43"/>
  <c r="AC13" i="43"/>
  <c r="Z7" i="43"/>
  <c r="AF11" i="43"/>
  <c r="AF13" i="43"/>
  <c r="I101" i="43"/>
  <c r="AA11" i="43"/>
  <c r="AA13" i="43"/>
  <c r="AI11" i="43"/>
  <c r="AI13" i="43"/>
  <c r="AD11" i="43"/>
  <c r="AD13" i="43"/>
  <c r="E101" i="43"/>
  <c r="W29" i="35"/>
  <c r="AC29" i="35"/>
  <c r="AB29" i="35"/>
  <c r="U29" i="35"/>
  <c r="AA20" i="35"/>
  <c r="S20" i="35"/>
  <c r="W14" i="35"/>
  <c r="AC14" i="35"/>
  <c r="AA14" i="35"/>
  <c r="S14" i="35"/>
  <c r="AA26" i="35"/>
  <c r="S26" i="35"/>
  <c r="W26" i="35"/>
  <c r="AC26" i="35"/>
  <c r="U26" i="35"/>
  <c r="AB26" i="35"/>
  <c r="X6" i="3"/>
  <c r="U25" i="33"/>
  <c r="E514" i="3"/>
  <c r="E10" i="6"/>
  <c r="E165" i="3"/>
  <c r="M6" i="3"/>
  <c r="E51" i="40"/>
  <c r="F31" i="6"/>
  <c r="C34" i="69"/>
  <c r="C35" i="69" s="1"/>
  <c r="K16" i="1"/>
  <c r="E15" i="6"/>
  <c r="E60" i="40"/>
  <c r="E14" i="6"/>
  <c r="E227" i="3"/>
  <c r="E311" i="3"/>
  <c r="E570" i="3"/>
  <c r="AB6" i="3"/>
  <c r="E335" i="3"/>
  <c r="E583" i="3"/>
  <c r="E336" i="3"/>
  <c r="E205" i="3"/>
  <c r="E128" i="3"/>
  <c r="E358" i="3"/>
  <c r="E559" i="3"/>
  <c r="E551" i="3"/>
  <c r="V6" i="3"/>
  <c r="E407" i="3"/>
  <c r="E320" i="3"/>
  <c r="E230" i="3"/>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E569" i="3"/>
  <c r="E239" i="3"/>
  <c r="E282" i="3"/>
  <c r="E366" i="3"/>
  <c r="E503" i="3"/>
  <c r="E183" i="3"/>
  <c r="E261" i="3"/>
  <c r="E431" i="3"/>
  <c r="E579" i="3"/>
  <c r="E509" i="3"/>
  <c r="AJ6" i="3"/>
  <c r="E322" i="3"/>
  <c r="E268" i="3"/>
  <c r="E526" i="3"/>
  <c r="E217" i="3"/>
  <c r="E302" i="3"/>
  <c r="E17" i="3"/>
  <c r="E213" i="3"/>
  <c r="E565" i="3"/>
  <c r="E304" i="3"/>
  <c r="E69" i="3"/>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58" i="40"/>
  <c r="F7" i="21"/>
  <c r="E65" i="40"/>
  <c r="F63" i="40"/>
  <c r="C30" i="68"/>
  <c r="C48" i="68"/>
  <c r="C30" i="11"/>
  <c r="C48" i="11"/>
  <c r="O16" i="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c r="E50" i="3"/>
  <c r="E102" i="3"/>
  <c r="E20" i="3"/>
  <c r="E80" i="3"/>
  <c r="E62" i="3"/>
  <c r="E113" i="3"/>
  <c r="E176" i="3"/>
  <c r="E158" i="3"/>
  <c r="E218" i="3"/>
  <c r="E287" i="3"/>
  <c r="E265" i="3"/>
  <c r="E308" i="3"/>
  <c r="E365" i="3"/>
  <c r="E326" i="3"/>
  <c r="E524" i="3"/>
  <c r="E22" i="3"/>
  <c r="E101" i="3"/>
  <c r="E83" i="3"/>
  <c r="H6" i="3"/>
  <c r="I109" i="43"/>
  <c r="I102" i="43"/>
  <c r="I106" i="43"/>
  <c r="I103" i="43"/>
  <c r="I104" i="43"/>
  <c r="I107" i="43"/>
  <c r="I105" i="43"/>
  <c r="E104" i="43"/>
  <c r="E107" i="43"/>
  <c r="E105" i="43"/>
  <c r="E102" i="43"/>
  <c r="E106" i="43"/>
  <c r="E103" i="43"/>
  <c r="E109" i="43"/>
  <c r="H10" i="40"/>
  <c r="AB10" i="40"/>
  <c r="H102" i="43"/>
  <c r="H103" i="43"/>
  <c r="H104" i="43"/>
  <c r="H109" i="43"/>
  <c r="H107" i="43"/>
  <c r="H106" i="43"/>
  <c r="H105" i="43"/>
  <c r="P8" i="1"/>
  <c r="P16" i="1"/>
  <c r="C11" i="12"/>
  <c r="C12" i="12" s="1"/>
  <c r="C104" i="43"/>
  <c r="C107" i="43"/>
  <c r="C103" i="43"/>
  <c r="C106" i="43"/>
  <c r="C105" i="43"/>
  <c r="C102" i="43"/>
  <c r="C23" i="43"/>
  <c r="C109" i="43"/>
  <c r="G118" i="43"/>
  <c r="H118" i="43"/>
  <c r="I118" i="43"/>
  <c r="J118" i="43"/>
  <c r="K118" i="43"/>
  <c r="L118" i="43"/>
  <c r="M118" i="43"/>
  <c r="N102" i="43"/>
  <c r="N105" i="43"/>
  <c r="N104" i="43"/>
  <c r="N109" i="43"/>
  <c r="N103" i="43"/>
  <c r="N107" i="43"/>
  <c r="N106" i="43"/>
  <c r="K102" i="43"/>
  <c r="J10" i="40"/>
  <c r="E48" i="35"/>
  <c r="E46" i="36"/>
  <c r="W7" i="21"/>
  <c r="AC7" i="21"/>
  <c r="V48" i="21"/>
  <c r="I48" i="21"/>
  <c r="AA10" i="40"/>
  <c r="S10" i="40"/>
  <c r="E52" i="37"/>
  <c r="S7" i="21"/>
  <c r="AA7" i="21"/>
  <c r="R48" i="21"/>
  <c r="H7" i="21"/>
  <c r="G59" i="34"/>
  <c r="K106" i="43"/>
  <c r="B117" i="43"/>
  <c r="C117" i="43"/>
  <c r="F50" i="86"/>
  <c r="L16" i="1"/>
  <c r="K109" i="43"/>
  <c r="D117" i="43"/>
  <c r="E117" i="43"/>
  <c r="F117" i="43"/>
  <c r="G117" i="43"/>
  <c r="H117" i="43"/>
  <c r="B118" i="43"/>
  <c r="C118" i="43"/>
  <c r="C34" i="11"/>
  <c r="I115" i="43"/>
  <c r="J115" i="43"/>
  <c r="K115" i="43"/>
  <c r="L115" i="43"/>
  <c r="M115" i="43"/>
  <c r="H22" i="43"/>
  <c r="AH11" i="43"/>
  <c r="AH13" i="43"/>
  <c r="AE11" i="43"/>
  <c r="AE13" i="43"/>
  <c r="AJ11" i="43"/>
  <c r="AJ13" i="43"/>
  <c r="AG11" i="43"/>
  <c r="AG13" i="43"/>
  <c r="F101" i="43"/>
  <c r="G101" i="43"/>
  <c r="L101" i="43"/>
  <c r="Z11" i="43"/>
  <c r="Z13" i="43"/>
  <c r="D101" i="43"/>
  <c r="Y11" i="43"/>
  <c r="Y13" i="43"/>
  <c r="F22" i="43"/>
  <c r="E22" i="43"/>
  <c r="J101" i="43"/>
  <c r="M101" i="43"/>
  <c r="AB11" i="43"/>
  <c r="AB13" i="43"/>
  <c r="G22" i="43"/>
  <c r="K104" i="43"/>
  <c r="K107" i="43"/>
  <c r="K105" i="43"/>
  <c r="D115" i="43"/>
  <c r="E115" i="43"/>
  <c r="F115" i="43"/>
  <c r="G115" i="43"/>
  <c r="H115" i="43"/>
  <c r="D118" i="43"/>
  <c r="E118" i="43"/>
  <c r="F118" i="43"/>
  <c r="I116" i="43"/>
  <c r="J116" i="43"/>
  <c r="K116" i="43"/>
  <c r="L116" i="43"/>
  <c r="M116" i="43"/>
  <c r="I117" i="43"/>
  <c r="J117" i="43"/>
  <c r="K117" i="43"/>
  <c r="L117" i="43"/>
  <c r="M117" i="43"/>
  <c r="B116" i="43"/>
  <c r="C116" i="43"/>
  <c r="D116" i="43"/>
  <c r="E116" i="43"/>
  <c r="F116" i="43"/>
  <c r="G116" i="43"/>
  <c r="H116" i="43"/>
  <c r="E26" i="66"/>
  <c r="F3" i="35"/>
  <c r="E59" i="40"/>
  <c r="E16" i="6"/>
  <c r="U10" i="40"/>
  <c r="S4" i="43"/>
  <c r="S2" i="43"/>
  <c r="S5" i="43"/>
  <c r="S6" i="43"/>
  <c r="S7" i="43"/>
  <c r="S3" i="43"/>
  <c r="G63" i="40"/>
  <c r="F65" i="40"/>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21"/>
  <c r="D37" i="11"/>
  <c r="C37" i="11"/>
  <c r="D14" i="12"/>
  <c r="D3" i="34"/>
  <c r="D3" i="33"/>
  <c r="D19" i="11"/>
  <c r="C19" i="11"/>
  <c r="C17" i="4"/>
  <c r="B4" i="52"/>
  <c r="B43" i="72"/>
  <c r="D3" i="37"/>
  <c r="C115" i="43"/>
  <c r="D113" i="43"/>
  <c r="J22" i="43"/>
  <c r="C38" i="11"/>
  <c r="C35" i="11"/>
  <c r="C15" i="12"/>
  <c r="F50" i="11"/>
  <c r="F50" i="69"/>
  <c r="W10" i="40"/>
  <c r="AC10" i="40"/>
  <c r="H59" i="34"/>
  <c r="I59" i="34"/>
  <c r="J59" i="34"/>
  <c r="K59" i="34"/>
  <c r="L59" i="34"/>
  <c r="M59" i="34"/>
  <c r="N59" i="34"/>
  <c r="O59" i="34"/>
  <c r="H7" i="34"/>
  <c r="J7" i="34"/>
  <c r="E48" i="21"/>
  <c r="R49" i="21"/>
  <c r="F46" i="36"/>
  <c r="G46" i="36"/>
  <c r="H46" i="36"/>
  <c r="I46" i="36"/>
  <c r="J46" i="36"/>
  <c r="K46" i="36"/>
  <c r="L46" i="36"/>
  <c r="M46" i="36"/>
  <c r="N46" i="36"/>
  <c r="O46" i="36"/>
  <c r="F7" i="34"/>
  <c r="AB7" i="21"/>
  <c r="T48" i="21"/>
  <c r="G48" i="21"/>
  <c r="U7" i="21"/>
  <c r="F52" i="37"/>
  <c r="I52" i="21"/>
  <c r="J52" i="21"/>
  <c r="I53" i="21"/>
  <c r="J53" i="21"/>
  <c r="F7" i="36"/>
  <c r="F48" i="35"/>
  <c r="AE11" i="1"/>
  <c r="M109" i="43"/>
  <c r="M107" i="43"/>
  <c r="M102" i="43"/>
  <c r="M103" i="43"/>
  <c r="M104" i="43"/>
  <c r="M105" i="43"/>
  <c r="M106" i="43"/>
  <c r="D22" i="43"/>
  <c r="C21" i="43"/>
  <c r="G107" i="43"/>
  <c r="G106" i="43"/>
  <c r="G102" i="43"/>
  <c r="G105" i="43"/>
  <c r="G104" i="43"/>
  <c r="G103" i="43"/>
  <c r="G109" i="43"/>
  <c r="U11" i="85"/>
  <c r="G47" i="85"/>
  <c r="J104" i="43"/>
  <c r="J102" i="43"/>
  <c r="J105" i="43"/>
  <c r="J106" i="43"/>
  <c r="J107" i="43"/>
  <c r="J109" i="43"/>
  <c r="J103" i="43"/>
  <c r="D103" i="43"/>
  <c r="D107" i="43"/>
  <c r="D106" i="43"/>
  <c r="D109" i="43"/>
  <c r="D104" i="43"/>
  <c r="D105" i="43"/>
  <c r="D102" i="43"/>
  <c r="L107" i="43"/>
  <c r="L109" i="43"/>
  <c r="L105" i="43"/>
  <c r="L106" i="43"/>
  <c r="L103" i="43"/>
  <c r="L102" i="43"/>
  <c r="L104" i="43"/>
  <c r="F102" i="43"/>
  <c r="F109" i="43"/>
  <c r="F103" i="43"/>
  <c r="F104" i="43"/>
  <c r="F105" i="43"/>
  <c r="F106" i="43"/>
  <c r="F107" i="43"/>
  <c r="W11" i="85"/>
  <c r="I47" i="85"/>
  <c r="S11" i="85"/>
  <c r="K26" i="6"/>
  <c r="M26" i="6"/>
  <c r="I26" i="6"/>
  <c r="S26" i="6"/>
  <c r="E31" i="6"/>
  <c r="K25" i="6"/>
  <c r="M25" i="6"/>
  <c r="I25" i="6"/>
  <c r="S25" i="6"/>
  <c r="K24" i="6"/>
  <c r="K23" i="6"/>
  <c r="J33" i="33"/>
  <c r="F33" i="33"/>
  <c r="H33" i="33"/>
  <c r="J7" i="36"/>
  <c r="G65" i="40"/>
  <c r="H63" i="40"/>
  <c r="J34" i="34"/>
  <c r="F34" i="34"/>
  <c r="H34" i="34"/>
  <c r="C33" i="11"/>
  <c r="C39" i="11"/>
  <c r="C20" i="11"/>
  <c r="D10" i="11"/>
  <c r="C10" i="11"/>
  <c r="D20" i="12"/>
  <c r="C20" i="12" s="1"/>
  <c r="D10" i="69"/>
  <c r="D25" i="6"/>
  <c r="D15" i="6"/>
  <c r="D24" i="6"/>
  <c r="D5" i="6"/>
  <c r="D12" i="6"/>
  <c r="D11" i="6"/>
  <c r="D13" i="6"/>
  <c r="D28" i="6"/>
  <c r="E61" i="40"/>
  <c r="D26" i="6"/>
  <c r="C18" i="4"/>
  <c r="D8" i="6"/>
  <c r="D23" i="6"/>
  <c r="D14" i="6"/>
  <c r="D6" i="6"/>
  <c r="D9" i="6"/>
  <c r="D10" i="6"/>
  <c r="D29" i="6"/>
  <c r="C7" i="74"/>
  <c r="S7" i="36"/>
  <c r="AA7" i="36"/>
  <c r="R36" i="36"/>
  <c r="S7" i="34"/>
  <c r="AA7" i="34"/>
  <c r="H7" i="36"/>
  <c r="E52" i="21"/>
  <c r="F52" i="21"/>
  <c r="E53" i="21"/>
  <c r="F53" i="21"/>
  <c r="U7" i="34"/>
  <c r="AB7" i="34"/>
  <c r="G48" i="35"/>
  <c r="G52" i="37"/>
  <c r="G53" i="21"/>
  <c r="H53" i="21"/>
  <c r="G52" i="21"/>
  <c r="H52" i="21"/>
  <c r="AC7" i="36"/>
  <c r="V36" i="36"/>
  <c r="I36" i="36"/>
  <c r="W7" i="36"/>
  <c r="C48" i="21"/>
  <c r="C49" i="21"/>
  <c r="W7" i="34"/>
  <c r="AC7" i="34"/>
  <c r="E47" i="85"/>
  <c r="I52" i="85"/>
  <c r="J52" i="85"/>
  <c r="I51" i="85"/>
  <c r="J51" i="85"/>
  <c r="G52" i="85"/>
  <c r="H52" i="85"/>
  <c r="G51" i="85"/>
  <c r="H51" i="85"/>
  <c r="M23" i="6"/>
  <c r="I23" i="6"/>
  <c r="M24" i="6"/>
  <c r="I24" i="6"/>
  <c r="S24" i="6"/>
  <c r="S11" i="1"/>
  <c r="H25" i="6"/>
  <c r="R25" i="6"/>
  <c r="M19" i="88"/>
  <c r="C118" i="88"/>
  <c r="H24" i="6"/>
  <c r="R24" i="6"/>
  <c r="R11" i="1"/>
  <c r="H26" i="6"/>
  <c r="R26" i="6"/>
  <c r="L18" i="88"/>
  <c r="K27" i="6"/>
  <c r="AA33" i="33"/>
  <c r="R48" i="33"/>
  <c r="S33" i="33"/>
  <c r="AB33" i="33"/>
  <c r="T48" i="33"/>
  <c r="G48" i="33"/>
  <c r="G52" i="33"/>
  <c r="H52" i="33"/>
  <c r="U33" i="33"/>
  <c r="AC33" i="33"/>
  <c r="V48" i="33"/>
  <c r="I48" i="33"/>
  <c r="W33" i="33"/>
  <c r="M19" i="78"/>
  <c r="C118" i="78"/>
  <c r="M19" i="80"/>
  <c r="C118" i="80"/>
  <c r="H65" i="40"/>
  <c r="I63" i="40"/>
  <c r="AA34" i="34"/>
  <c r="S34" i="34"/>
  <c r="AB34" i="34"/>
  <c r="U34" i="34"/>
  <c r="AC34" i="34"/>
  <c r="W34" i="34"/>
  <c r="D16" i="6"/>
  <c r="D30" i="6"/>
  <c r="A7" i="51"/>
  <c r="B7" i="72"/>
  <c r="C4" i="52"/>
  <c r="B45" i="72"/>
  <c r="A10" i="51"/>
  <c r="B9" i="72"/>
  <c r="D27" i="6"/>
  <c r="D7" i="74"/>
  <c r="I40" i="36"/>
  <c r="J40" i="36"/>
  <c r="H52" i="37"/>
  <c r="AB7" i="36"/>
  <c r="T36" i="36"/>
  <c r="G36" i="36"/>
  <c r="U7" i="36"/>
  <c r="R37" i="36"/>
  <c r="E36" i="36"/>
  <c r="I41" i="36"/>
  <c r="J41" i="36"/>
  <c r="H48" i="35"/>
  <c r="E8" i="92"/>
  <c r="E9" i="92"/>
  <c r="C47" i="85"/>
  <c r="E51" i="85"/>
  <c r="F51" i="85"/>
  <c r="E52" i="85"/>
  <c r="F52" i="85"/>
  <c r="AQ11" i="1"/>
  <c r="AR11" i="1"/>
  <c r="T11" i="1"/>
  <c r="AQ10" i="1"/>
  <c r="T10" i="1"/>
  <c r="AR10" i="1"/>
  <c r="S23" i="6"/>
  <c r="H23" i="6"/>
  <c r="R23" i="6"/>
  <c r="AR9" i="1"/>
  <c r="AQ9" i="1"/>
  <c r="S22" i="6"/>
  <c r="L18" i="78"/>
  <c r="S20" i="6"/>
  <c r="M27" i="6"/>
  <c r="AR8" i="1"/>
  <c r="AQ8" i="1"/>
  <c r="AQ7" i="1"/>
  <c r="AR7" i="1"/>
  <c r="AQ6" i="1"/>
  <c r="AR6" i="1"/>
  <c r="S16" i="1"/>
  <c r="L18" i="80"/>
  <c r="S21" i="6"/>
  <c r="L19" i="88"/>
  <c r="I52" i="33"/>
  <c r="J52" i="33"/>
  <c r="G53" i="33"/>
  <c r="H53" i="33"/>
  <c r="E48" i="33"/>
  <c r="R49" i="33"/>
  <c r="J63" i="40"/>
  <c r="I65" i="40"/>
  <c r="D31" i="6"/>
  <c r="I6" i="6"/>
  <c r="I7" i="6"/>
  <c r="I48" i="35"/>
  <c r="C37" i="36"/>
  <c r="C36" i="36"/>
  <c r="I52" i="37"/>
  <c r="E40" i="36"/>
  <c r="F40" i="36"/>
  <c r="E41" i="36"/>
  <c r="F41" i="36"/>
  <c r="G40" i="36"/>
  <c r="H40" i="36"/>
  <c r="G41" i="36"/>
  <c r="H41" i="36"/>
  <c r="E2" i="92"/>
  <c r="B60" i="85"/>
  <c r="F60" i="85"/>
  <c r="B65" i="85"/>
  <c r="F65" i="85"/>
  <c r="B58" i="85"/>
  <c r="F58" i="85"/>
  <c r="B63" i="85"/>
  <c r="F63" i="85"/>
  <c r="B59" i="85"/>
  <c r="F59" i="85"/>
  <c r="B64" i="85"/>
  <c r="F64" i="85"/>
  <c r="B57" i="85"/>
  <c r="F57" i="85"/>
  <c r="B61" i="85"/>
  <c r="F61" i="85"/>
  <c r="B62" i="85"/>
  <c r="F62" i="85"/>
  <c r="L19" i="80"/>
  <c r="T16" i="1"/>
  <c r="L18" i="9"/>
  <c r="S19" i="6"/>
  <c r="S27" i="6"/>
  <c r="I27" i="6"/>
  <c r="L19" i="78"/>
  <c r="E53" i="33"/>
  <c r="F53" i="33"/>
  <c r="E52" i="33"/>
  <c r="F52" i="33"/>
  <c r="I53" i="33"/>
  <c r="J53" i="33"/>
  <c r="C48" i="33"/>
  <c r="C49" i="33"/>
  <c r="B2" i="33"/>
  <c r="I5" i="6"/>
  <c r="K63" i="40"/>
  <c r="J65" i="40"/>
  <c r="J52" i="37"/>
  <c r="J48" i="35"/>
  <c r="C6" i="86"/>
  <c r="F56" i="85"/>
  <c r="F66" i="85"/>
  <c r="B2" i="85"/>
  <c r="B3" i="85"/>
  <c r="H27" i="6"/>
  <c r="L19" i="9"/>
  <c r="B3" i="33"/>
  <c r="R24" i="31"/>
  <c r="F11" i="34"/>
  <c r="L63" i="40"/>
  <c r="K65" i="40"/>
  <c r="K48" i="35"/>
  <c r="K52" i="37"/>
  <c r="C7" i="86"/>
  <c r="R27" i="6"/>
  <c r="J11" i="34"/>
  <c r="H11" i="34"/>
  <c r="S11" i="34"/>
  <c r="AA11" i="34"/>
  <c r="R49" i="34"/>
  <c r="M63" i="40"/>
  <c r="L65" i="40"/>
  <c r="L52" i="37"/>
  <c r="L48" i="35"/>
  <c r="U11" i="34"/>
  <c r="AB11" i="34"/>
  <c r="T49" i="34"/>
  <c r="G49" i="34"/>
  <c r="E49" i="34"/>
  <c r="E53" i="34"/>
  <c r="F53" i="34"/>
  <c r="W11" i="34"/>
  <c r="AC11" i="34"/>
  <c r="V49" i="34"/>
  <c r="I49" i="34"/>
  <c r="N63" i="40"/>
  <c r="M65" i="40"/>
  <c r="M48" i="35"/>
  <c r="N48" i="35"/>
  <c r="O48" i="35"/>
  <c r="M52" i="37"/>
  <c r="N52" i="37"/>
  <c r="O52" i="37"/>
  <c r="R50" i="34"/>
  <c r="C50" i="34"/>
  <c r="I53" i="34"/>
  <c r="J53" i="34"/>
  <c r="I54" i="34"/>
  <c r="J54" i="34"/>
  <c r="E54" i="34"/>
  <c r="F54" i="34"/>
  <c r="G53" i="34"/>
  <c r="H53" i="34"/>
  <c r="G54" i="34"/>
  <c r="H54" i="34"/>
  <c r="O63" i="40"/>
  <c r="O65" i="40"/>
  <c r="N65" i="40"/>
  <c r="F7" i="37"/>
  <c r="H7" i="37"/>
  <c r="J7" i="35"/>
  <c r="F7" i="35"/>
  <c r="J7" i="37"/>
  <c r="H7" i="35"/>
  <c r="C49" i="34"/>
  <c r="B2" i="34"/>
  <c r="B3" i="34"/>
  <c r="R24" i="82"/>
  <c r="F7" i="40"/>
  <c r="J7" i="40"/>
  <c r="H7" i="40"/>
  <c r="AC7" i="37"/>
  <c r="V42" i="37"/>
  <c r="I42" i="37"/>
  <c r="W7" i="37"/>
  <c r="W7" i="35"/>
  <c r="AC7" i="35"/>
  <c r="V38" i="35"/>
  <c r="I38" i="35"/>
  <c r="AA7" i="37"/>
  <c r="R42" i="37"/>
  <c r="S7" i="37"/>
  <c r="U7" i="35"/>
  <c r="AB7" i="35"/>
  <c r="T38" i="35"/>
  <c r="G38" i="35"/>
  <c r="S7" i="35"/>
  <c r="AA7" i="35"/>
  <c r="R38" i="35"/>
  <c r="AB7" i="37"/>
  <c r="T42" i="37"/>
  <c r="G42" i="37"/>
  <c r="U7" i="37"/>
  <c r="B11" i="92"/>
  <c r="W7" i="40"/>
  <c r="AC7" i="40"/>
  <c r="V42" i="40"/>
  <c r="I42" i="40"/>
  <c r="I46" i="40"/>
  <c r="J46" i="40"/>
  <c r="AB7" i="40"/>
  <c r="T42" i="40"/>
  <c r="G42" i="40"/>
  <c r="U7" i="40"/>
  <c r="S7" i="40"/>
  <c r="AA7" i="40"/>
  <c r="R42" i="40"/>
  <c r="G47" i="37"/>
  <c r="H47" i="37"/>
  <c r="G46" i="37"/>
  <c r="H46" i="37"/>
  <c r="R43" i="37"/>
  <c r="E42" i="37"/>
  <c r="I47" i="37"/>
  <c r="J47" i="37"/>
  <c r="I46" i="37"/>
  <c r="J46" i="37"/>
  <c r="E38" i="35"/>
  <c r="R39" i="35"/>
  <c r="G43" i="35"/>
  <c r="H43" i="35"/>
  <c r="G42" i="35"/>
  <c r="H42" i="35"/>
  <c r="I42" i="35"/>
  <c r="J42" i="35"/>
  <c r="B7" i="92"/>
  <c r="B6" i="92"/>
  <c r="B10" i="92"/>
  <c r="R34" i="31"/>
  <c r="J3" i="84"/>
  <c r="S24" i="31"/>
  <c r="I3" i="84"/>
  <c r="R28" i="31"/>
  <c r="R33" i="31"/>
  <c r="R31" i="31"/>
  <c r="R25" i="31"/>
  <c r="R30" i="31"/>
  <c r="R27" i="31"/>
  <c r="R35" i="31"/>
  <c r="R32" i="31"/>
  <c r="R29" i="31"/>
  <c r="R26" i="31"/>
  <c r="E42" i="40"/>
  <c r="R43" i="40"/>
  <c r="G47" i="40"/>
  <c r="H47" i="40"/>
  <c r="G46" i="40"/>
  <c r="H46" i="40"/>
  <c r="E42" i="35"/>
  <c r="F42" i="35"/>
  <c r="E43" i="35"/>
  <c r="F43" i="35"/>
  <c r="C43" i="37"/>
  <c r="C42" i="37"/>
  <c r="I43" i="35"/>
  <c r="J43" i="35"/>
  <c r="C38" i="35"/>
  <c r="C39" i="35"/>
  <c r="B2" i="35"/>
  <c r="E46" i="37"/>
  <c r="F46" i="37"/>
  <c r="E47" i="37"/>
  <c r="F47" i="37"/>
  <c r="B3" i="35"/>
  <c r="S26" i="31"/>
  <c r="I5" i="84"/>
  <c r="J5" i="84"/>
  <c r="S32" i="31"/>
  <c r="I11" i="84"/>
  <c r="J11" i="84"/>
  <c r="S27" i="31"/>
  <c r="I6" i="84"/>
  <c r="J6" i="84"/>
  <c r="S25" i="31"/>
  <c r="I4" i="84"/>
  <c r="J4" i="84"/>
  <c r="S33" i="31"/>
  <c r="I12" i="84"/>
  <c r="J12" i="84"/>
  <c r="S29" i="31"/>
  <c r="I8" i="84"/>
  <c r="J8" i="84"/>
  <c r="S35" i="31"/>
  <c r="I14" i="84"/>
  <c r="J14" i="84"/>
  <c r="S30" i="31"/>
  <c r="I9" i="84"/>
  <c r="J9" i="84"/>
  <c r="S31" i="31"/>
  <c r="I10" i="84"/>
  <c r="J10" i="84"/>
  <c r="S28" i="31"/>
  <c r="I7" i="84"/>
  <c r="J7" i="84"/>
  <c r="S34" i="31"/>
  <c r="I13" i="84"/>
  <c r="J13" i="84"/>
  <c r="C43" i="40"/>
  <c r="C42" i="40"/>
  <c r="I47" i="40"/>
  <c r="J47" i="40"/>
  <c r="E47" i="40"/>
  <c r="F47" i="40"/>
  <c r="E46" i="40"/>
  <c r="F46" i="40"/>
  <c r="F17" i="74"/>
  <c r="E17" i="74"/>
  <c r="I15" i="84"/>
  <c r="J15" i="84"/>
  <c r="S22" i="31"/>
  <c r="B55" i="40"/>
  <c r="F55" i="40"/>
  <c r="B56" i="40"/>
  <c r="F56" i="40"/>
  <c r="B58" i="40"/>
  <c r="F58" i="40"/>
  <c r="B60" i="40"/>
  <c r="F60" i="40"/>
  <c r="B54" i="40"/>
  <c r="F54" i="40"/>
  <c r="B52" i="40"/>
  <c r="F52" i="40"/>
  <c r="B57" i="40"/>
  <c r="F57" i="40"/>
  <c r="B53" i="40"/>
  <c r="F53" i="40"/>
  <c r="B51" i="40"/>
  <c r="F51" i="40"/>
  <c r="B59" i="40"/>
  <c r="F59" i="40"/>
  <c r="F61" i="40"/>
  <c r="B2" i="40"/>
  <c r="B3" i="40"/>
  <c r="B20" i="31"/>
  <c r="R22" i="31"/>
  <c r="B21" i="31"/>
  <c r="E16" i="74"/>
  <c r="F16" i="74"/>
  <c r="R122" i="82"/>
  <c r="S122" i="82"/>
  <c r="R120" i="82"/>
  <c r="S120" i="82"/>
  <c r="R119" i="82"/>
  <c r="S119" i="82"/>
  <c r="R116" i="82"/>
  <c r="S116" i="82"/>
  <c r="R117" i="82"/>
  <c r="S117" i="82"/>
  <c r="R113" i="82"/>
  <c r="S113" i="82"/>
  <c r="R110" i="82"/>
  <c r="S110" i="82"/>
  <c r="R108" i="82"/>
  <c r="S108" i="82"/>
  <c r="R104" i="82"/>
  <c r="S104" i="82"/>
  <c r="R100" i="82"/>
  <c r="S100" i="82"/>
  <c r="R107" i="82"/>
  <c r="S107" i="82"/>
  <c r="R103" i="82"/>
  <c r="S103" i="82"/>
  <c r="R98" i="82"/>
  <c r="S98" i="82"/>
  <c r="R94" i="82"/>
  <c r="S94" i="82"/>
  <c r="R90" i="82"/>
  <c r="S90" i="82"/>
  <c r="R89" i="82"/>
  <c r="S89" i="82"/>
  <c r="R97" i="82"/>
  <c r="S97" i="82"/>
  <c r="R93" i="82"/>
  <c r="S93" i="82"/>
  <c r="R87" i="82"/>
  <c r="S87" i="82"/>
  <c r="R84" i="82"/>
  <c r="S84" i="82"/>
  <c r="R76" i="82"/>
  <c r="S76" i="82"/>
  <c r="R83" i="82"/>
  <c r="S83" i="82"/>
  <c r="R75" i="82"/>
  <c r="S75" i="82"/>
  <c r="R68" i="82"/>
  <c r="S68" i="82"/>
  <c r="R67" i="82"/>
  <c r="S67" i="82"/>
  <c r="R78" i="82"/>
  <c r="S78" i="82"/>
  <c r="R85" i="82"/>
  <c r="S85" i="82"/>
  <c r="R77" i="82"/>
  <c r="S77" i="82"/>
  <c r="R71" i="82"/>
  <c r="S71" i="82"/>
  <c r="R69" i="82"/>
  <c r="S69" i="82"/>
  <c r="R62" i="82"/>
  <c r="S62" i="82"/>
  <c r="R61" i="82"/>
  <c r="S61" i="82"/>
  <c r="R121" i="82"/>
  <c r="S121" i="82"/>
  <c r="R118" i="82"/>
  <c r="S118" i="82"/>
  <c r="R114" i="82"/>
  <c r="S114" i="82"/>
  <c r="R115" i="82"/>
  <c r="S115" i="82"/>
  <c r="R112" i="82"/>
  <c r="S112" i="82"/>
  <c r="R111" i="82"/>
  <c r="S111" i="82"/>
  <c r="R106" i="82"/>
  <c r="S106" i="82"/>
  <c r="R102" i="82"/>
  <c r="S102" i="82"/>
  <c r="R109" i="82"/>
  <c r="S109" i="82"/>
  <c r="R105" i="82"/>
  <c r="S105" i="82"/>
  <c r="R101" i="82"/>
  <c r="S101" i="82"/>
  <c r="R96" i="82"/>
  <c r="S96" i="82"/>
  <c r="R92" i="82"/>
  <c r="S92" i="82"/>
  <c r="R88" i="82"/>
  <c r="S88" i="82"/>
  <c r="R99" i="82"/>
  <c r="S99" i="82"/>
  <c r="R95" i="82"/>
  <c r="S95" i="82"/>
  <c r="R91" i="82"/>
  <c r="S91" i="82"/>
  <c r="R86" i="82"/>
  <c r="S86" i="82"/>
  <c r="R80" i="82"/>
  <c r="S80" i="82"/>
  <c r="R72" i="82"/>
  <c r="S72" i="82"/>
  <c r="R79" i="82"/>
  <c r="S79" i="82"/>
  <c r="R70" i="82"/>
  <c r="S70" i="82"/>
  <c r="R64" i="82"/>
  <c r="S64" i="82"/>
  <c r="R82" i="82"/>
  <c r="S82" i="82"/>
  <c r="R74" i="82"/>
  <c r="S74" i="82"/>
  <c r="R81" i="82"/>
  <c r="S81" i="82"/>
  <c r="R73" i="82"/>
  <c r="S73" i="82"/>
  <c r="R66" i="82"/>
  <c r="S66" i="82"/>
  <c r="R65" i="82"/>
  <c r="S65" i="82"/>
  <c r="R63" i="82"/>
  <c r="S63" i="82"/>
  <c r="J16" i="84"/>
  <c r="R55" i="82"/>
  <c r="S55" i="82"/>
  <c r="I47" i="84"/>
  <c r="R36" i="82"/>
  <c r="S36" i="82"/>
  <c r="I28" i="84"/>
  <c r="R30" i="82"/>
  <c r="S30" i="82"/>
  <c r="I22" i="84"/>
  <c r="R50" i="82"/>
  <c r="J42" i="84"/>
  <c r="R58" i="82"/>
  <c r="J50" i="84"/>
  <c r="R41" i="82"/>
  <c r="J33" i="84"/>
  <c r="R49" i="82"/>
  <c r="J41" i="84"/>
  <c r="R28" i="82"/>
  <c r="S28" i="82"/>
  <c r="I20" i="84"/>
  <c r="R47" i="82"/>
  <c r="J39" i="84"/>
  <c r="R35" i="82"/>
  <c r="J27" i="84"/>
  <c r="R43" i="82"/>
  <c r="S43" i="82"/>
  <c r="I35" i="84"/>
  <c r="R46" i="82"/>
  <c r="S46" i="82"/>
  <c r="I38" i="84"/>
  <c r="R38" i="82"/>
  <c r="S38" i="82"/>
  <c r="I30" i="84"/>
  <c r="R53" i="82"/>
  <c r="S53" i="82"/>
  <c r="I45" i="84"/>
  <c r="R33" i="82"/>
  <c r="S33" i="82"/>
  <c r="I25" i="84"/>
  <c r="R40" i="82"/>
  <c r="J32" i="84"/>
  <c r="R44" i="82"/>
  <c r="S44" i="82"/>
  <c r="I36" i="84"/>
  <c r="R32" i="82"/>
  <c r="S32" i="82"/>
  <c r="I24" i="84"/>
  <c r="R56" i="82"/>
  <c r="J48" i="84"/>
  <c r="R52" i="82"/>
  <c r="J44" i="84"/>
  <c r="R48" i="82"/>
  <c r="S48" i="82"/>
  <c r="I40" i="84"/>
  <c r="R59" i="82"/>
  <c r="J51" i="84"/>
  <c r="R57" i="82"/>
  <c r="J49" i="84"/>
  <c r="R26" i="82"/>
  <c r="J18" i="84"/>
  <c r="R42" i="82"/>
  <c r="J34" i="84"/>
  <c r="R34" i="82"/>
  <c r="J26" i="84"/>
  <c r="R60" i="82"/>
  <c r="J52" i="84"/>
  <c r="R29" i="82"/>
  <c r="J21" i="84"/>
  <c r="R27" i="82"/>
  <c r="J19" i="84"/>
  <c r="R37" i="82"/>
  <c r="J29" i="84"/>
  <c r="R45" i="82"/>
  <c r="J37" i="84"/>
  <c r="R54" i="82"/>
  <c r="J46" i="84"/>
  <c r="R51" i="82"/>
  <c r="J43" i="84"/>
  <c r="R39" i="82"/>
  <c r="J31" i="84"/>
  <c r="R31" i="82"/>
  <c r="J23" i="84"/>
  <c r="R25" i="82"/>
  <c r="S25" i="82"/>
  <c r="I17" i="84"/>
  <c r="S51" i="82"/>
  <c r="I43" i="84"/>
  <c r="S29" i="82"/>
  <c r="I21" i="84"/>
  <c r="S26" i="82"/>
  <c r="I18" i="84"/>
  <c r="J30" i="84"/>
  <c r="S31" i="82"/>
  <c r="I23" i="84"/>
  <c r="S45" i="82"/>
  <c r="I37" i="84"/>
  <c r="S37" i="82"/>
  <c r="I29" i="84"/>
  <c r="S34" i="82"/>
  <c r="I26" i="84"/>
  <c r="S59" i="82"/>
  <c r="I51" i="84"/>
  <c r="J40" i="84"/>
  <c r="J24" i="84"/>
  <c r="J25" i="84"/>
  <c r="S47" i="82"/>
  <c r="I39" i="84"/>
  <c r="J28" i="84"/>
  <c r="J17" i="84"/>
  <c r="S39" i="82"/>
  <c r="I31" i="84"/>
  <c r="S54" i="82"/>
  <c r="I46" i="84"/>
  <c r="S27" i="82"/>
  <c r="I19" i="84"/>
  <c r="S60" i="82"/>
  <c r="I52" i="84"/>
  <c r="S42" i="82"/>
  <c r="I34" i="84"/>
  <c r="S57" i="82"/>
  <c r="I49" i="84"/>
  <c r="S52" i="82"/>
  <c r="I44" i="84"/>
  <c r="S56" i="82"/>
  <c r="I48" i="84"/>
  <c r="J36" i="84"/>
  <c r="S40" i="82"/>
  <c r="I32" i="84"/>
  <c r="J45" i="84"/>
  <c r="J38" i="84"/>
  <c r="J35" i="84"/>
  <c r="S35" i="82"/>
  <c r="I27" i="84"/>
  <c r="J20" i="84"/>
  <c r="S49" i="82"/>
  <c r="I41" i="84"/>
  <c r="S41" i="82"/>
  <c r="I33" i="84"/>
  <c r="S58" i="82"/>
  <c r="I50" i="84"/>
  <c r="S50" i="82"/>
  <c r="I42" i="84"/>
  <c r="J22" i="84"/>
  <c r="J47" i="84"/>
  <c r="S24" i="82"/>
  <c r="I16" i="84"/>
  <c r="I53" i="84"/>
  <c r="S22" i="82"/>
  <c r="R22" i="82"/>
  <c r="B21" i="82"/>
  <c r="B20" i="82"/>
  <c r="J53" i="84"/>
  <c r="E15" i="74"/>
  <c r="F15" i="74"/>
  <c r="B172" i="83"/>
  <c r="B170" i="89"/>
  <c r="N89" i="9"/>
  <c r="Q16" i="1"/>
  <c r="F27" i="69"/>
  <c r="C47" i="69" s="1"/>
  <c r="D45" i="69" s="1"/>
  <c r="F28" i="12"/>
  <c r="C29" i="12" s="1"/>
  <c r="D28" i="12" s="1"/>
  <c r="F27" i="11"/>
  <c r="C46" i="11"/>
  <c r="C45" i="11"/>
  <c r="C47" i="11"/>
  <c r="D45" i="11"/>
  <c r="C28" i="11"/>
  <c r="C27" i="11"/>
  <c r="C29" i="11"/>
  <c r="D27" i="11"/>
  <c r="F26" i="77"/>
  <c r="F40" i="77"/>
  <c r="C14" i="90"/>
  <c r="F36" i="90"/>
  <c r="M9" i="96"/>
  <c r="F38" i="97"/>
  <c r="M21" i="97"/>
  <c r="M23" i="97"/>
  <c r="M28" i="91"/>
  <c r="F36" i="91"/>
  <c r="J15" i="90"/>
  <c r="L47" i="90"/>
  <c r="L47" i="91"/>
  <c r="M28" i="67"/>
  <c r="M6" i="15"/>
  <c r="M26" i="15"/>
  <c r="F16" i="67"/>
  <c r="M23" i="15"/>
  <c r="M24" i="67"/>
  <c r="M22" i="67"/>
  <c r="M8" i="67"/>
  <c r="C76" i="67"/>
  <c r="D6" i="73"/>
  <c r="M29" i="67"/>
  <c r="F8" i="77"/>
  <c r="C14" i="77"/>
  <c r="F36" i="77"/>
  <c r="M21" i="77"/>
  <c r="M23" i="77"/>
  <c r="L48" i="77"/>
  <c r="F9" i="90"/>
  <c r="F35" i="90"/>
  <c r="M9" i="90"/>
  <c r="F38" i="96"/>
  <c r="M6" i="96"/>
  <c r="J15" i="96"/>
  <c r="M28" i="96"/>
  <c r="F8" i="97"/>
  <c r="F26" i="97"/>
  <c r="F40" i="97"/>
  <c r="M8" i="97"/>
  <c r="F7" i="77"/>
  <c r="M9" i="77"/>
  <c r="F38" i="90"/>
  <c r="M8" i="96"/>
  <c r="M26" i="96"/>
  <c r="F7" i="97"/>
  <c r="F43" i="97"/>
  <c r="F37" i="97"/>
  <c r="L48" i="97"/>
  <c r="C76" i="97"/>
  <c r="M29" i="97"/>
  <c r="J15" i="97"/>
  <c r="L47" i="96"/>
  <c r="M22" i="91"/>
  <c r="F9" i="91"/>
  <c r="M27" i="90"/>
  <c r="F8" i="91"/>
  <c r="E2" i="86"/>
  <c r="F38" i="67"/>
  <c r="F5" i="73"/>
  <c r="D7" i="73"/>
  <c r="E11" i="76"/>
  <c r="F37" i="15"/>
  <c r="M26" i="67"/>
  <c r="F40" i="67"/>
  <c r="B12" i="76"/>
  <c r="F36" i="15"/>
  <c r="B9" i="76"/>
  <c r="F42" i="15"/>
  <c r="F37" i="77"/>
  <c r="M8" i="77"/>
  <c r="F8" i="90"/>
  <c r="F42" i="90"/>
  <c r="F7" i="96"/>
  <c r="F16" i="96"/>
  <c r="F40" i="96"/>
  <c r="M21" i="96"/>
  <c r="F13" i="97"/>
  <c r="M29" i="96"/>
  <c r="M23" i="90"/>
  <c r="J15" i="91"/>
  <c r="M28" i="90"/>
  <c r="F20" i="82"/>
  <c r="M6" i="67"/>
  <c r="J15" i="15"/>
  <c r="E10" i="76"/>
  <c r="AO13" i="1"/>
  <c r="F8" i="15"/>
  <c r="F43" i="67"/>
  <c r="E8" i="76"/>
  <c r="D2" i="33"/>
  <c r="B11" i="76"/>
  <c r="F43" i="79"/>
  <c r="F13" i="87"/>
  <c r="M9" i="87"/>
  <c r="M28" i="87"/>
  <c r="C76" i="79"/>
  <c r="F38" i="79"/>
  <c r="M28" i="79"/>
  <c r="M29" i="91"/>
  <c r="F7" i="87"/>
  <c r="D10" i="86"/>
  <c r="F35" i="15"/>
  <c r="F9" i="77"/>
  <c r="M22" i="77"/>
  <c r="F43" i="90"/>
  <c r="M6" i="90"/>
  <c r="F6" i="96"/>
  <c r="C14" i="96"/>
  <c r="F36" i="96"/>
  <c r="M22" i="96"/>
  <c r="F16" i="97"/>
  <c r="M6" i="91"/>
  <c r="M22" i="90"/>
  <c r="M9" i="91"/>
  <c r="F9" i="15"/>
  <c r="M21" i="67"/>
  <c r="L47" i="77"/>
  <c r="F16" i="15"/>
  <c r="B10" i="76"/>
  <c r="F8" i="67"/>
  <c r="F41" i="67"/>
  <c r="M28" i="15"/>
  <c r="F8" i="87"/>
  <c r="C36" i="86"/>
  <c r="M22" i="87"/>
  <c r="F40" i="79"/>
  <c r="M24" i="79"/>
  <c r="M29" i="15"/>
  <c r="F4" i="73"/>
  <c r="F16" i="77"/>
  <c r="M6" i="77"/>
  <c r="J15" i="77"/>
  <c r="F37" i="90"/>
  <c r="M8" i="90"/>
  <c r="F8" i="96"/>
  <c r="F13" i="96"/>
  <c r="M6" i="97"/>
  <c r="L47" i="97"/>
  <c r="F6" i="91"/>
  <c r="M26" i="90"/>
  <c r="F26" i="91"/>
  <c r="F20" i="31"/>
  <c r="F40" i="15"/>
  <c r="F38" i="15"/>
  <c r="AO12" i="1"/>
  <c r="M9" i="67"/>
  <c r="M9" i="15"/>
  <c r="F13" i="15"/>
  <c r="F35" i="67"/>
  <c r="F16" i="87"/>
  <c r="F36" i="87"/>
  <c r="M6" i="87"/>
  <c r="F42" i="79"/>
  <c r="F43" i="87"/>
  <c r="F7" i="15"/>
  <c r="F35" i="77"/>
  <c r="F13" i="77"/>
  <c r="M28" i="77"/>
  <c r="F26" i="90"/>
  <c r="F9" i="96"/>
  <c r="F42" i="96"/>
  <c r="M23" i="96"/>
  <c r="C14" i="97"/>
  <c r="M27" i="97"/>
  <c r="C76" i="91"/>
  <c r="J15" i="67"/>
  <c r="F9" i="67"/>
  <c r="E12" i="76"/>
  <c r="D3" i="73"/>
  <c r="D2" i="37"/>
  <c r="F26" i="87"/>
  <c r="F27" i="86"/>
  <c r="M26" i="79"/>
  <c r="L48" i="79"/>
  <c r="C14" i="91"/>
  <c r="F7" i="90"/>
  <c r="L48" i="90"/>
  <c r="F36" i="97"/>
  <c r="M22" i="97"/>
  <c r="F38" i="91"/>
  <c r="F13" i="91"/>
  <c r="C76" i="77"/>
  <c r="D2" i="21"/>
  <c r="F6" i="67"/>
  <c r="M22" i="15"/>
  <c r="F43" i="15"/>
  <c r="M8" i="79"/>
  <c r="M29" i="87"/>
  <c r="F13" i="79"/>
  <c r="L47" i="79"/>
  <c r="M27" i="15"/>
  <c r="C34" i="86"/>
  <c r="F6" i="77"/>
  <c r="F16" i="90"/>
  <c r="F40" i="90"/>
  <c r="F6" i="97"/>
  <c r="M9" i="97"/>
  <c r="F40" i="91"/>
  <c r="F7" i="73"/>
  <c r="F26" i="67"/>
  <c r="D2" i="35"/>
  <c r="E9" i="76"/>
  <c r="F6" i="15"/>
  <c r="F6" i="87"/>
  <c r="M26" i="87"/>
  <c r="M9" i="79"/>
  <c r="M6" i="79"/>
  <c r="F37" i="96"/>
  <c r="M24" i="96"/>
  <c r="F9" i="97"/>
  <c r="C76" i="96"/>
  <c r="M23" i="91"/>
  <c r="M24" i="91"/>
  <c r="F36" i="67"/>
  <c r="E13" i="76"/>
  <c r="B8" i="76"/>
  <c r="F42" i="67"/>
  <c r="F26" i="15"/>
  <c r="F9" i="87"/>
  <c r="F40" i="87"/>
  <c r="F9" i="79"/>
  <c r="M27" i="79"/>
  <c r="M24" i="77"/>
  <c r="F41" i="96"/>
  <c r="F16" i="91"/>
  <c r="F6" i="73"/>
  <c r="M24" i="15"/>
  <c r="M23" i="67"/>
  <c r="E2" i="69"/>
  <c r="L47" i="87"/>
  <c r="F42" i="87"/>
  <c r="F26" i="79"/>
  <c r="F41" i="79"/>
  <c r="C14" i="79"/>
  <c r="F38" i="77"/>
  <c r="M26" i="77"/>
  <c r="F13" i="90"/>
  <c r="M26" i="91"/>
  <c r="L48" i="91"/>
  <c r="C76" i="15"/>
  <c r="B7" i="76"/>
  <c r="L47" i="15"/>
  <c r="M24" i="87"/>
  <c r="F36" i="79"/>
  <c r="L48" i="87"/>
  <c r="F41" i="15"/>
  <c r="M21" i="79"/>
  <c r="AO11" i="1"/>
  <c r="F42" i="77"/>
  <c r="F37" i="91"/>
  <c r="D2" i="36"/>
  <c r="E2" i="68"/>
  <c r="J15" i="87"/>
  <c r="F37" i="79"/>
  <c r="D35" i="9"/>
  <c r="C20" i="78"/>
  <c r="F41" i="77"/>
  <c r="F13" i="67"/>
  <c r="F37" i="87"/>
  <c r="M8" i="87"/>
  <c r="M21" i="90"/>
  <c r="D34" i="9"/>
  <c r="L48" i="96"/>
  <c r="F43" i="91"/>
  <c r="M24" i="90"/>
  <c r="M8" i="15"/>
  <c r="M22" i="79"/>
  <c r="M27" i="91"/>
  <c r="F35" i="91"/>
  <c r="F35" i="96"/>
  <c r="M24" i="97"/>
  <c r="F42" i="91"/>
  <c r="B13" i="76"/>
  <c r="D2" i="34"/>
  <c r="F3" i="73"/>
  <c r="M29" i="90"/>
  <c r="M29" i="79"/>
  <c r="F7" i="79"/>
  <c r="F35" i="79"/>
  <c r="M21" i="91"/>
  <c r="F43" i="96"/>
  <c r="M27" i="67"/>
  <c r="F37" i="67"/>
  <c r="C76" i="90"/>
  <c r="M29" i="77"/>
  <c r="M23" i="87"/>
  <c r="M21" i="87"/>
  <c r="C19" i="88"/>
  <c r="F7" i="91"/>
  <c r="M27" i="87"/>
  <c r="L47" i="67"/>
  <c r="C76" i="87"/>
  <c r="C14" i="15"/>
  <c r="F6" i="90"/>
  <c r="L48" i="67"/>
  <c r="M8" i="91"/>
  <c r="F7" i="67"/>
  <c r="F38" i="87"/>
  <c r="F8" i="79"/>
  <c r="F35" i="87"/>
  <c r="F43" i="77"/>
  <c r="M28" i="97"/>
  <c r="E7" i="76"/>
  <c r="D9" i="86"/>
  <c r="M21" i="15"/>
  <c r="D34" i="78"/>
  <c r="C20" i="88"/>
  <c r="M26" i="97"/>
  <c r="D4" i="73"/>
  <c r="F6" i="79"/>
  <c r="F16" i="79"/>
  <c r="C14" i="87"/>
  <c r="F35" i="97"/>
  <c r="C19" i="78"/>
  <c r="D5" i="73"/>
  <c r="G1" i="73" s="1"/>
  <c r="F42" i="97"/>
  <c r="J15" i="79"/>
  <c r="F26" i="96"/>
  <c r="AO10" i="1"/>
  <c r="L48" i="15"/>
  <c r="M23" i="79"/>
  <c r="F41" i="91"/>
  <c r="F41" i="87"/>
  <c r="D35" i="78"/>
  <c r="D126" i="9" l="1"/>
  <c r="I14" i="74" s="1"/>
  <c r="B8" i="74" s="1"/>
  <c r="D8" i="74" s="1"/>
  <c r="B38" i="72"/>
  <c r="D20" i="53"/>
  <c r="B40" i="72" s="1"/>
  <c r="D12" i="52"/>
  <c r="B13" i="49"/>
  <c r="E4" i="4" s="1"/>
  <c r="B5" i="62" s="1"/>
  <c r="B73" i="72" s="1"/>
  <c r="E9" i="49"/>
  <c r="E22" i="49"/>
  <c r="D19" i="69"/>
  <c r="C19" i="69" s="1"/>
  <c r="E5" i="49"/>
  <c r="E11" i="49"/>
  <c r="E8" i="49"/>
  <c r="E21" i="49"/>
  <c r="N90" i="9"/>
  <c r="C10" i="69"/>
  <c r="C8" i="69" s="1"/>
  <c r="C5" i="69" s="1"/>
  <c r="E7" i="49"/>
  <c r="E4" i="49"/>
  <c r="B8" i="49"/>
  <c r="B9" i="49"/>
  <c r="B11" i="49"/>
  <c r="C4" i="4" s="1"/>
  <c r="B4" i="62" s="1"/>
  <c r="B71" i="72" s="1"/>
  <c r="E16" i="49"/>
  <c r="B4" i="49"/>
  <c r="E6" i="49"/>
  <c r="B16" i="49"/>
  <c r="B6" i="49"/>
  <c r="B14" i="49"/>
  <c r="B7" i="49"/>
  <c r="E15" i="49"/>
  <c r="B15" i="49"/>
  <c r="E13" i="49"/>
  <c r="E14" i="49"/>
  <c r="B10" i="49"/>
  <c r="C87" i="9"/>
  <c r="C94" i="9" s="1"/>
  <c r="M90" i="9"/>
  <c r="R16" i="1"/>
  <c r="C34" i="68"/>
  <c r="C29" i="68"/>
  <c r="D27" i="68" s="1"/>
  <c r="F69" i="87"/>
  <c r="F69" i="91"/>
  <c r="I54" i="15"/>
  <c r="L56" i="15"/>
  <c r="J59" i="15"/>
  <c r="J57" i="15"/>
  <c r="J55" i="15" s="1"/>
  <c r="J58" i="15" s="1"/>
  <c r="Q50" i="15" s="1"/>
  <c r="J60" i="15"/>
  <c r="Q48" i="15" s="1"/>
  <c r="L57" i="15"/>
  <c r="L60" i="15"/>
  <c r="J53" i="15"/>
  <c r="L46" i="15"/>
  <c r="C27" i="96"/>
  <c r="B40" i="1"/>
  <c r="C102" i="78"/>
  <c r="C21" i="78"/>
  <c r="C34" i="97"/>
  <c r="F63" i="97"/>
  <c r="C62" i="97" s="1"/>
  <c r="C15" i="87"/>
  <c r="C19" i="87"/>
  <c r="C18" i="87"/>
  <c r="C6" i="79"/>
  <c r="E20" i="43"/>
  <c r="C103" i="88"/>
  <c r="J20" i="15"/>
  <c r="C9" i="86"/>
  <c r="D19" i="86"/>
  <c r="D37" i="86" s="1"/>
  <c r="C37" i="86" s="1"/>
  <c r="F71" i="77"/>
  <c r="F63" i="87"/>
  <c r="C62" i="87" s="1"/>
  <c r="C34" i="87"/>
  <c r="F51" i="79"/>
  <c r="F66" i="87"/>
  <c r="M7" i="67"/>
  <c r="J6" i="67" s="1"/>
  <c r="F50" i="67"/>
  <c r="L56" i="67"/>
  <c r="I54" i="67"/>
  <c r="J60" i="67"/>
  <c r="Q48" i="67" s="1"/>
  <c r="J53" i="67"/>
  <c r="J59" i="67"/>
  <c r="J57" i="67"/>
  <c r="J55" i="67" s="1"/>
  <c r="J58" i="67" s="1"/>
  <c r="Q50" i="67" s="1"/>
  <c r="C6" i="90"/>
  <c r="C18" i="15"/>
  <c r="C19" i="15"/>
  <c r="C15" i="15"/>
  <c r="Q71" i="87"/>
  <c r="M59" i="67"/>
  <c r="L59" i="67"/>
  <c r="N59" i="67"/>
  <c r="L58" i="67"/>
  <c r="M7" i="91"/>
  <c r="J6" i="91" s="1"/>
  <c r="F50" i="91"/>
  <c r="C102" i="88"/>
  <c r="C21" i="88"/>
  <c r="J20" i="87"/>
  <c r="Q71" i="90"/>
  <c r="F65" i="67"/>
  <c r="F71" i="96"/>
  <c r="J20" i="91"/>
  <c r="C34" i="79"/>
  <c r="F63" i="79"/>
  <c r="C62" i="79" s="1"/>
  <c r="M7" i="79"/>
  <c r="J6" i="79" s="1"/>
  <c r="F50" i="79"/>
  <c r="C34" i="96"/>
  <c r="F63" i="96"/>
  <c r="C62" i="96" s="1"/>
  <c r="F63" i="91"/>
  <c r="C62" i="91" s="1"/>
  <c r="C34" i="91"/>
  <c r="F71" i="91"/>
  <c r="J53" i="96"/>
  <c r="L56" i="96"/>
  <c r="L57" i="96"/>
  <c r="J60" i="96"/>
  <c r="Q48" i="96" s="1"/>
  <c r="L60" i="96"/>
  <c r="J59" i="96"/>
  <c r="I54" i="96"/>
  <c r="J57" i="96"/>
  <c r="J55" i="96" s="1"/>
  <c r="J58" i="96" s="1"/>
  <c r="Q50" i="96" s="1"/>
  <c r="J20" i="90"/>
  <c r="F65" i="87"/>
  <c r="F69" i="77"/>
  <c r="C103" i="78"/>
  <c r="F65" i="79"/>
  <c r="B2" i="36"/>
  <c r="B3" i="36" s="1"/>
  <c r="F65" i="91"/>
  <c r="J20" i="79"/>
  <c r="F69" i="15"/>
  <c r="J60" i="87"/>
  <c r="Q48" i="87" s="1"/>
  <c r="I54" i="87"/>
  <c r="L46" i="87"/>
  <c r="J59" i="87"/>
  <c r="J53" i="87"/>
  <c r="L57" i="87"/>
  <c r="J57" i="87"/>
  <c r="J55" i="87" s="1"/>
  <c r="J58" i="87" s="1"/>
  <c r="Q50" i="87" s="1"/>
  <c r="L56" i="87"/>
  <c r="L60" i="87"/>
  <c r="F64" i="79"/>
  <c r="N59" i="15"/>
  <c r="M59" i="15"/>
  <c r="L59" i="15"/>
  <c r="L58" i="15"/>
  <c r="Q71" i="15"/>
  <c r="J53" i="91"/>
  <c r="L60" i="91"/>
  <c r="L57" i="91"/>
  <c r="J57" i="91"/>
  <c r="J55" i="91" s="1"/>
  <c r="J58" i="91" s="1"/>
  <c r="Q50" i="91" s="1"/>
  <c r="J60" i="91"/>
  <c r="Q48" i="91" s="1"/>
  <c r="L46" i="91"/>
  <c r="L56" i="91"/>
  <c r="I54" i="91"/>
  <c r="J59" i="91"/>
  <c r="F66" i="77"/>
  <c r="C15" i="79"/>
  <c r="C18" i="79"/>
  <c r="C19" i="79"/>
  <c r="F69" i="79"/>
  <c r="C27" i="79"/>
  <c r="L59" i="87"/>
  <c r="M59" i="87"/>
  <c r="L58" i="87"/>
  <c r="N59" i="87"/>
  <c r="F69" i="96"/>
  <c r="F68" i="87"/>
  <c r="C27" i="15"/>
  <c r="F70" i="67"/>
  <c r="F64" i="67"/>
  <c r="Q71" i="96"/>
  <c r="F65" i="96"/>
  <c r="C6" i="87"/>
  <c r="C6" i="15"/>
  <c r="C27" i="67"/>
  <c r="F68" i="91"/>
  <c r="C6" i="97"/>
  <c r="F68" i="90"/>
  <c r="C6" i="77"/>
  <c r="C35" i="86"/>
  <c r="C38" i="86"/>
  <c r="C33" i="86"/>
  <c r="N59" i="79"/>
  <c r="M59" i="79"/>
  <c r="L59" i="79"/>
  <c r="L58" i="79"/>
  <c r="F71" i="15"/>
  <c r="C6" i="67"/>
  <c r="B2" i="21"/>
  <c r="B3" i="21" s="1"/>
  <c r="Q71" i="77"/>
  <c r="F66" i="91"/>
  <c r="F64" i="97"/>
  <c r="L60" i="90"/>
  <c r="J53" i="90"/>
  <c r="L56" i="90"/>
  <c r="J59" i="90"/>
  <c r="I54" i="90"/>
  <c r="J57" i="90"/>
  <c r="J55" i="90" s="1"/>
  <c r="J58" i="90" s="1"/>
  <c r="Q50" i="90" s="1"/>
  <c r="L57" i="90"/>
  <c r="J60" i="90"/>
  <c r="Q48" i="90" s="1"/>
  <c r="F50" i="90"/>
  <c r="M7" i="90"/>
  <c r="J6" i="90" s="1"/>
  <c r="C18" i="91"/>
  <c r="C15" i="91"/>
  <c r="C19" i="91"/>
  <c r="L46" i="79"/>
  <c r="J57" i="79"/>
  <c r="J55" i="79" s="1"/>
  <c r="J58" i="79" s="1"/>
  <c r="Q50" i="79" s="1"/>
  <c r="J60" i="79"/>
  <c r="Q48" i="79" s="1"/>
  <c r="I54" i="79"/>
  <c r="L56" i="79"/>
  <c r="J59" i="79"/>
  <c r="J53" i="79"/>
  <c r="L60" i="79"/>
  <c r="L57" i="79"/>
  <c r="C47" i="86"/>
  <c r="D45" i="86" s="1"/>
  <c r="C29" i="86"/>
  <c r="D27" i="86" s="1"/>
  <c r="C27" i="87"/>
  <c r="B2" i="37"/>
  <c r="B3" i="37" s="1"/>
  <c r="Q71" i="91"/>
  <c r="C18" i="97"/>
  <c r="C15" i="97"/>
  <c r="C27" i="90"/>
  <c r="F63" i="77"/>
  <c r="C62" i="77" s="1"/>
  <c r="C34" i="77"/>
  <c r="M7" i="15"/>
  <c r="J6" i="15" s="1"/>
  <c r="F50" i="15"/>
  <c r="F71" i="87"/>
  <c r="F64" i="87"/>
  <c r="F63" i="67"/>
  <c r="C62" i="67" s="1"/>
  <c r="C34" i="67"/>
  <c r="F66" i="15"/>
  <c r="F68" i="15"/>
  <c r="C27" i="91"/>
  <c r="C6" i="91"/>
  <c r="L59" i="97"/>
  <c r="N59" i="97"/>
  <c r="L58" i="97"/>
  <c r="M59" i="97"/>
  <c r="F51" i="96"/>
  <c r="F65" i="90"/>
  <c r="I1" i="73"/>
  <c r="B39" i="1" s="1"/>
  <c r="F68" i="79"/>
  <c r="F51" i="87"/>
  <c r="F69" i="67"/>
  <c r="F51" i="67"/>
  <c r="N59" i="77"/>
  <c r="L59" i="77"/>
  <c r="M59" i="77"/>
  <c r="L58" i="77"/>
  <c r="J20" i="67"/>
  <c r="F64" i="96"/>
  <c r="C15" i="96"/>
  <c r="C18" i="96"/>
  <c r="C6" i="96"/>
  <c r="F71" i="90"/>
  <c r="C34" i="15"/>
  <c r="F63" i="15"/>
  <c r="C62" i="15" s="1"/>
  <c r="C10" i="86"/>
  <c r="F50" i="87"/>
  <c r="M7" i="87"/>
  <c r="J6" i="87" s="1"/>
  <c r="F66" i="79"/>
  <c r="Q71" i="79"/>
  <c r="F71" i="79"/>
  <c r="F71" i="67"/>
  <c r="F51" i="15"/>
  <c r="J20" i="96"/>
  <c r="F68" i="96"/>
  <c r="F50" i="96"/>
  <c r="M7" i="96"/>
  <c r="J6" i="96" s="1"/>
  <c r="F51" i="90"/>
  <c r="F65" i="77"/>
  <c r="F64" i="15"/>
  <c r="F68" i="67"/>
  <c r="F65" i="15"/>
  <c r="F66" i="67"/>
  <c r="F51" i="91"/>
  <c r="M59" i="96"/>
  <c r="L59" i="96"/>
  <c r="L58" i="96"/>
  <c r="N59" i="96"/>
  <c r="Q71" i="97"/>
  <c r="L57" i="97"/>
  <c r="J60" i="97"/>
  <c r="Q48" i="97" s="1"/>
  <c r="J57" i="97"/>
  <c r="J55" i="97" s="1"/>
  <c r="J58" i="97" s="1"/>
  <c r="Q50" i="97" s="1"/>
  <c r="J59" i="97"/>
  <c r="J53" i="97"/>
  <c r="L60" i="97"/>
  <c r="I54" i="97"/>
  <c r="L56" i="97"/>
  <c r="F65" i="97"/>
  <c r="F71" i="97"/>
  <c r="M7" i="97"/>
  <c r="J6" i="97" s="1"/>
  <c r="F50" i="97"/>
  <c r="F66" i="90"/>
  <c r="M7" i="77"/>
  <c r="J6" i="77" s="1"/>
  <c r="F50" i="77"/>
  <c r="F68" i="97"/>
  <c r="C27" i="97"/>
  <c r="F51" i="97"/>
  <c r="F66" i="96"/>
  <c r="C34" i="90"/>
  <c r="F63" i="90"/>
  <c r="C62" i="90" s="1"/>
  <c r="J60" i="77"/>
  <c r="Q48" i="77" s="1"/>
  <c r="J53" i="77"/>
  <c r="J59" i="77"/>
  <c r="L57" i="77"/>
  <c r="J57" i="77"/>
  <c r="J55" i="77" s="1"/>
  <c r="J58" i="77" s="1"/>
  <c r="Q50" i="77" s="1"/>
  <c r="L56" i="77"/>
  <c r="I54" i="77"/>
  <c r="L60" i="77"/>
  <c r="J20" i="77"/>
  <c r="F64" i="77"/>
  <c r="C15" i="77"/>
  <c r="C18" i="77"/>
  <c r="F51" i="77"/>
  <c r="Q71" i="67"/>
  <c r="L58" i="91"/>
  <c r="N59" i="91"/>
  <c r="M59" i="91"/>
  <c r="L59" i="91"/>
  <c r="N59" i="90"/>
  <c r="L58" i="90"/>
  <c r="L59" i="90"/>
  <c r="M59" i="90"/>
  <c r="F64" i="91"/>
  <c r="J20" i="97"/>
  <c r="F66" i="97"/>
  <c r="F64" i="90"/>
  <c r="C18" i="90"/>
  <c r="C15" i="90"/>
  <c r="F68" i="77"/>
  <c r="C27" i="77"/>
  <c r="C29" i="69"/>
  <c r="D27" i="69" s="1"/>
  <c r="C10" i="68"/>
  <c r="B29" i="1" s="1"/>
  <c r="C8" i="68" s="1"/>
  <c r="C5" i="68" s="1"/>
  <c r="D19" i="68"/>
  <c r="D37" i="68" s="1"/>
  <c r="C37" i="68" s="1"/>
  <c r="C14" i="12"/>
  <c r="C16" i="12" s="1"/>
  <c r="D17" i="12"/>
  <c r="C17" i="12" s="1"/>
  <c r="C38" i="69"/>
  <c r="E17" i="49"/>
  <c r="B22" i="49"/>
  <c r="B5" i="49"/>
  <c r="C17" i="77"/>
  <c r="C17" i="97"/>
  <c r="C17" i="96"/>
  <c r="C17" i="90"/>
  <c r="C16" i="97"/>
  <c r="C14" i="67"/>
  <c r="C16" i="87"/>
  <c r="C17" i="87"/>
  <c r="C16" i="15"/>
  <c r="C17" i="79"/>
  <c r="C16" i="77"/>
  <c r="C16" i="79"/>
  <c r="C17" i="91"/>
  <c r="C16" i="90"/>
  <c r="C17" i="67"/>
  <c r="C16" i="96"/>
  <c r="C16" i="91"/>
  <c r="C17" i="15"/>
  <c r="C16" i="67"/>
  <c r="D37" i="69" l="1"/>
  <c r="C37" i="69" s="1"/>
  <c r="C33" i="69" s="1"/>
  <c r="C39" i="69" s="1"/>
  <c r="C46" i="69" s="1"/>
  <c r="C45" i="69" s="1"/>
  <c r="D127" i="9"/>
  <c r="D13" i="52" s="1"/>
  <c r="K4" i="4"/>
  <c r="B46" i="48" s="1"/>
  <c r="B4" i="72" s="1"/>
  <c r="C8" i="74"/>
  <c r="C92" i="9"/>
  <c r="C49" i="67"/>
  <c r="C49" i="91"/>
  <c r="C49" i="15"/>
  <c r="C35" i="68"/>
  <c r="C38" i="68"/>
  <c r="L46" i="90"/>
  <c r="L46" i="97"/>
  <c r="L46" i="96"/>
  <c r="C18" i="12"/>
  <c r="C21" i="12" s="1"/>
  <c r="L46" i="77"/>
  <c r="C19" i="96"/>
  <c r="C19" i="90"/>
  <c r="C18" i="67"/>
  <c r="C15" i="67"/>
  <c r="C19" i="97"/>
  <c r="J19" i="97"/>
  <c r="J18" i="97"/>
  <c r="J19" i="15"/>
  <c r="J18" i="15"/>
  <c r="C19" i="77"/>
  <c r="J18" i="96"/>
  <c r="J19" i="96"/>
  <c r="Q60" i="91"/>
  <c r="Q73" i="91"/>
  <c r="Q61" i="15"/>
  <c r="Q74" i="15"/>
  <c r="Q74" i="97"/>
  <c r="Q61" i="97"/>
  <c r="F1" i="90"/>
  <c r="Q52" i="90"/>
  <c r="Q52" i="96"/>
  <c r="F1" i="96"/>
  <c r="J18" i="77"/>
  <c r="J19" i="77"/>
  <c r="C33" i="91"/>
  <c r="C32" i="91"/>
  <c r="J18" i="87"/>
  <c r="J19" i="87"/>
  <c r="Q66" i="90"/>
  <c r="Q57" i="90"/>
  <c r="Q60" i="79"/>
  <c r="Q73" i="79"/>
  <c r="Q74" i="67"/>
  <c r="Q61" i="67"/>
  <c r="J18" i="79"/>
  <c r="Q61" i="90"/>
  <c r="Q74" i="90"/>
  <c r="Q73" i="90"/>
  <c r="Q60" i="90"/>
  <c r="C49" i="77"/>
  <c r="Q66" i="79"/>
  <c r="Q57" i="79"/>
  <c r="Q74" i="79"/>
  <c r="Q61" i="79"/>
  <c r="Q60" i="87"/>
  <c r="Q73" i="87"/>
  <c r="Q57" i="96"/>
  <c r="Q66" i="96"/>
  <c r="M11" i="77"/>
  <c r="J10" i="77" s="1"/>
  <c r="J5" i="77" s="1"/>
  <c r="F11" i="96"/>
  <c r="C53" i="96" s="1"/>
  <c r="M11" i="90"/>
  <c r="J10" i="90" s="1"/>
  <c r="J5" i="90" s="1"/>
  <c r="F11" i="87"/>
  <c r="F11" i="79"/>
  <c r="M11" i="15"/>
  <c r="J10" i="15" s="1"/>
  <c r="J5" i="15" s="1"/>
  <c r="F11" i="90"/>
  <c r="C53" i="90" s="1"/>
  <c r="F11" i="97"/>
  <c r="C53" i="97" s="1"/>
  <c r="F11" i="91"/>
  <c r="C53" i="91" s="1"/>
  <c r="M11" i="91"/>
  <c r="J10" i="91" s="1"/>
  <c r="J5" i="91" s="1"/>
  <c r="M11" i="97"/>
  <c r="J10" i="97" s="1"/>
  <c r="J5" i="97" s="1"/>
  <c r="F11" i="15"/>
  <c r="C53" i="15" s="1"/>
  <c r="F11" i="67"/>
  <c r="M11" i="79"/>
  <c r="J10" i="79" s="1"/>
  <c r="J5" i="79" s="1"/>
  <c r="M11" i="96"/>
  <c r="J10" i="96" s="1"/>
  <c r="J5" i="96" s="1"/>
  <c r="M11" i="67"/>
  <c r="J10" i="67" s="1"/>
  <c r="J5" i="67" s="1"/>
  <c r="M11" i="87"/>
  <c r="J10" i="87" s="1"/>
  <c r="J5" i="87" s="1"/>
  <c r="F11" i="77"/>
  <c r="C53" i="77" s="1"/>
  <c r="C33" i="87"/>
  <c r="C32" i="87"/>
  <c r="C20" i="79"/>
  <c r="C26" i="79" s="1"/>
  <c r="Q66" i="77"/>
  <c r="Q57" i="77"/>
  <c r="Q74" i="77"/>
  <c r="Q61" i="77"/>
  <c r="C49" i="96"/>
  <c r="C20" i="91"/>
  <c r="C26" i="91" s="1"/>
  <c r="C33" i="97"/>
  <c r="C32" i="97"/>
  <c r="Q57" i="91"/>
  <c r="Q66" i="91"/>
  <c r="Q66" i="87"/>
  <c r="Q57" i="87"/>
  <c r="C8" i="86"/>
  <c r="C5" i="86" s="1"/>
  <c r="C20" i="87"/>
  <c r="C26" i="87" s="1"/>
  <c r="F24" i="96"/>
  <c r="C24" i="96" s="1"/>
  <c r="F22" i="68"/>
  <c r="C23" i="68" s="1"/>
  <c r="F24" i="77"/>
  <c r="C24" i="77" s="1"/>
  <c r="F22" i="11"/>
  <c r="F25" i="12"/>
  <c r="C26" i="12" s="1"/>
  <c r="D25" i="12" s="1"/>
  <c r="F22" i="86"/>
  <c r="C42" i="86" s="1"/>
  <c r="C41" i="86" s="1"/>
  <c r="F24" i="67"/>
  <c r="C24" i="67" s="1"/>
  <c r="F24" i="90"/>
  <c r="C24" i="90" s="1"/>
  <c r="F24" i="79"/>
  <c r="C24" i="79" s="1"/>
  <c r="F24" i="15"/>
  <c r="C24" i="15" s="1"/>
  <c r="F24" i="97"/>
  <c r="C24" i="97" s="1"/>
  <c r="F24" i="87"/>
  <c r="C24" i="87" s="1"/>
  <c r="F22" i="69"/>
  <c r="C23" i="69" s="1"/>
  <c r="F24" i="91"/>
  <c r="C24" i="91" s="1"/>
  <c r="F1" i="77"/>
  <c r="Q52" i="77"/>
  <c r="C33" i="77"/>
  <c r="C32" i="77"/>
  <c r="F1" i="87"/>
  <c r="Q52" i="87"/>
  <c r="C20" i="69"/>
  <c r="C28" i="69" s="1"/>
  <c r="C27" i="69" s="1"/>
  <c r="C20" i="68"/>
  <c r="Q61" i="91"/>
  <c r="Q74" i="91"/>
  <c r="Q66" i="97"/>
  <c r="Q57" i="97"/>
  <c r="J18" i="67"/>
  <c r="J18" i="91"/>
  <c r="J19" i="91"/>
  <c r="F1" i="79"/>
  <c r="Q52" i="79"/>
  <c r="Q74" i="87"/>
  <c r="Q61" i="87"/>
  <c r="F1" i="91"/>
  <c r="Q52" i="91"/>
  <c r="C49" i="79"/>
  <c r="F1" i="97"/>
  <c r="Q52" i="97"/>
  <c r="Q60" i="96"/>
  <c r="Q73" i="96"/>
  <c r="J18" i="90"/>
  <c r="J19" i="90"/>
  <c r="C49" i="87"/>
  <c r="C39" i="86"/>
  <c r="C20" i="15"/>
  <c r="C49" i="97"/>
  <c r="Q74" i="96"/>
  <c r="Q61" i="96"/>
  <c r="C49" i="90"/>
  <c r="C32" i="96"/>
  <c r="C33" i="96"/>
  <c r="Q60" i="77"/>
  <c r="Q73" i="77"/>
  <c r="Q60" i="97"/>
  <c r="Q73" i="97"/>
  <c r="C32" i="67"/>
  <c r="C32" i="15"/>
  <c r="C33" i="15"/>
  <c r="Q60" i="15"/>
  <c r="Q73" i="15"/>
  <c r="Q52" i="67"/>
  <c r="F1" i="67"/>
  <c r="Q52" i="15"/>
  <c r="F1" i="15"/>
  <c r="Q73" i="67"/>
  <c r="Q60" i="67"/>
  <c r="C32" i="90"/>
  <c r="C33" i="90"/>
  <c r="N28" i="43"/>
  <c r="G20" i="43" s="1"/>
  <c r="M28" i="43"/>
  <c r="O28" i="43"/>
  <c r="P28" i="43"/>
  <c r="Q57" i="15"/>
  <c r="Q66" i="15"/>
  <c r="C32" i="79"/>
  <c r="AE7" i="1"/>
  <c r="F41" i="90" s="1"/>
  <c r="AE6" i="1"/>
  <c r="AE8" i="1"/>
  <c r="AE9" i="1"/>
  <c r="F41" i="97" s="1"/>
  <c r="C10" i="90" l="1"/>
  <c r="C5" i="90" s="1"/>
  <c r="C38" i="90" s="1"/>
  <c r="C48" i="90"/>
  <c r="C60" i="90" s="1"/>
  <c r="C10" i="96"/>
  <c r="C5" i="96" s="1"/>
  <c r="C23" i="15"/>
  <c r="C25" i="68"/>
  <c r="C48" i="91"/>
  <c r="C60" i="91" s="1"/>
  <c r="C19" i="67"/>
  <c r="C20" i="67" s="1"/>
  <c r="C26" i="67" s="1"/>
  <c r="C48" i="97"/>
  <c r="C66" i="97" s="1"/>
  <c r="C48" i="15"/>
  <c r="C33" i="68"/>
  <c r="C39" i="68" s="1"/>
  <c r="C46" i="68" s="1"/>
  <c r="C45" i="68" s="1"/>
  <c r="C31" i="77"/>
  <c r="C48" i="96"/>
  <c r="C66" i="96" s="1"/>
  <c r="C43" i="86"/>
  <c r="C10" i="77"/>
  <c r="C5" i="77" s="1"/>
  <c r="C38" i="77" s="1"/>
  <c r="J17" i="97"/>
  <c r="J17" i="87"/>
  <c r="C48" i="77"/>
  <c r="C66" i="77" s="1"/>
  <c r="C31" i="91"/>
  <c r="J17" i="96"/>
  <c r="C31" i="96"/>
  <c r="C23" i="91"/>
  <c r="C29" i="91" s="1"/>
  <c r="J17" i="77"/>
  <c r="J17" i="15"/>
  <c r="C42" i="69"/>
  <c r="C28" i="68"/>
  <c r="C27" i="68" s="1"/>
  <c r="F69" i="97"/>
  <c r="AG8" i="1"/>
  <c r="AG6" i="1"/>
  <c r="F69" i="90"/>
  <c r="J24" i="77"/>
  <c r="J26" i="67"/>
  <c r="J29" i="67" s="1"/>
  <c r="J24" i="67"/>
  <c r="J24" i="91"/>
  <c r="J26" i="91"/>
  <c r="J29" i="91" s="1"/>
  <c r="J26" i="87"/>
  <c r="J29" i="87" s="1"/>
  <c r="J24" i="87"/>
  <c r="C66" i="15"/>
  <c r="C60" i="15"/>
  <c r="J24" i="96"/>
  <c r="J26" i="97"/>
  <c r="J29" i="97" s="1"/>
  <c r="J24" i="97"/>
  <c r="J24" i="15"/>
  <c r="J26" i="15"/>
  <c r="J29" i="15" s="1"/>
  <c r="J24" i="79"/>
  <c r="J26" i="79"/>
  <c r="J29" i="79" s="1"/>
  <c r="C20" i="77"/>
  <c r="C26" i="77" s="1"/>
  <c r="C66" i="90"/>
  <c r="C26" i="15"/>
  <c r="C29" i="15" s="1"/>
  <c r="J17" i="90"/>
  <c r="C25" i="69"/>
  <c r="C26" i="68"/>
  <c r="D22" i="68" s="1"/>
  <c r="C24" i="68"/>
  <c r="C44" i="68"/>
  <c r="D41" i="68" s="1"/>
  <c r="C20" i="97"/>
  <c r="C26" i="97" s="1"/>
  <c r="C42" i="11"/>
  <c r="C44" i="11"/>
  <c r="D41" i="11" s="1"/>
  <c r="C25" i="11"/>
  <c r="C23" i="11"/>
  <c r="C43" i="11"/>
  <c r="C24" i="11"/>
  <c r="C26" i="11"/>
  <c r="D22" i="11" s="1"/>
  <c r="C60" i="77"/>
  <c r="J24" i="90"/>
  <c r="J26" i="90"/>
  <c r="J29" i="90" s="1"/>
  <c r="C20" i="86"/>
  <c r="C25" i="86" s="1"/>
  <c r="C23" i="86"/>
  <c r="C22" i="86" s="1"/>
  <c r="C31" i="90"/>
  <c r="C38" i="96"/>
  <c r="J17" i="91"/>
  <c r="C31" i="15"/>
  <c r="C60" i="96"/>
  <c r="C10" i="87"/>
  <c r="C5" i="87" s="1"/>
  <c r="C53" i="87"/>
  <c r="C48" i="87" s="1"/>
  <c r="C10" i="15"/>
  <c r="C5" i="15" s="1"/>
  <c r="C22" i="12"/>
  <c r="C46" i="86"/>
  <c r="C45" i="86" s="1"/>
  <c r="C24" i="86"/>
  <c r="C26" i="86"/>
  <c r="D22" i="86" s="1"/>
  <c r="C44" i="86"/>
  <c r="D41" i="86" s="1"/>
  <c r="C23" i="87"/>
  <c r="C29" i="87" s="1"/>
  <c r="C10" i="97"/>
  <c r="C5" i="97" s="1"/>
  <c r="C23" i="79"/>
  <c r="C29" i="79" s="1"/>
  <c r="C10" i="91"/>
  <c r="C5" i="91" s="1"/>
  <c r="C20" i="90"/>
  <c r="C23" i="90" s="1"/>
  <c r="E41" i="43"/>
  <c r="C41" i="43" s="1"/>
  <c r="C20" i="43"/>
  <c r="C44" i="69"/>
  <c r="D41" i="69" s="1"/>
  <c r="C26" i="69"/>
  <c r="D22" i="69" s="1"/>
  <c r="C24" i="69"/>
  <c r="C31" i="97"/>
  <c r="C31" i="87"/>
  <c r="C10" i="67"/>
  <c r="C5" i="67" s="1"/>
  <c r="C53" i="67"/>
  <c r="C48" i="67" s="1"/>
  <c r="C10" i="79"/>
  <c r="C5" i="79" s="1"/>
  <c r="C53" i="79"/>
  <c r="C48" i="79" s="1"/>
  <c r="C43" i="69"/>
  <c r="C20" i="96"/>
  <c r="C26" i="96" s="1"/>
  <c r="M27" i="96"/>
  <c r="M27" i="77"/>
  <c r="C22" i="68" l="1"/>
  <c r="C66" i="91"/>
  <c r="C22" i="69"/>
  <c r="C31" i="69" s="1"/>
  <c r="C60" i="97"/>
  <c r="C42" i="68"/>
  <c r="C43" i="68"/>
  <c r="C41" i="69"/>
  <c r="C49" i="69" s="1"/>
  <c r="C51" i="69" s="1"/>
  <c r="C23" i="77"/>
  <c r="C29" i="77" s="1"/>
  <c r="C57" i="77" s="1"/>
  <c r="C23" i="67"/>
  <c r="C29" i="67" s="1"/>
  <c r="C22" i="11"/>
  <c r="C31" i="11" s="1"/>
  <c r="C23" i="96"/>
  <c r="C29" i="96" s="1"/>
  <c r="C36" i="96" s="1"/>
  <c r="C26" i="90"/>
  <c r="C29" i="90" s="1"/>
  <c r="C23" i="97"/>
  <c r="C29" i="97" s="1"/>
  <c r="C57" i="97" s="1"/>
  <c r="C49" i="86"/>
  <c r="C51" i="86" s="1"/>
  <c r="C28" i="86"/>
  <c r="C27" i="86" s="1"/>
  <c r="C31" i="86" s="1"/>
  <c r="C57" i="87"/>
  <c r="Q49" i="87"/>
  <c r="C36" i="87"/>
  <c r="C13" i="87"/>
  <c r="J14" i="87"/>
  <c r="C38" i="67"/>
  <c r="C41" i="11"/>
  <c r="C49" i="11" s="1"/>
  <c r="C51" i="11" s="1"/>
  <c r="C13" i="15"/>
  <c r="C57" i="15"/>
  <c r="C36" i="15"/>
  <c r="Q49" i="15"/>
  <c r="J14" i="15"/>
  <c r="C38" i="15"/>
  <c r="C60" i="79"/>
  <c r="C66" i="79"/>
  <c r="C38" i="91"/>
  <c r="C30" i="12"/>
  <c r="C28" i="12" s="1"/>
  <c r="C38" i="79"/>
  <c r="C60" i="87"/>
  <c r="C66" i="87"/>
  <c r="J14" i="79"/>
  <c r="C13" i="79"/>
  <c r="C36" i="79"/>
  <c r="J19" i="79"/>
  <c r="J17" i="79" s="1"/>
  <c r="Q49" i="79"/>
  <c r="C57" i="79"/>
  <c r="C33" i="79"/>
  <c r="C31" i="79" s="1"/>
  <c r="C27" i="12"/>
  <c r="C25" i="12" s="1"/>
  <c r="C31" i="68"/>
  <c r="Q49" i="91"/>
  <c r="C13" i="91"/>
  <c r="C57" i="91"/>
  <c r="C36" i="91"/>
  <c r="J14" i="91"/>
  <c r="C38" i="43"/>
  <c r="C39" i="43"/>
  <c r="C60" i="67"/>
  <c r="C66" i="67"/>
  <c r="T15" i="43"/>
  <c r="V15" i="43" s="1"/>
  <c r="T6" i="43"/>
  <c r="V6" i="43" s="1"/>
  <c r="T10" i="43"/>
  <c r="V10" i="43" s="1"/>
  <c r="T11" i="43"/>
  <c r="V11" i="43" s="1"/>
  <c r="T13" i="43"/>
  <c r="V13" i="43" s="1"/>
  <c r="T12" i="43"/>
  <c r="V12" i="43" s="1"/>
  <c r="T8" i="43"/>
  <c r="V8" i="43" s="1"/>
  <c r="T2" i="43"/>
  <c r="V2" i="43" s="1"/>
  <c r="C34" i="43"/>
  <c r="C37" i="43"/>
  <c r="T16" i="43"/>
  <c r="V16" i="43" s="1"/>
  <c r="T7" i="43"/>
  <c r="V7" i="43" s="1"/>
  <c r="T9" i="43"/>
  <c r="V9" i="43" s="1"/>
  <c r="T14" i="43"/>
  <c r="V14" i="43" s="1"/>
  <c r="C29" i="43"/>
  <c r="T5" i="43"/>
  <c r="V5" i="43" s="1"/>
  <c r="C36" i="43"/>
  <c r="C35" i="43"/>
  <c r="C33" i="43"/>
  <c r="T4" i="43"/>
  <c r="V4" i="43" s="1"/>
  <c r="T3" i="43"/>
  <c r="V3" i="43" s="1"/>
  <c r="C38" i="97"/>
  <c r="C38" i="87"/>
  <c r="C32" i="12" l="1"/>
  <c r="B2" i="12" s="1"/>
  <c r="B3" i="12" s="1"/>
  <c r="C41" i="68"/>
  <c r="C49" i="68" s="1"/>
  <c r="C51" i="68" s="1"/>
  <c r="C52" i="68" s="1"/>
  <c r="C13" i="97"/>
  <c r="J14" i="97"/>
  <c r="J22" i="97" s="1"/>
  <c r="Q49" i="97"/>
  <c r="C36" i="97"/>
  <c r="C52" i="86"/>
  <c r="B2" i="86" s="1"/>
  <c r="C52" i="69"/>
  <c r="C57" i="69" s="1"/>
  <c r="C56" i="69" s="1"/>
  <c r="C13" i="67"/>
  <c r="C37" i="67" s="1"/>
  <c r="J14" i="67"/>
  <c r="J22" i="67" s="1"/>
  <c r="J19" i="67"/>
  <c r="J17" i="67" s="1"/>
  <c r="C33" i="67"/>
  <c r="C31" i="67" s="1"/>
  <c r="C36" i="67"/>
  <c r="Q49" i="67"/>
  <c r="C57" i="67"/>
  <c r="C64" i="67" s="1"/>
  <c r="C52" i="11"/>
  <c r="B2" i="11" s="1"/>
  <c r="B3" i="11" s="1"/>
  <c r="Q49" i="77"/>
  <c r="C36" i="90"/>
  <c r="J14" i="90"/>
  <c r="J22" i="90" s="1"/>
  <c r="C57" i="90"/>
  <c r="C64" i="90" s="1"/>
  <c r="C13" i="90"/>
  <c r="C56" i="90" s="1"/>
  <c r="C65" i="90" s="1"/>
  <c r="Q49" i="90"/>
  <c r="C36" i="77"/>
  <c r="C13" i="96"/>
  <c r="C75" i="96" s="1"/>
  <c r="J14" i="77"/>
  <c r="J13" i="77" s="1"/>
  <c r="J23" i="77" s="1"/>
  <c r="C57" i="96"/>
  <c r="C64" i="96" s="1"/>
  <c r="C13" i="77"/>
  <c r="C56" i="77" s="1"/>
  <c r="C65" i="77" s="1"/>
  <c r="J14" i="96"/>
  <c r="J22" i="96" s="1"/>
  <c r="Q49" i="96"/>
  <c r="G38" i="43"/>
  <c r="I38" i="43" s="1"/>
  <c r="E38" i="43"/>
  <c r="J13" i="87"/>
  <c r="J23" i="87" s="1"/>
  <c r="J22" i="87"/>
  <c r="C30" i="43"/>
  <c r="E30" i="43" s="1"/>
  <c r="E29" i="43"/>
  <c r="G33" i="43"/>
  <c r="I33" i="43" s="1"/>
  <c r="E33" i="43"/>
  <c r="J13" i="91"/>
  <c r="J23" i="91" s="1"/>
  <c r="J22" i="91"/>
  <c r="C64" i="79"/>
  <c r="C61" i="79"/>
  <c r="C59" i="79" s="1"/>
  <c r="J13" i="67"/>
  <c r="J23" i="67" s="1"/>
  <c r="C75" i="87"/>
  <c r="C56" i="87"/>
  <c r="C65" i="87" s="1"/>
  <c r="C37" i="87"/>
  <c r="C30" i="87" s="1"/>
  <c r="C39" i="87" s="1"/>
  <c r="Q70" i="87"/>
  <c r="G35" i="43"/>
  <c r="I35" i="43" s="1"/>
  <c r="E35" i="43"/>
  <c r="E37" i="43"/>
  <c r="G37" i="43"/>
  <c r="I37" i="43" s="1"/>
  <c r="J22" i="15"/>
  <c r="J13" i="15"/>
  <c r="J23" i="15" s="1"/>
  <c r="F15" i="94"/>
  <c r="C75" i="97"/>
  <c r="C37" i="97"/>
  <c r="Q70" i="97"/>
  <c r="C56" i="97"/>
  <c r="C65" i="97" s="1"/>
  <c r="C64" i="97"/>
  <c r="C61" i="97"/>
  <c r="C59" i="97" s="1"/>
  <c r="E36" i="43"/>
  <c r="G36" i="43"/>
  <c r="I36" i="43" s="1"/>
  <c r="G34" i="43"/>
  <c r="I34" i="43" s="1"/>
  <c r="E34" i="43"/>
  <c r="C64" i="91"/>
  <c r="C61" i="91"/>
  <c r="C59" i="91" s="1"/>
  <c r="C56" i="79"/>
  <c r="C65" i="79" s="1"/>
  <c r="C75" i="79"/>
  <c r="Q70" i="79"/>
  <c r="C37" i="79"/>
  <c r="C30" i="79" s="1"/>
  <c r="C39" i="79" s="1"/>
  <c r="C61" i="15"/>
  <c r="C59" i="15" s="1"/>
  <c r="C64" i="15"/>
  <c r="J22" i="79"/>
  <c r="J13" i="79"/>
  <c r="J23" i="79" s="1"/>
  <c r="C37" i="15"/>
  <c r="C30" i="15" s="1"/>
  <c r="C39" i="15" s="1"/>
  <c r="C75" i="15"/>
  <c r="Q70" i="15"/>
  <c r="C56" i="15"/>
  <c r="C65" i="15" s="1"/>
  <c r="G39" i="43"/>
  <c r="I39" i="43" s="1"/>
  <c r="E39" i="43"/>
  <c r="C56" i="91"/>
  <c r="C65" i="91" s="1"/>
  <c r="Q70" i="91"/>
  <c r="C37" i="91"/>
  <c r="C30" i="91" s="1"/>
  <c r="C39" i="91" s="1"/>
  <c r="C75" i="91"/>
  <c r="C64" i="77"/>
  <c r="C61" i="77"/>
  <c r="C59" i="77" s="1"/>
  <c r="C61" i="87"/>
  <c r="C59" i="87" s="1"/>
  <c r="C64" i="87"/>
  <c r="C19" i="80"/>
  <c r="B3" i="86"/>
  <c r="C20" i="80" s="1"/>
  <c r="B2" i="69" l="1"/>
  <c r="B3" i="69" s="1"/>
  <c r="J13" i="97"/>
  <c r="J23" i="97" s="1"/>
  <c r="J16" i="97" s="1"/>
  <c r="J25" i="97" s="1"/>
  <c r="C61" i="90"/>
  <c r="C59" i="90" s="1"/>
  <c r="C61" i="67"/>
  <c r="C59" i="67" s="1"/>
  <c r="B2" i="68"/>
  <c r="C57" i="68"/>
  <c r="C56" i="68" s="1"/>
  <c r="J13" i="90"/>
  <c r="J23" i="90" s="1"/>
  <c r="J16" i="90" s="1"/>
  <c r="J25" i="90" s="1"/>
  <c r="C30" i="97"/>
  <c r="C39" i="97" s="1"/>
  <c r="C40" i="97" s="1"/>
  <c r="C30" i="67"/>
  <c r="C39" i="67" s="1"/>
  <c r="Q69" i="67" s="1"/>
  <c r="C37" i="77"/>
  <c r="C30" i="77" s="1"/>
  <c r="C39" i="77" s="1"/>
  <c r="C40" i="77" s="1"/>
  <c r="C56" i="67"/>
  <c r="C65" i="67" s="1"/>
  <c r="Q70" i="67"/>
  <c r="C56" i="11"/>
  <c r="C57" i="11" s="1"/>
  <c r="C75" i="67"/>
  <c r="C58" i="87"/>
  <c r="C67" i="87" s="1"/>
  <c r="C68" i="87" s="1"/>
  <c r="C71" i="87" s="1"/>
  <c r="Q70" i="77"/>
  <c r="C37" i="96"/>
  <c r="C30" i="96" s="1"/>
  <c r="C39" i="96" s="1"/>
  <c r="C80" i="96" s="1"/>
  <c r="C79" i="96" s="1"/>
  <c r="F14" i="94"/>
  <c r="G14" i="94" s="1"/>
  <c r="C56" i="96"/>
  <c r="C65" i="96" s="1"/>
  <c r="Q70" i="96"/>
  <c r="F3" i="94"/>
  <c r="G3" i="94" s="1"/>
  <c r="C58" i="97"/>
  <c r="C67" i="97" s="1"/>
  <c r="C68" i="97" s="1"/>
  <c r="C102" i="80"/>
  <c r="C21" i="80"/>
  <c r="C57" i="86"/>
  <c r="C56" i="86" s="1"/>
  <c r="J13" i="96"/>
  <c r="J23" i="96" s="1"/>
  <c r="J16" i="96" s="1"/>
  <c r="J25" i="96" s="1"/>
  <c r="J26" i="96" s="1"/>
  <c r="J29" i="96" s="1"/>
  <c r="J22" i="77"/>
  <c r="J16" i="77" s="1"/>
  <c r="J25" i="77" s="1"/>
  <c r="J26" i="77" s="1"/>
  <c r="J29" i="77" s="1"/>
  <c r="F16" i="94"/>
  <c r="G16" i="94" s="1"/>
  <c r="J16" i="67"/>
  <c r="J25" i="67" s="1"/>
  <c r="C75" i="90"/>
  <c r="C75" i="77"/>
  <c r="C80" i="15"/>
  <c r="C79" i="15" s="1"/>
  <c r="C58" i="91"/>
  <c r="C67" i="91" s="1"/>
  <c r="C68" i="91" s="1"/>
  <c r="C71" i="91" s="1"/>
  <c r="Q70" i="90"/>
  <c r="J16" i="91"/>
  <c r="J25" i="91" s="1"/>
  <c r="C37" i="90"/>
  <c r="C30" i="90" s="1"/>
  <c r="C39" i="90" s="1"/>
  <c r="C40" i="90" s="1"/>
  <c r="C80" i="87"/>
  <c r="C79" i="87" s="1"/>
  <c r="C61" i="96"/>
  <c r="C59" i="96" s="1"/>
  <c r="J16" i="79"/>
  <c r="J25" i="79" s="1"/>
  <c r="C58" i="79"/>
  <c r="C67" i="79" s="1"/>
  <c r="C68" i="79" s="1"/>
  <c r="J16" i="15"/>
  <c r="J25" i="15" s="1"/>
  <c r="C103" i="80"/>
  <c r="Q69" i="79"/>
  <c r="Q68" i="79" s="1"/>
  <c r="C40" i="79"/>
  <c r="C40" i="91"/>
  <c r="Q69" i="91"/>
  <c r="Q68" i="91" s="1"/>
  <c r="C80" i="91"/>
  <c r="C79" i="91" s="1"/>
  <c r="C58" i="15"/>
  <c r="C67" i="15" s="1"/>
  <c r="C68" i="15" s="1"/>
  <c r="F31" i="94"/>
  <c r="G31" i="94" s="1"/>
  <c r="G15" i="94"/>
  <c r="C26" i="43"/>
  <c r="C58" i="77"/>
  <c r="C67" i="77" s="1"/>
  <c r="C68" i="77" s="1"/>
  <c r="C27" i="43"/>
  <c r="Q69" i="15"/>
  <c r="Q68" i="15" s="1"/>
  <c r="C40" i="15"/>
  <c r="C80" i="79"/>
  <c r="C79" i="79" s="1"/>
  <c r="C58" i="90"/>
  <c r="C67" i="90" s="1"/>
  <c r="C68" i="90" s="1"/>
  <c r="Q69" i="87"/>
  <c r="Q68" i="87" s="1"/>
  <c r="C40" i="87"/>
  <c r="J16" i="87"/>
  <c r="J25" i="87" s="1"/>
  <c r="C19" i="9"/>
  <c r="L51" i="96"/>
  <c r="L51" i="91"/>
  <c r="L51" i="67"/>
  <c r="L51" i="97"/>
  <c r="L51" i="15"/>
  <c r="L51" i="90"/>
  <c r="E6" i="76"/>
  <c r="L51" i="87"/>
  <c r="L51" i="79"/>
  <c r="L51" i="77"/>
  <c r="C46" i="87" l="1"/>
  <c r="C40" i="67"/>
  <c r="C43" i="67" s="1"/>
  <c r="F30" i="94"/>
  <c r="C80" i="97"/>
  <c r="C79" i="97" s="1"/>
  <c r="C58" i="67"/>
  <c r="C67" i="67" s="1"/>
  <c r="C68" i="67" s="1"/>
  <c r="C71" i="67" s="1"/>
  <c r="Q69" i="97"/>
  <c r="Q68" i="97" s="1"/>
  <c r="C58" i="96"/>
  <c r="C67" i="96" s="1"/>
  <c r="C68" i="96" s="1"/>
  <c r="C71" i="96" s="1"/>
  <c r="C80" i="77"/>
  <c r="C79" i="77" s="1"/>
  <c r="C102" i="9"/>
  <c r="C21" i="9"/>
  <c r="Q69" i="77"/>
  <c r="Q68" i="77" s="1"/>
  <c r="Q68" i="67"/>
  <c r="C46" i="97"/>
  <c r="C80" i="67"/>
  <c r="C79" i="67" s="1"/>
  <c r="B3" i="68"/>
  <c r="F7" i="94"/>
  <c r="F8" i="94" s="1"/>
  <c r="C71" i="97"/>
  <c r="F32" i="94"/>
  <c r="G32" i="94" s="1"/>
  <c r="Q69" i="96"/>
  <c r="Q68" i="96" s="1"/>
  <c r="C40" i="96"/>
  <c r="Q56" i="96" s="1"/>
  <c r="Q62" i="96" s="1"/>
  <c r="C80" i="90"/>
  <c r="C79" i="90" s="1"/>
  <c r="Q69" i="90"/>
  <c r="Q68" i="90" s="1"/>
  <c r="C46" i="79"/>
  <c r="C71" i="79"/>
  <c r="Q67" i="77"/>
  <c r="Q67" i="79"/>
  <c r="Q67" i="87"/>
  <c r="E2" i="76"/>
  <c r="Q67" i="90"/>
  <c r="Q67" i="15"/>
  <c r="Q67" i="97"/>
  <c r="Q67" i="67"/>
  <c r="L57" i="67"/>
  <c r="L60" i="67" s="1"/>
  <c r="Q67" i="91"/>
  <c r="Q67" i="96"/>
  <c r="Q65" i="91"/>
  <c r="Q75" i="91" s="1"/>
  <c r="C43" i="91"/>
  <c r="Q47" i="91"/>
  <c r="Q53" i="91" s="1"/>
  <c r="Q56" i="91"/>
  <c r="Q62" i="91" s="1"/>
  <c r="B2" i="91"/>
  <c r="B3" i="91" s="1"/>
  <c r="C83" i="91"/>
  <c r="C82" i="91" s="1"/>
  <c r="C71" i="15"/>
  <c r="C46" i="15"/>
  <c r="B2" i="79"/>
  <c r="C43" i="79"/>
  <c r="Q65" i="79"/>
  <c r="Q75" i="79" s="1"/>
  <c r="Q47" i="79"/>
  <c r="Q53" i="79" s="1"/>
  <c r="Q56" i="79"/>
  <c r="Q62" i="79" s="1"/>
  <c r="C83" i="79"/>
  <c r="C82" i="79" s="1"/>
  <c r="K54" i="84"/>
  <c r="B2" i="43"/>
  <c r="C46" i="91"/>
  <c r="C43" i="15"/>
  <c r="Q47" i="15"/>
  <c r="Q53" i="15" s="1"/>
  <c r="Q65" i="15"/>
  <c r="Q75" i="15" s="1"/>
  <c r="B2" i="15"/>
  <c r="B3" i="15" s="1"/>
  <c r="Q56" i="15"/>
  <c r="Q62" i="15" s="1"/>
  <c r="K16" i="84"/>
  <c r="C83" i="15"/>
  <c r="C82" i="15" s="1"/>
  <c r="Q65" i="87"/>
  <c r="Q75" i="87" s="1"/>
  <c r="Q56" i="87"/>
  <c r="Q62" i="87" s="1"/>
  <c r="Q47" i="87"/>
  <c r="Q53" i="87" s="1"/>
  <c r="C43" i="87"/>
  <c r="B2" i="87"/>
  <c r="C83" i="87"/>
  <c r="C82" i="87" s="1"/>
  <c r="Q56" i="77"/>
  <c r="Q62" i="77" s="1"/>
  <c r="C43" i="77"/>
  <c r="B2" i="77"/>
  <c r="Q47" i="77"/>
  <c r="Q53" i="77" s="1"/>
  <c r="Q65" i="77"/>
  <c r="Q75" i="77" s="1"/>
  <c r="K3" i="84"/>
  <c r="C83" i="77"/>
  <c r="C82" i="77" s="1"/>
  <c r="B2" i="90"/>
  <c r="C43" i="90"/>
  <c r="Q47" i="90"/>
  <c r="Q53" i="90" s="1"/>
  <c r="Q56" i="90"/>
  <c r="Q62" i="90" s="1"/>
  <c r="Q65" i="90"/>
  <c r="Q75" i="90" s="1"/>
  <c r="C83" i="90"/>
  <c r="C82" i="90" s="1"/>
  <c r="G30" i="94"/>
  <c r="C46" i="90"/>
  <c r="C71" i="90"/>
  <c r="B2" i="97"/>
  <c r="Q56" i="97"/>
  <c r="Q62" i="97" s="1"/>
  <c r="Q47" i="97"/>
  <c r="Q53" i="97" s="1"/>
  <c r="C43" i="97"/>
  <c r="Q65" i="97"/>
  <c r="Q75" i="97" s="1"/>
  <c r="C83" i="97"/>
  <c r="C82" i="97" s="1"/>
  <c r="C46" i="77"/>
  <c r="C71" i="77"/>
  <c r="Q65" i="67"/>
  <c r="Q56" i="67"/>
  <c r="Q47" i="67"/>
  <c r="Q53" i="67" s="1"/>
  <c r="C83" i="67"/>
  <c r="C82" i="67" s="1"/>
  <c r="C20" i="9"/>
  <c r="B6" i="76"/>
  <c r="AO7" i="1"/>
  <c r="D19" i="80"/>
  <c r="D19" i="88"/>
  <c r="AO9" i="1"/>
  <c r="AO6" i="1"/>
  <c r="F33" i="94" l="1"/>
  <c r="F34" i="94" s="1"/>
  <c r="C45" i="67"/>
  <c r="C46" i="67" s="1"/>
  <c r="C103" i="9"/>
  <c r="C46" i="96"/>
  <c r="B2" i="96"/>
  <c r="B3" i="96" s="1"/>
  <c r="Q65" i="96"/>
  <c r="Q75" i="96" s="1"/>
  <c r="C43" i="96"/>
  <c r="C83" i="96"/>
  <c r="C82" i="96" s="1"/>
  <c r="Q47" i="96"/>
  <c r="Q53" i="96" s="1"/>
  <c r="B6" i="70"/>
  <c r="B9" i="70"/>
  <c r="J15" i="94" s="1"/>
  <c r="B9" i="92"/>
  <c r="D102" i="88"/>
  <c r="D21" i="88"/>
  <c r="D22" i="88"/>
  <c r="G19" i="88"/>
  <c r="D102" i="80"/>
  <c r="D21" i="80"/>
  <c r="D22" i="80"/>
  <c r="G19" i="80"/>
  <c r="B7" i="70"/>
  <c r="B2" i="76"/>
  <c r="B3" i="76" s="1"/>
  <c r="G14" i="84"/>
  <c r="G4" i="84"/>
  <c r="G5" i="84"/>
  <c r="G7" i="84"/>
  <c r="G13" i="84"/>
  <c r="G3" i="84"/>
  <c r="G10" i="84"/>
  <c r="G6" i="84"/>
  <c r="G9" i="84"/>
  <c r="G11" i="84"/>
  <c r="G12" i="84"/>
  <c r="G8" i="84"/>
  <c r="B3" i="77"/>
  <c r="B3" i="97"/>
  <c r="B3" i="87"/>
  <c r="G35" i="84"/>
  <c r="G31" i="84"/>
  <c r="G37" i="84"/>
  <c r="G40" i="84"/>
  <c r="G47" i="84"/>
  <c r="G17" i="84"/>
  <c r="G36" i="84"/>
  <c r="G39" i="84"/>
  <c r="G42" i="84"/>
  <c r="G44" i="84"/>
  <c r="G52" i="84"/>
  <c r="G29" i="84"/>
  <c r="G43" i="84"/>
  <c r="G25" i="84"/>
  <c r="G27" i="84"/>
  <c r="G46" i="84"/>
  <c r="G33" i="84"/>
  <c r="G48" i="84"/>
  <c r="G26" i="84"/>
  <c r="G18" i="84"/>
  <c r="G19" i="84"/>
  <c r="G41" i="84"/>
  <c r="G28" i="84"/>
  <c r="G30" i="84"/>
  <c r="G21" i="84"/>
  <c r="G24" i="84"/>
  <c r="G34" i="84"/>
  <c r="G50" i="84"/>
  <c r="G45" i="84"/>
  <c r="G38" i="84"/>
  <c r="G16" i="84"/>
  <c r="G51" i="84"/>
  <c r="G22" i="84"/>
  <c r="G49" i="84"/>
  <c r="G32" i="84"/>
  <c r="G23" i="84"/>
  <c r="G20" i="84"/>
  <c r="B3" i="79"/>
  <c r="B3" i="90"/>
  <c r="B3" i="43"/>
  <c r="Q66" i="67"/>
  <c r="Q75" i="67" s="1"/>
  <c r="Q57" i="67"/>
  <c r="Q62" i="67" s="1"/>
  <c r="L46" i="67"/>
  <c r="D2" i="67" s="1"/>
  <c r="AO8" i="1"/>
  <c r="D35" i="88"/>
  <c r="D34" i="88"/>
  <c r="D20" i="88"/>
  <c r="D34" i="80"/>
  <c r="D35" i="80"/>
  <c r="D20" i="80"/>
  <c r="B8" i="92" l="1"/>
  <c r="B2" i="92" s="1"/>
  <c r="B3" i="92" s="1"/>
  <c r="B8" i="70"/>
  <c r="J14" i="94" s="1"/>
  <c r="D103" i="80"/>
  <c r="G20" i="80"/>
  <c r="J54" i="84" s="1"/>
  <c r="D103" i="88"/>
  <c r="G20" i="88"/>
  <c r="E43" i="84"/>
  <c r="H43" i="84"/>
  <c r="F43" i="84" s="1"/>
  <c r="E23" i="84"/>
  <c r="H23" i="84"/>
  <c r="F23" i="84" s="1"/>
  <c r="E50" i="84"/>
  <c r="H50" i="84"/>
  <c r="F50" i="84" s="1"/>
  <c r="H18" i="84"/>
  <c r="F18" i="84" s="1"/>
  <c r="E18" i="84"/>
  <c r="H29" i="84"/>
  <c r="F29" i="84" s="1"/>
  <c r="E29" i="84"/>
  <c r="H40" i="84"/>
  <c r="F40" i="84" s="1"/>
  <c r="E40" i="84"/>
  <c r="E3" i="84"/>
  <c r="G15" i="84"/>
  <c r="H3" i="84"/>
  <c r="F3" i="84" s="1"/>
  <c r="G21" i="80"/>
  <c r="C32" i="80"/>
  <c r="E27" i="84"/>
  <c r="H27" i="84"/>
  <c r="F27" i="84" s="1"/>
  <c r="E45" i="84"/>
  <c r="H45" i="84"/>
  <c r="F45" i="84" s="1"/>
  <c r="B3" i="67"/>
  <c r="B2" i="67"/>
  <c r="E26" i="84"/>
  <c r="H26" i="84"/>
  <c r="F26" i="84" s="1"/>
  <c r="H52" i="84"/>
  <c r="F52" i="84" s="1"/>
  <c r="E52" i="84"/>
  <c r="E37" i="84"/>
  <c r="H37" i="84"/>
  <c r="F37" i="84" s="1"/>
  <c r="H13" i="84"/>
  <c r="F13" i="84" s="1"/>
  <c r="E13" i="84"/>
  <c r="H17" i="84"/>
  <c r="F17" i="84" s="1"/>
  <c r="E17" i="84"/>
  <c r="H20" i="84"/>
  <c r="F20" i="84" s="1"/>
  <c r="E20" i="84"/>
  <c r="H24" i="84"/>
  <c r="F24" i="84" s="1"/>
  <c r="E24" i="84"/>
  <c r="H48" i="84"/>
  <c r="F48" i="84" s="1"/>
  <c r="E48" i="84"/>
  <c r="H44" i="84"/>
  <c r="F44" i="84" s="1"/>
  <c r="E44" i="84"/>
  <c r="E31" i="84"/>
  <c r="H31" i="84"/>
  <c r="F31" i="84" s="1"/>
  <c r="E8" i="84"/>
  <c r="H8" i="84"/>
  <c r="F8" i="84" s="1"/>
  <c r="H7" i="84"/>
  <c r="F7" i="84" s="1"/>
  <c r="E7" i="84"/>
  <c r="H28" i="84"/>
  <c r="F28" i="84" s="1"/>
  <c r="E28" i="84"/>
  <c r="H9" i="84"/>
  <c r="F9" i="84" s="1"/>
  <c r="E9" i="84"/>
  <c r="H38" i="84"/>
  <c r="F38" i="84" s="1"/>
  <c r="E38" i="84"/>
  <c r="E25" i="84"/>
  <c r="H25" i="84"/>
  <c r="F25" i="84" s="1"/>
  <c r="E6" i="84"/>
  <c r="H6" i="84"/>
  <c r="F6" i="84" s="1"/>
  <c r="E19" i="84"/>
  <c r="H19" i="84"/>
  <c r="F19" i="84" s="1"/>
  <c r="E10" i="84"/>
  <c r="H10" i="84"/>
  <c r="F10" i="84" s="1"/>
  <c r="H32" i="84"/>
  <c r="F32" i="84" s="1"/>
  <c r="E32" i="84"/>
  <c r="H49" i="84"/>
  <c r="F49" i="84" s="1"/>
  <c r="E49" i="84"/>
  <c r="E22" i="84"/>
  <c r="H22" i="84"/>
  <c r="F22" i="84" s="1"/>
  <c r="E21" i="84"/>
  <c r="H21" i="84"/>
  <c r="F21" i="84" s="1"/>
  <c r="E33" i="84"/>
  <c r="H33" i="84"/>
  <c r="F33" i="84" s="1"/>
  <c r="H42" i="84"/>
  <c r="F42" i="84" s="1"/>
  <c r="E42" i="84"/>
  <c r="H35" i="84"/>
  <c r="F35" i="84" s="1"/>
  <c r="E35" i="84"/>
  <c r="H12" i="84"/>
  <c r="F12" i="84" s="1"/>
  <c r="E12" i="84"/>
  <c r="H5" i="84"/>
  <c r="F5" i="84" s="1"/>
  <c r="E5" i="84"/>
  <c r="G53" i="84"/>
  <c r="E16" i="84"/>
  <c r="E53" i="84" s="1"/>
  <c r="H16" i="84"/>
  <c r="F16" i="84" s="1"/>
  <c r="H36" i="84"/>
  <c r="F36" i="84" s="1"/>
  <c r="E36" i="84"/>
  <c r="E14" i="84"/>
  <c r="H14" i="84"/>
  <c r="F14" i="84" s="1"/>
  <c r="H41" i="84"/>
  <c r="F41" i="84" s="1"/>
  <c r="E41" i="84"/>
  <c r="H47" i="84"/>
  <c r="F47" i="84" s="1"/>
  <c r="E47" i="84"/>
  <c r="H34" i="84"/>
  <c r="F34" i="84" s="1"/>
  <c r="E34" i="84"/>
  <c r="E51" i="84"/>
  <c r="H51" i="84"/>
  <c r="F51" i="84" s="1"/>
  <c r="E30" i="84"/>
  <c r="H30" i="84"/>
  <c r="F30" i="84" s="1"/>
  <c r="E46" i="84"/>
  <c r="H46" i="84"/>
  <c r="F46" i="84" s="1"/>
  <c r="E39" i="84"/>
  <c r="H39" i="84"/>
  <c r="F39" i="84" s="1"/>
  <c r="H11" i="84"/>
  <c r="F11" i="84" s="1"/>
  <c r="E11" i="84"/>
  <c r="H4" i="84"/>
  <c r="F4" i="84" s="1"/>
  <c r="E4" i="84"/>
  <c r="G21" i="88"/>
  <c r="C32" i="88"/>
  <c r="J16" i="94"/>
  <c r="J17" i="94" s="1"/>
  <c r="B2" i="70"/>
  <c r="D19" i="78"/>
  <c r="D20" i="78"/>
  <c r="D19" i="9"/>
  <c r="D102" i="78" l="1"/>
  <c r="D21" i="78"/>
  <c r="G19" i="78"/>
  <c r="G21" i="78" s="1"/>
  <c r="D22" i="78"/>
  <c r="D21" i="9"/>
  <c r="D102" i="9"/>
  <c r="G19" i="9"/>
  <c r="D22" i="9"/>
  <c r="D103" i="78"/>
  <c r="G20" i="78"/>
  <c r="H15" i="84"/>
  <c r="F15" i="84" s="1"/>
  <c r="I54" i="84"/>
  <c r="J55" i="84"/>
  <c r="B3" i="70"/>
  <c r="C35" i="88"/>
  <c r="F118" i="88" s="1"/>
  <c r="H118" i="88"/>
  <c r="H53" i="84"/>
  <c r="F53" i="84" s="1"/>
  <c r="K53" i="84"/>
  <c r="E15" i="84"/>
  <c r="K15" i="84" s="1"/>
  <c r="H118" i="80"/>
  <c r="C35" i="80"/>
  <c r="F118" i="80" s="1"/>
  <c r="D20" i="9"/>
  <c r="C32" i="78" l="1"/>
  <c r="H118" i="78" s="1"/>
  <c r="C34" i="80"/>
  <c r="D118" i="80" s="1"/>
  <c r="D119" i="80" s="1"/>
  <c r="D103" i="9"/>
  <c r="G20" i="9"/>
  <c r="F119" i="80"/>
  <c r="G118" i="80"/>
  <c r="C34" i="88"/>
  <c r="D118" i="88" s="1"/>
  <c r="D119" i="88" s="1"/>
  <c r="F119" i="88"/>
  <c r="G118" i="88"/>
  <c r="J56" i="84"/>
  <c r="H3" i="94"/>
  <c r="G21" i="9"/>
  <c r="C32" i="9"/>
  <c r="H119" i="88"/>
  <c r="I118" i="88"/>
  <c r="C104" i="88"/>
  <c r="H101" i="88"/>
  <c r="I118" i="80"/>
  <c r="C104" i="80"/>
  <c r="H101" i="80"/>
  <c r="H119" i="80"/>
  <c r="I56" i="84"/>
  <c r="I57" i="84" s="1"/>
  <c r="I58" i="84" s="1"/>
  <c r="G54" i="84"/>
  <c r="I55" i="84"/>
  <c r="C35" i="78" l="1"/>
  <c r="F118" i="78" s="1"/>
  <c r="F119" i="78" s="1"/>
  <c r="E118" i="88"/>
  <c r="C105" i="88"/>
  <c r="H102" i="88"/>
  <c r="C35" i="9"/>
  <c r="F118" i="9" s="1"/>
  <c r="H118" i="9"/>
  <c r="H107" i="80"/>
  <c r="D45" i="80"/>
  <c r="M48" i="80"/>
  <c r="G55" i="84"/>
  <c r="E55" i="84" s="1"/>
  <c r="H107" i="88"/>
  <c r="D45" i="88"/>
  <c r="M48" i="88"/>
  <c r="G56" i="84"/>
  <c r="H54" i="84"/>
  <c r="I118" i="78"/>
  <c r="H101" i="78"/>
  <c r="C104" i="78"/>
  <c r="H119" i="78"/>
  <c r="H14" i="94"/>
  <c r="H15" i="94"/>
  <c r="H7" i="94"/>
  <c r="H8" i="94" s="1"/>
  <c r="D3" i="94"/>
  <c r="D7" i="94" s="1"/>
  <c r="D8" i="94" s="1"/>
  <c r="I3" i="94"/>
  <c r="E3" i="94" s="1"/>
  <c r="E118" i="80"/>
  <c r="C105" i="80"/>
  <c r="H102" i="80"/>
  <c r="E54" i="84"/>
  <c r="E56" i="84" s="1"/>
  <c r="E57" i="84" s="1"/>
  <c r="E58" i="84" s="1"/>
  <c r="G118" i="78"/>
  <c r="C170" i="89"/>
  <c r="C171" i="89" s="1"/>
  <c r="B173" i="83"/>
  <c r="B174" i="83" s="1"/>
  <c r="C34" i="78" l="1"/>
  <c r="D118" i="78" s="1"/>
  <c r="D119" i="78" s="1"/>
  <c r="H16" i="94"/>
  <c r="H32" i="94" s="1"/>
  <c r="D45" i="9" s="1"/>
  <c r="C34" i="9"/>
  <c r="D118" i="9" s="1"/>
  <c r="D119" i="9" s="1"/>
  <c r="D5" i="52" s="1"/>
  <c r="B49" i="72" s="1"/>
  <c r="C93" i="80"/>
  <c r="C86" i="80" s="1"/>
  <c r="C72" i="80"/>
  <c r="C64" i="80"/>
  <c r="C63" i="80" s="1"/>
  <c r="C67" i="80" s="1"/>
  <c r="C68" i="80" s="1"/>
  <c r="D54" i="80" s="1"/>
  <c r="C78" i="80"/>
  <c r="C73" i="80" s="1"/>
  <c r="D55" i="80"/>
  <c r="M53" i="80" s="1"/>
  <c r="D53" i="80"/>
  <c r="C85" i="80"/>
  <c r="D52" i="80"/>
  <c r="H31" i="94"/>
  <c r="D15" i="94"/>
  <c r="I15" i="94"/>
  <c r="E15" i="94" s="1"/>
  <c r="H108" i="80"/>
  <c r="M49" i="80"/>
  <c r="D122" i="80"/>
  <c r="D123" i="80" s="1"/>
  <c r="C85" i="88"/>
  <c r="D55" i="88"/>
  <c r="M53" i="88" s="1"/>
  <c r="D52" i="88"/>
  <c r="C93" i="88"/>
  <c r="C86" i="88" s="1"/>
  <c r="C78" i="88"/>
  <c r="C73" i="88" s="1"/>
  <c r="C72" i="88"/>
  <c r="C64" i="88"/>
  <c r="C63" i="88" s="1"/>
  <c r="C67" i="88" s="1"/>
  <c r="C68" i="88" s="1"/>
  <c r="D54" i="88" s="1"/>
  <c r="D53" i="88"/>
  <c r="D122" i="88"/>
  <c r="D123" i="88" s="1"/>
  <c r="H108" i="88"/>
  <c r="M49" i="88"/>
  <c r="F4" i="52"/>
  <c r="B51" i="72" s="1"/>
  <c r="G118" i="9"/>
  <c r="G4" i="52" s="1"/>
  <c r="B52" i="72" s="1"/>
  <c r="F119" i="9"/>
  <c r="F5" i="52" s="1"/>
  <c r="B53" i="72" s="1"/>
  <c r="H55" i="84"/>
  <c r="F54" i="84"/>
  <c r="K56" i="84"/>
  <c r="G57" i="84"/>
  <c r="G58" i="84" s="1"/>
  <c r="H30" i="94"/>
  <c r="D14" i="94"/>
  <c r="I14" i="94"/>
  <c r="E14" i="94" s="1"/>
  <c r="I118" i="9"/>
  <c r="H4" i="52"/>
  <c r="H101" i="9"/>
  <c r="C104" i="9"/>
  <c r="D14" i="74"/>
  <c r="H119" i="9"/>
  <c r="H5" i="52" s="1"/>
  <c r="M48" i="78"/>
  <c r="H107" i="78"/>
  <c r="D45" i="78"/>
  <c r="H102" i="78"/>
  <c r="C105" i="78"/>
  <c r="E118" i="78"/>
  <c r="D4" i="52" l="1"/>
  <c r="B47" i="72" s="1"/>
  <c r="I16" i="94"/>
  <c r="E16" i="94" s="1"/>
  <c r="D16" i="94"/>
  <c r="C95" i="80"/>
  <c r="C96" i="80" s="1"/>
  <c r="E96" i="80" s="1"/>
  <c r="E97" i="80" s="1"/>
  <c r="D30" i="94"/>
  <c r="I30" i="94"/>
  <c r="E30" i="94" s="1"/>
  <c r="H33" i="94"/>
  <c r="H34" i="94" s="1"/>
  <c r="C95" i="88"/>
  <c r="I31" i="94"/>
  <c r="E31" i="94" s="1"/>
  <c r="D31" i="94"/>
  <c r="L65" i="88"/>
  <c r="M65" i="88" s="1"/>
  <c r="L63" i="88"/>
  <c r="M63" i="88" s="1"/>
  <c r="M69" i="88" s="1"/>
  <c r="N69" i="88" s="1"/>
  <c r="L64" i="88"/>
  <c r="M64" i="88" s="1"/>
  <c r="L68" i="88"/>
  <c r="M68" i="88" s="1"/>
  <c r="L67" i="88"/>
  <c r="M67" i="88" s="1"/>
  <c r="L66" i="88"/>
  <c r="M66" i="88" s="1"/>
  <c r="H107" i="9"/>
  <c r="D5" i="53"/>
  <c r="F14" i="74"/>
  <c r="E14" i="74"/>
  <c r="B5" i="74"/>
  <c r="H56" i="84"/>
  <c r="F55" i="84"/>
  <c r="F56" i="84" s="1"/>
  <c r="L64" i="80"/>
  <c r="M64" i="80" s="1"/>
  <c r="L68" i="80"/>
  <c r="M68" i="80" s="1"/>
  <c r="L67" i="80"/>
  <c r="M67" i="80" s="1"/>
  <c r="L65" i="80"/>
  <c r="M65" i="80" s="1"/>
  <c r="L63" i="80"/>
  <c r="M63" i="80" s="1"/>
  <c r="M69" i="80" s="1"/>
  <c r="N69" i="80" s="1"/>
  <c r="L66" i="80"/>
  <c r="M66" i="80" s="1"/>
  <c r="C79" i="80"/>
  <c r="H108" i="78"/>
  <c r="D122" i="78"/>
  <c r="D123" i="78" s="1"/>
  <c r="M49" i="78"/>
  <c r="D52" i="78"/>
  <c r="C72" i="78"/>
  <c r="C64" i="78"/>
  <c r="C63" i="78" s="1"/>
  <c r="C67" i="78" s="1"/>
  <c r="C68" i="78" s="1"/>
  <c r="D54" i="78" s="1"/>
  <c r="D53" i="78"/>
  <c r="C93" i="78"/>
  <c r="C86" i="78" s="1"/>
  <c r="C85" i="78"/>
  <c r="C78" i="78"/>
  <c r="C73" i="78" s="1"/>
  <c r="D55" i="78"/>
  <c r="M53" i="78" s="1"/>
  <c r="C105" i="9"/>
  <c r="I4" i="52"/>
  <c r="H102" i="9"/>
  <c r="D7" i="53" s="1"/>
  <c r="B21" i="72" s="1"/>
  <c r="E118" i="9"/>
  <c r="E4" i="52" s="1"/>
  <c r="B48" i="72" s="1"/>
  <c r="C79" i="88"/>
  <c r="D32" i="94"/>
  <c r="I32" i="94"/>
  <c r="E32" i="94" s="1"/>
  <c r="C97" i="80" l="1"/>
  <c r="D58" i="80" s="1"/>
  <c r="D56" i="80" s="1"/>
  <c r="M54" i="80" s="1"/>
  <c r="N57" i="80" s="1"/>
  <c r="P57" i="80" s="1"/>
  <c r="C79" i="78"/>
  <c r="C5" i="74"/>
  <c r="D5" i="74"/>
  <c r="C96" i="88"/>
  <c r="E96" i="88" s="1"/>
  <c r="E97" i="88" s="1"/>
  <c r="C97" i="88"/>
  <c r="D58" i="88" s="1"/>
  <c r="D56" i="88" s="1"/>
  <c r="M54" i="88" s="1"/>
  <c r="N57" i="88" s="1"/>
  <c r="D122" i="9"/>
  <c r="D13" i="53"/>
  <c r="H108" i="9"/>
  <c r="D15" i="53" s="1"/>
  <c r="B31" i="72" s="1"/>
  <c r="C81" i="88"/>
  <c r="C80" i="88"/>
  <c r="E80" i="88" s="1"/>
  <c r="E81" i="88" s="1"/>
  <c r="L66" i="78"/>
  <c r="M66" i="78" s="1"/>
  <c r="L63" i="78"/>
  <c r="M63" i="78" s="1"/>
  <c r="L68" i="78"/>
  <c r="M68" i="78" s="1"/>
  <c r="L65" i="78"/>
  <c r="M65" i="78" s="1"/>
  <c r="L64" i="78"/>
  <c r="M64" i="78" s="1"/>
  <c r="L67" i="78"/>
  <c r="M67" i="78" s="1"/>
  <c r="D33" i="94"/>
  <c r="D34" i="94" s="1"/>
  <c r="C80" i="80"/>
  <c r="E80" i="80" s="1"/>
  <c r="E81" i="80" s="1"/>
  <c r="C81" i="80"/>
  <c r="C80" i="78"/>
  <c r="E80" i="78" s="1"/>
  <c r="E81" i="78" s="1"/>
  <c r="C93" i="9"/>
  <c r="C86" i="9" s="1"/>
  <c r="C78" i="9"/>
  <c r="C73" i="9" s="1"/>
  <c r="C64" i="9"/>
  <c r="C63" i="9" s="1"/>
  <c r="C67" i="9" s="1"/>
  <c r="C68" i="9" s="1"/>
  <c r="D54" i="9" s="1"/>
  <c r="D55" i="9"/>
  <c r="M53" i="9" s="1"/>
  <c r="D53" i="9"/>
  <c r="D48" i="9" s="1"/>
  <c r="M52" i="9" s="1"/>
  <c r="C85" i="9"/>
  <c r="M48" i="9"/>
  <c r="M49" i="9" s="1"/>
  <c r="C72" i="9"/>
  <c r="D52" i="9"/>
  <c r="C95" i="78"/>
  <c r="B20" i="72"/>
  <c r="D6" i="53"/>
  <c r="B22" i="72" s="1"/>
  <c r="N59" i="80" l="1"/>
  <c r="N61" i="80" s="1"/>
  <c r="N58" i="80"/>
  <c r="C95" i="9"/>
  <c r="G14" i="74"/>
  <c r="B6" i="74" s="1"/>
  <c r="D123" i="9"/>
  <c r="D9" i="52" s="1"/>
  <c r="D8" i="52"/>
  <c r="P57" i="88"/>
  <c r="N58" i="88"/>
  <c r="N59" i="88"/>
  <c r="C96" i="78"/>
  <c r="E96" i="78" s="1"/>
  <c r="E97" i="78" s="1"/>
  <c r="N60" i="80"/>
  <c r="L67" i="9"/>
  <c r="M67" i="9" s="1"/>
  <c r="L63" i="9"/>
  <c r="M63" i="9" s="1"/>
  <c r="L66" i="9"/>
  <c r="M66" i="9" s="1"/>
  <c r="L65" i="9"/>
  <c r="M65" i="9" s="1"/>
  <c r="L68" i="9"/>
  <c r="M68" i="9" s="1"/>
  <c r="L64" i="9"/>
  <c r="M64" i="9" s="1"/>
  <c r="C96" i="9"/>
  <c r="E96" i="9" s="1"/>
  <c r="E97" i="9" s="1"/>
  <c r="M69" i="78"/>
  <c r="N69" i="78" s="1"/>
  <c r="C79" i="9"/>
  <c r="C81" i="78"/>
  <c r="D14" i="53"/>
  <c r="B32" i="72" s="1"/>
  <c r="B30" i="72"/>
  <c r="M69" i="9" l="1"/>
  <c r="N69" i="9" s="1"/>
  <c r="N61" i="88"/>
  <c r="N60" i="88"/>
  <c r="C97" i="9"/>
  <c r="D58" i="9" s="1"/>
  <c r="D56" i="9" s="1"/>
  <c r="M54" i="9" s="1"/>
  <c r="N57" i="9" s="1"/>
  <c r="C80" i="9"/>
  <c r="E80" i="9" s="1"/>
  <c r="E81" i="9" s="1"/>
  <c r="C97" i="78"/>
  <c r="D58" i="78" s="1"/>
  <c r="D56" i="78" s="1"/>
  <c r="M54" i="78" s="1"/>
  <c r="N57" i="78" s="1"/>
  <c r="C6" i="74"/>
  <c r="D6" i="74"/>
  <c r="C81" i="9" l="1"/>
  <c r="N58" i="9"/>
  <c r="P57" i="9"/>
  <c r="N59" i="9"/>
  <c r="P57" i="78"/>
  <c r="N58" i="78"/>
  <c r="N59" i="78"/>
  <c r="N60" i="78" l="1"/>
  <c r="N61" i="78"/>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在建项目均选择“是”</t>
        </r>
      </text>
    </comment>
    <comment ref="F59"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D00-000007000000}">
      <text>
        <r>
          <rPr>
            <sz val="10"/>
            <color indexed="81"/>
            <rFont val="宋体"/>
            <family val="3"/>
            <charset val="134"/>
          </rPr>
          <t xml:space="preserve">在建
</t>
        </r>
      </text>
    </comment>
    <comment ref="N59" authorId="1" shapeId="0" xr:uid="{00000000-0006-0000-1D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在建项目均选择“是”</t>
        </r>
      </text>
    </comment>
    <comment ref="F59"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E00-000007000000}">
      <text>
        <r>
          <rPr>
            <sz val="10"/>
            <color indexed="81"/>
            <rFont val="宋体"/>
            <family val="3"/>
            <charset val="134"/>
          </rPr>
          <t xml:space="preserve">在建
</t>
        </r>
      </text>
    </comment>
    <comment ref="N59" authorId="1" shapeId="0" xr:uid="{00000000-0006-0000-1E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4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4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400-000005000000}">
      <text>
        <r>
          <rPr>
            <sz val="11"/>
            <color indexed="81"/>
            <rFont val="宋体"/>
            <family val="3"/>
            <charset val="134"/>
          </rPr>
          <t xml:space="preserve">在建项目均选择“是”
</t>
        </r>
      </text>
    </comment>
    <comment ref="F59" authorId="0" shapeId="0" xr:uid="{00000000-0006-0000-2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2"/>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600-000005000000}">
      <text>
        <r>
          <rPr>
            <sz val="11"/>
            <color indexed="81"/>
            <rFont val="宋体"/>
            <family val="3"/>
            <charset val="134"/>
          </rPr>
          <t>在建项目均选择“是”</t>
        </r>
      </text>
    </comment>
    <comment ref="F59" authorId="0" shapeId="0" xr:uid="{00000000-0006-0000-2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600-000007000000}">
      <text>
        <r>
          <rPr>
            <sz val="10"/>
            <color indexed="81"/>
            <rFont val="宋体"/>
            <family val="3"/>
            <charset val="134"/>
          </rPr>
          <t xml:space="preserve">在建
</t>
        </r>
      </text>
    </comment>
    <comment ref="N59" authorId="1" shapeId="0" xr:uid="{00000000-0006-0000-2600-000008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700-000005000000}">
      <text>
        <r>
          <rPr>
            <sz val="11"/>
            <color indexed="81"/>
            <rFont val="宋体"/>
            <family val="3"/>
            <charset val="134"/>
          </rPr>
          <t>在建项目均选择“是”</t>
        </r>
      </text>
    </comment>
    <comment ref="F59" authorId="0" shapeId="0" xr:uid="{00000000-0006-0000-2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700-000007000000}">
      <text>
        <r>
          <rPr>
            <sz val="10"/>
            <color indexed="81"/>
            <rFont val="宋体"/>
            <family val="3"/>
            <charset val="134"/>
          </rPr>
          <t xml:space="preserve">在建
</t>
        </r>
      </text>
    </comment>
    <comment ref="N59" authorId="1" shapeId="0" xr:uid="{00000000-0006-0000-27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9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C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C00-000003000000}">
      <text>
        <r>
          <rPr>
            <b/>
            <sz val="12"/>
            <color indexed="81"/>
            <rFont val="宋体"/>
            <family val="3"/>
            <charset val="134"/>
          </rPr>
          <t>所属项目品质或
物业管理</t>
        </r>
      </text>
    </comment>
    <comment ref="B90" authorId="0" shapeId="0" xr:uid="{00000000-0006-0000-2C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3000000}">
      <text>
        <r>
          <rPr>
            <b/>
            <sz val="12"/>
            <color indexed="81"/>
            <rFont val="宋体"/>
            <family val="3"/>
            <charset val="134"/>
          </rPr>
          <t>所属项目品质或
物业管理</t>
        </r>
      </text>
    </comment>
    <comment ref="B86" authorId="0" shapeId="0" xr:uid="{00000000-0006-0000-2D00-000004000000}">
      <text>
        <r>
          <rPr>
            <b/>
            <sz val="12"/>
            <color indexed="81"/>
            <rFont val="宋体"/>
            <family val="3"/>
            <charset val="134"/>
          </rPr>
          <t>所属项目品质</t>
        </r>
      </text>
    </comment>
    <comment ref="B89"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E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E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F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F00-000005000000}">
      <text>
        <r>
          <rPr>
            <sz val="11"/>
            <color indexed="81"/>
            <rFont val="宋体"/>
            <family val="3"/>
            <charset val="134"/>
          </rPr>
          <t>在建项目均选择“是”</t>
        </r>
      </text>
    </comment>
    <comment ref="F59" authorId="0" shapeId="0" xr:uid="{00000000-0006-0000-2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F00-000007000000}">
      <text>
        <r>
          <rPr>
            <sz val="10"/>
            <color indexed="81"/>
            <rFont val="宋体"/>
            <family val="3"/>
            <charset val="134"/>
          </rPr>
          <t xml:space="preserve">在建
</t>
        </r>
      </text>
    </comment>
    <comment ref="N59" authorId="1" shapeId="0" xr:uid="{00000000-0006-0000-2F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3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3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3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3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200-000002000000}">
      <text>
        <r>
          <rPr>
            <sz val="11"/>
            <color indexed="81"/>
            <rFont val="宋体"/>
            <family val="3"/>
            <charset val="134"/>
          </rPr>
          <t xml:space="preserve">录入层数，将对应的结果录入至左侧相应层的楼层修正系数单元格中
</t>
        </r>
      </text>
    </comment>
    <comment ref="D17" authorId="2" shapeId="0" xr:uid="{00000000-0006-0000-3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32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32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3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3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3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3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3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3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3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3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3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3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3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3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3200-000012000000}">
      <text>
        <r>
          <rPr>
            <b/>
            <sz val="9"/>
            <color indexed="81"/>
            <rFont val="宋体"/>
            <family val="3"/>
            <charset val="134"/>
          </rPr>
          <t xml:space="preserve">容积率
</t>
        </r>
      </text>
    </comment>
    <comment ref="D101" authorId="0" shapeId="0" xr:uid="{00000000-0006-0000-3200-000013000000}">
      <text>
        <r>
          <rPr>
            <b/>
            <sz val="9"/>
            <color indexed="81"/>
            <rFont val="宋体"/>
            <family val="3"/>
            <charset val="134"/>
          </rPr>
          <t xml:space="preserve">容积率
</t>
        </r>
      </text>
    </comment>
    <comment ref="E101" authorId="0" shapeId="0" xr:uid="{00000000-0006-0000-3200-000014000000}">
      <text>
        <r>
          <rPr>
            <b/>
            <sz val="9"/>
            <color indexed="81"/>
            <rFont val="宋体"/>
            <family val="3"/>
            <charset val="134"/>
          </rPr>
          <t xml:space="preserve">容积率
</t>
        </r>
      </text>
    </comment>
    <comment ref="F101" authorId="0" shapeId="0" xr:uid="{00000000-0006-0000-3200-000015000000}">
      <text>
        <r>
          <rPr>
            <b/>
            <sz val="9"/>
            <color indexed="81"/>
            <rFont val="宋体"/>
            <family val="3"/>
            <charset val="134"/>
          </rPr>
          <t xml:space="preserve">容积率
</t>
        </r>
      </text>
    </comment>
    <comment ref="G101" authorId="0" shapeId="0" xr:uid="{00000000-0006-0000-3200-000016000000}">
      <text>
        <r>
          <rPr>
            <b/>
            <sz val="9"/>
            <color indexed="81"/>
            <rFont val="宋体"/>
            <family val="3"/>
            <charset val="134"/>
          </rPr>
          <t xml:space="preserve">容积率
</t>
        </r>
      </text>
    </comment>
    <comment ref="H101" authorId="0" shapeId="0" xr:uid="{00000000-0006-0000-3200-000017000000}">
      <text>
        <r>
          <rPr>
            <b/>
            <sz val="9"/>
            <color indexed="81"/>
            <rFont val="宋体"/>
            <family val="3"/>
            <charset val="134"/>
          </rPr>
          <t xml:space="preserve">容积率
</t>
        </r>
      </text>
    </comment>
    <comment ref="I101" authorId="0" shapeId="0" xr:uid="{00000000-0006-0000-3200-000018000000}">
      <text>
        <r>
          <rPr>
            <b/>
            <sz val="9"/>
            <color indexed="81"/>
            <rFont val="宋体"/>
            <family val="3"/>
            <charset val="134"/>
          </rPr>
          <t xml:space="preserve">容积率
</t>
        </r>
      </text>
    </comment>
    <comment ref="J101" authorId="0" shapeId="0" xr:uid="{00000000-0006-0000-3200-000019000000}">
      <text>
        <r>
          <rPr>
            <b/>
            <sz val="9"/>
            <color indexed="81"/>
            <rFont val="宋体"/>
            <family val="3"/>
            <charset val="134"/>
          </rPr>
          <t xml:space="preserve">容积率
</t>
        </r>
      </text>
    </comment>
    <comment ref="K101" authorId="0" shapeId="0" xr:uid="{00000000-0006-0000-3200-00001A000000}">
      <text>
        <r>
          <rPr>
            <b/>
            <sz val="9"/>
            <color indexed="81"/>
            <rFont val="宋体"/>
            <family val="3"/>
            <charset val="134"/>
          </rPr>
          <t xml:space="preserve">容积率
</t>
        </r>
      </text>
    </comment>
    <comment ref="L101" authorId="0" shapeId="0" xr:uid="{00000000-0006-0000-3200-00001B000000}">
      <text>
        <r>
          <rPr>
            <b/>
            <sz val="9"/>
            <color indexed="81"/>
            <rFont val="宋体"/>
            <family val="3"/>
            <charset val="134"/>
          </rPr>
          <t xml:space="preserve">容积率
</t>
        </r>
      </text>
    </comment>
    <comment ref="M101" authorId="0" shapeId="0" xr:uid="{00000000-0006-0000-3200-00001C000000}">
      <text>
        <r>
          <rPr>
            <b/>
            <sz val="9"/>
            <color indexed="81"/>
            <rFont val="宋体"/>
            <family val="3"/>
            <charset val="134"/>
          </rPr>
          <t xml:space="preserve">容积率
</t>
        </r>
      </text>
    </comment>
    <comment ref="N101" authorId="0" shapeId="0" xr:uid="{00000000-0006-0000-3200-00001D000000}">
      <text>
        <r>
          <rPr>
            <b/>
            <sz val="9"/>
            <color indexed="81"/>
            <rFont val="宋体"/>
            <family val="3"/>
            <charset val="134"/>
          </rPr>
          <t xml:space="preserve">容积率
</t>
        </r>
      </text>
    </comment>
    <comment ref="C108" authorId="0" shapeId="0" xr:uid="{00000000-0006-0000-3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3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3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3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3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3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3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3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3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3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3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3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3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3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3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3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3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3600-000005000000}">
      <text>
        <r>
          <rPr>
            <sz val="11"/>
            <color indexed="81"/>
            <rFont val="宋体"/>
            <family val="3"/>
            <charset val="134"/>
          </rPr>
          <t>在建项目均选择“是”</t>
        </r>
      </text>
    </comment>
    <comment ref="F59" authorId="0" shapeId="0" xr:uid="{00000000-0006-0000-3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3600-000007000000}">
      <text>
        <r>
          <rPr>
            <sz val="10"/>
            <color indexed="81"/>
            <rFont val="宋体"/>
            <family val="3"/>
            <charset val="134"/>
          </rPr>
          <t xml:space="preserve">在建
</t>
        </r>
      </text>
    </comment>
    <comment ref="N59" authorId="1" shapeId="0" xr:uid="{00000000-0006-0000-3600-000008000000}">
      <text>
        <r>
          <rPr>
            <sz val="10"/>
            <color indexed="81"/>
            <rFont val="宋体"/>
            <family val="3"/>
            <charset val="134"/>
          </rPr>
          <t xml:space="preserve">土地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7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<sst xmlns="http://schemas.openxmlformats.org/spreadsheetml/2006/main" count="15477" uniqueCount="3763">
  <si>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</si>
  <si>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</si>
  <si>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</si>
  <si>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</si>
  <si>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</si>
  <si>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</si>
  <si>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</si>
  <si>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</si>
  <si>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</si>
  <si>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</si>
  <si>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</si>
  <si>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</si>
  <si>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</si>
  <si>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</si>
  <si>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</si>
  <si>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</si>
  <si>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</si>
  <si>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</si>
  <si>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</si>
  <si>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</si>
  <si>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</si>
  <si>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</si>
  <si>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</si>
  <si>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</si>
  <si>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</si>
  <si>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</si>
  <si>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</si>
  <si>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</si>
  <si>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</si>
  <si>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</si>
  <si>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</si>
  <si>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</si>
  <si>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</si>
  <si>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</si>
  <si>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</si>
  <si>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</si>
  <si>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</si>
  <si>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</si>
  <si>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</si>
  <si>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</si>
  <si>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</si>
  <si>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</si>
  <si>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</si>
  <si>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</si>
  <si>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</si>
  <si>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</si>
  <si>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</si>
  <si>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</si>
  <si>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</si>
  <si>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</si>
  <si>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</si>
  <si>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</si>
  <si>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</si>
  <si>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</si>
  <si>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</si>
  <si>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</si>
  <si>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</si>
  <si>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</si>
  <si>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</si>
  <si>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</si>
  <si>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</si>
  <si>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</si>
  <si>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</si>
  <si>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</si>
  <si>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</si>
  <si>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</si>
  <si>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</si>
  <si>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</si>
  <si>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</si>
  <si>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</si>
  <si>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</si>
  <si>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</si>
  <si>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</si>
  <si>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</si>
  <si>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</si>
  <si>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</si>
  <si>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</si>
  <si>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</si>
  <si>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</si>
  <si>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</si>
  <si>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</si>
  <si>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</si>
  <si>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</si>
  <si>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</si>
  <si>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</si>
  <si>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</si>
  <si>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</si>
  <si>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</si>
  <si>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</si>
  <si>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</si>
  <si>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</si>
  <si>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</si>
  <si>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</si>
  <si>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</si>
  <si>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</si>
  <si>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</si>
  <si>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</si>
  <si>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</si>
  <si>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</si>
  <si>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</si>
  <si>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</si>
  <si>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</si>
  <si>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</si>
  <si>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</si>
  <si>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</si>
  <si>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</si>
  <si>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</si>
  <si>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</si>
  <si>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</si>
  <si>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</si>
  <si>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</si>
  <si>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</si>
  <si>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</si>
  <si>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</si>
  <si>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</si>
  <si>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</si>
  <si>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</si>
  <si>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</si>
  <si>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</si>
  <si>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</si>
  <si>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</si>
  <si>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</si>
  <si>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</si>
  <si>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</si>
  <si>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</si>
  <si>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</si>
  <si>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</si>
  <si>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</si>
  <si>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</si>
  <si>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</si>
  <si>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</si>
  <si>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</si>
  <si>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</si>
  <si>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</si>
  <si>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</si>
  <si>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</si>
  <si>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</si>
  <si>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</si>
  <si>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</si>
  <si>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</si>
  <si>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</si>
  <si>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</si>
  <si>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</si>
  <si>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</si>
  <si>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</si>
  <si>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</si>
  <si>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</si>
  <si>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</si>
  <si>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</si>
  <si>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</si>
  <si>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</si>
  <si>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</si>
  <si>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</si>
  <si>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</si>
  <si>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</si>
  <si>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</si>
  <si>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</si>
  <si>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</si>
  <si>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</si>
  <si>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</si>
  <si>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</si>
  <si>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</si>
  <si>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</si>
  <si>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</si>
  <si>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</si>
  <si>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</si>
  <si>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</si>
  <si>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</si>
  <si>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</si>
  <si>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</si>
  <si>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</si>
  <si>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</si>
  <si>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</si>
  <si>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</si>
  <si>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</si>
  <si>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</si>
  <si>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</si>
  <si>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</si>
  <si>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</si>
  <si>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</si>
  <si>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</si>
  <si>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</si>
  <si>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</si>
  <si>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</si>
  <si>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</si>
  <si>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</si>
  <si>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</si>
  <si>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</si>
  <si>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</si>
  <si>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</si>
  <si>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</si>
  <si>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</si>
  <si>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</si>
  <si>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</si>
  <si>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</si>
  <si>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</si>
  <si>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</si>
  <si>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</si>
  <si>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</si>
  <si>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</si>
  <si>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</si>
  <si>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</si>
  <si>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</si>
  <si>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</si>
  <si>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</si>
  <si>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</si>
  <si>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</si>
  <si>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</si>
  <si>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</si>
  <si>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</si>
  <si>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</si>
  <si>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</si>
  <si>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</si>
  <si>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</si>
  <si>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</si>
  <si>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</si>
  <si>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</si>
  <si>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</si>
  <si>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</si>
  <si>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</si>
  <si>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</si>
  <si>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</si>
  <si>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</si>
  <si>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</si>
  <si>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</si>
  <si>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</si>
  <si>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</si>
  <si>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</si>
  <si>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</si>
  <si>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</si>
  <si>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</si>
  <si>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</si>
  <si>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</si>
  <si>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</si>
  <si>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</si>
  <si>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</si>
  <si>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</si>
  <si>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</si>
  <si>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</si>
  <si>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</si>
  <si>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</si>
  <si>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</si>
  <si>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</si>
  <si>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</si>
  <si>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</si>
  <si>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</si>
  <si>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</si>
  <si>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</si>
  <si>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</si>
  <si>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</si>
  <si>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</si>
  <si>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</si>
  <si>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</si>
  <si>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</si>
  <si>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</si>
  <si>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</si>
  <si>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</si>
  <si>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</si>
  <si>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</si>
  <si>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</si>
  <si>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</si>
  <si>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</si>
  <si>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</si>
  <si>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</si>
  <si>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</si>
  <si>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</si>
  <si>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</si>
  <si>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</si>
  <si>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</si>
  <si>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</si>
  <si>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</si>
  <si>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</si>
  <si>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</si>
  <si>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</si>
  <si>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</si>
  <si>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</si>
  <si>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</si>
  <si>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</si>
  <si>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</si>
  <si>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</si>
  <si>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</si>
  <si>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</si>
  <si>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</si>
  <si>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</si>
  <si>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</si>
  <si>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</si>
  <si>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</si>
  <si>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</si>
  <si>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</si>
  <si>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</si>
  <si>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</si>
  <si>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</si>
  <si>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</si>
  <si>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</si>
  <si>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</si>
  <si>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</si>
  <si>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</si>
  <si>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</si>
  <si>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</si>
  <si>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</si>
  <si>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</si>
  <si>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</si>
  <si>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</si>
  <si>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</si>
  <si>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</si>
  <si>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</si>
  <si>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</si>
  <si>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</si>
  <si>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</si>
  <si>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</si>
  <si>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</si>
  <si>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</si>
  <si>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</si>
  <si>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</si>
  <si>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</si>
  <si>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</si>
  <si>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</si>
  <si>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</si>
  <si>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</si>
  <si>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</si>
  <si>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</si>
  <si>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</si>
  <si>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</si>
  <si>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</si>
  <si>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</si>
  <si>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</si>
  <si>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</si>
  <si>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</si>
  <si>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</si>
  <si>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</si>
  <si>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</si>
  <si>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</si>
  <si>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</si>
  <si>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</si>
  <si>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</si>
  <si>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</si>
  <si>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</si>
  <si>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</si>
  <si>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</si>
  <si>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</si>
  <si>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</si>
  <si>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</si>
  <si>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</si>
  <si>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</si>
  <si>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</si>
  <si>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</si>
  <si>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</si>
  <si>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</si>
  <si>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</si>
  <si>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</si>
  <si>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</si>
  <si>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</si>
  <si>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</si>
  <si>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</si>
  <si>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</si>
  <si>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</si>
  <si>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</si>
  <si>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</si>
  <si>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</si>
  <si>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</si>
  <si>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</si>
  <si>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</si>
  <si>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</si>
  <si>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</si>
  <si>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</si>
  <si>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</si>
  <si>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</si>
  <si>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</si>
  <si>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</si>
  <si>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</si>
  <si>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</si>
  <si>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</si>
  <si>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</si>
  <si>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</si>
  <si>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</si>
  <si>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</si>
  <si>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</si>
  <si>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</si>
  <si>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</si>
  <si>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</si>
  <si>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</si>
  <si>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</si>
  <si>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</si>
  <si>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</si>
  <si>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</si>
  <si>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</si>
  <si>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</si>
  <si>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</si>
  <si>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</si>
  <si>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</si>
  <si>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</si>
  <si>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</si>
  <si>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</si>
  <si>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</si>
  <si>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</si>
  <si>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</si>
  <si>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</si>
  <si>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</si>
  <si>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</si>
  <si>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</si>
  <si>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</si>
  <si>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</si>
  <si>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</si>
  <si>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</si>
  <si>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</si>
  <si>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</si>
  <si>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</si>
  <si>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</si>
  <si>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</si>
  <si>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</si>
  <si>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</si>
  <si>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</si>
  <si>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</si>
  <si>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</si>
  <si>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</si>
  <si>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</si>
  <si>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</si>
  <si>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</si>
  <si>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</si>
  <si>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</si>
  <si>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</si>
  <si>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</si>
  <si>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</si>
  <si>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</si>
  <si>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</si>
  <si>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</si>
  <si>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</si>
  <si>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</si>
  <si>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</si>
  <si>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</si>
  <si>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</si>
  <si>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</si>
  <si>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</si>
  <si>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</si>
  <si>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</si>
  <si>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</si>
  <si>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</si>
  <si>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</si>
  <si>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</si>
  <si>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</si>
  <si>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</si>
  <si>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</si>
  <si>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</si>
  <si>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</si>
  <si>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</si>
  <si>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</si>
  <si>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</si>
  <si>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</si>
  <si>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</si>
  <si>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</si>
  <si>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</si>
  <si>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</si>
  <si>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</si>
  <si>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</si>
  <si>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</si>
  <si>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</si>
  <si>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</si>
  <si>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</si>
  <si>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</si>
  <si>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</si>
  <si>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</si>
  <si>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</si>
  <si>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</si>
  <si>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</si>
  <si>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</si>
  <si>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</si>
  <si>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</si>
  <si>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</si>
  <si>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</si>
  <si>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</si>
  <si>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</si>
  <si>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</si>
  <si>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</si>
  <si>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</si>
  <si>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</si>
  <si>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</si>
  <si>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</si>
  <si>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</si>
  <si>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</si>
  <si>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</si>
  <si>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</si>
  <si>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</si>
  <si>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</si>
  <si>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</si>
  <si>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</si>
  <si>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</si>
  <si>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</si>
  <si>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</si>
  <si>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</si>
  <si>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</si>
  <si>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</si>
  <si>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</si>
  <si>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</si>
  <si>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</si>
  <si>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</si>
  <si>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</si>
  <si>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</si>
  <si>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</si>
  <si>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</si>
  <si>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</si>
  <si>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</si>
  <si>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</si>
  <si>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</si>
  <si>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</si>
  <si>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</si>
  <si>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</si>
  <si>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</si>
  <si>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</si>
  <si>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</si>
  <si>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</si>
  <si>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</si>
  <si>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</si>
  <si>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</si>
  <si>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</si>
  <si>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</si>
  <si>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</si>
  <si>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</si>
  <si>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</si>
  <si>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</si>
  <si>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</si>
  <si>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</si>
  <si>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</si>
  <si>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</si>
  <si>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</si>
  <si>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</si>
  <si>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</si>
  <si>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</si>
  <si>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</si>
  <si>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</si>
  <si>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</si>
  <si>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</si>
  <si>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</si>
  <si>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</si>
  <si>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</si>
  <si>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</si>
  <si>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</si>
  <si>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</si>
  <si>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</si>
  <si>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</si>
  <si>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</si>
  <si>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</si>
  <si>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</si>
  <si>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</si>
  <si>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</si>
  <si>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</si>
  <si>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</si>
  <si>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</si>
  <si>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</si>
  <si>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</si>
  <si>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</si>
  <si>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</si>
  <si>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</si>
  <si>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</si>
  <si>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</si>
  <si>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</si>
  <si>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</si>
  <si>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</si>
  <si>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</si>
  <si>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</si>
  <si>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</si>
  <si>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</si>
  <si>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</si>
  <si>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</si>
  <si>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</si>
  <si>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</si>
  <si>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</si>
  <si>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</si>
  <si>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</si>
  <si>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</si>
  <si>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</si>
  <si>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</si>
  <si>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</si>
  <si>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</si>
  <si>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</si>
  <si>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</si>
  <si>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</si>
  <si>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</si>
  <si>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</si>
  <si>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</si>
  <si>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</si>
  <si>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</si>
  <si>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</si>
  <si>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</si>
  <si>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</si>
  <si>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</si>
  <si>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</si>
  <si>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</si>
  <si>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</si>
  <si>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</si>
  <si>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</si>
  <si>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</si>
  <si>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</si>
  <si>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</si>
  <si>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</si>
  <si>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</si>
  <si>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</si>
  <si>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</si>
  <si>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</si>
  <si>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</si>
  <si>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</si>
  <si>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</si>
  <si>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</si>
  <si>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</si>
  <si>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</si>
  <si>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</si>
  <si>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</si>
  <si>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</si>
  <si>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</si>
  <si>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</si>
  <si>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</si>
  <si>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</si>
  <si>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</si>
  <si>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</si>
  <si>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</si>
  <si>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</si>
  <si>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</si>
  <si>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</si>
  <si>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</si>
  <si>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</si>
  <si>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</si>
  <si>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</si>
  <si>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</si>
  <si>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</si>
  <si>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</si>
  <si>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</si>
  <si>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</si>
  <si>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</si>
  <si>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</si>
  <si>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</si>
  <si>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</si>
  <si>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</si>
  <si>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</si>
  <si>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</si>
  <si>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</si>
  <si>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</si>
  <si>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</si>
  <si>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</si>
  <si>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</si>
  <si>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</si>
  <si>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</si>
  <si>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</si>
  <si>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</si>
  <si>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</si>
  <si>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</si>
  <si>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</si>
  <si>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</si>
  <si>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</si>
  <si>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</si>
  <si>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</si>
  <si>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</si>
  <si>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</si>
  <si>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</si>
  <si>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</si>
  <si>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</si>
  <si>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</si>
  <si>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</si>
  <si>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</si>
  <si>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</si>
  <si>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</si>
  <si>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</si>
  <si>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</si>
  <si>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</si>
  <si>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</si>
  <si>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</si>
  <si>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</si>
  <si>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</si>
  <si>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</si>
  <si>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</si>
  <si>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</si>
  <si>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</si>
  <si>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</si>
  <si>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</si>
  <si>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</si>
  <si>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</si>
  <si>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</si>
  <si>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</si>
  <si>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</si>
  <si>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</si>
  <si>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</si>
  <si>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</si>
  <si>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</si>
  <si>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</si>
  <si>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</si>
  <si>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</si>
  <si>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</si>
  <si>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</si>
  <si>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</si>
  <si>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</si>
  <si>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</si>
  <si>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</si>
  <si>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</si>
  <si>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</si>
  <si>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</si>
  <si>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</si>
  <si>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</si>
  <si>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</si>
  <si>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</si>
  <si>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</si>
  <si>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</si>
  <si>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</si>
  <si>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</si>
  <si>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</si>
  <si>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</si>
  <si>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</si>
  <si>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</si>
  <si>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</si>
  <si>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</si>
  <si>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</si>
  <si>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</si>
  <si>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</si>
  <si>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</si>
  <si>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</si>
  <si>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</si>
  <si>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</si>
  <si>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</si>
  <si>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</si>
  <si>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</si>
  <si>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</si>
  <si>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</si>
  <si>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</si>
  <si>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</si>
  <si>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</si>
  <si>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</si>
  <si>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</si>
  <si>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</si>
  <si>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</si>
  <si>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</si>
  <si>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</si>
  <si>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</si>
  <si>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</si>
  <si>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</si>
  <si>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</si>
  <si>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</si>
  <si>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</si>
  <si>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</si>
  <si>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</si>
  <si>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</si>
  <si>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</si>
  <si>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</si>
  <si>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</si>
  <si>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</si>
  <si>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</si>
  <si>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</si>
  <si>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</si>
  <si>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</si>
  <si>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</si>
  <si>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</si>
  <si>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</si>
  <si>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</si>
  <si>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</si>
  <si>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</si>
  <si>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</si>
  <si>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</si>
  <si>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</si>
  <si>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</si>
  <si>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</si>
  <si>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</si>
  <si>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</si>
  <si>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</si>
  <si>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</si>
  <si>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</si>
  <si>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</si>
  <si>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</si>
  <si>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</si>
  <si>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</si>
  <si>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</si>
  <si>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</si>
  <si>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</si>
  <si>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</si>
  <si>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</si>
  <si>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</si>
  <si>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</si>
  <si>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</si>
  <si>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</si>
  <si>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</si>
  <si>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</si>
  <si>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</si>
  <si>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</si>
  <si>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</si>
  <si>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</si>
  <si>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</si>
  <si>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</si>
  <si>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</si>
  <si>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</si>
  <si>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</si>
  <si>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</si>
  <si>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</si>
  <si>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</si>
  <si>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</si>
  <si>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</si>
  <si>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</si>
  <si>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</si>
  <si>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</si>
  <si>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</si>
  <si>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</si>
  <si>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</si>
  <si>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</si>
  <si>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</si>
  <si>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</si>
  <si>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</si>
  <si>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</si>
  <si>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</si>
  <si>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</si>
  <si>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</si>
  <si>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</si>
  <si>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</si>
  <si>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</si>
  <si>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</si>
  <si>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</si>
  <si>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</si>
  <si>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</si>
  <si>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</si>
  <si>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</si>
  <si>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</si>
  <si>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</si>
  <si>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</si>
  <si>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</si>
  <si>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</si>
  <si>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</si>
  <si>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</si>
  <si>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</si>
  <si>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</si>
  <si>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</si>
  <si>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</si>
  <si>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</si>
  <si>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</si>
  <si>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</si>
  <si>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</si>
  <si>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</si>
  <si>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</si>
  <si>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</si>
  <si>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</si>
  <si>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</si>
  <si>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</si>
  <si>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</si>
  <si>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</si>
  <si>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</si>
  <si>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</si>
  <si>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</si>
  <si>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</si>
  <si>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</si>
  <si>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</si>
  <si>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</si>
  <si>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</si>
  <si>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</si>
  <si>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</si>
  <si>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</si>
  <si>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</si>
  <si>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</si>
  <si>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</si>
  <si>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</si>
  <si>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</si>
  <si>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</si>
  <si>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</si>
  <si>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</si>
  <si>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</si>
  <si>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</si>
  <si>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</si>
  <si>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</si>
  <si>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</si>
  <si>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</si>
  <si>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</si>
  <si>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</si>
  <si>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</si>
  <si>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</si>
  <si>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</si>
  <si>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</si>
  <si>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</si>
  <si>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</si>
  <si>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</si>
  <si>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</si>
  <si>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</si>
  <si>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</si>
  <si>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</si>
  <si>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</si>
  <si>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</si>
  <si>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</si>
  <si>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</si>
  <si>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</si>
  <si>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</si>
  <si>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</si>
  <si>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</si>
  <si>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</si>
  <si>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</si>
  <si>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</si>
  <si>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</si>
  <si>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</si>
  <si>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</si>
  <si>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</si>
  <si>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</si>
  <si>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</si>
  <si>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</si>
  <si>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</si>
  <si>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</si>
  <si>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</si>
  <si>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</si>
  <si>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</si>
  <si>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</si>
  <si>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</si>
  <si>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</si>
  <si>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</si>
  <si>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</si>
  <si>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</si>
  <si>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</si>
  <si>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</si>
  <si>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</si>
  <si>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</si>
  <si>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</si>
  <si>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</si>
  <si>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</si>
  <si>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</si>
  <si>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</si>
  <si>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</si>
  <si>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</si>
  <si>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</si>
  <si>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</si>
  <si>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</si>
  <si>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</si>
  <si>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</si>
  <si>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</si>
  <si>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</si>
  <si>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</si>
  <si>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</si>
  <si>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</si>
  <si>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</si>
  <si>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</si>
  <si>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</si>
  <si>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</si>
  <si>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</si>
  <si>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</si>
  <si>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</si>
  <si>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</si>
  <si>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</si>
  <si>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</si>
  <si>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</si>
  <si>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</si>
  <si>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</si>
  <si>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</si>
  <si>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</si>
  <si>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</si>
  <si>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</si>
  <si>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</si>
  <si>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</si>
  <si>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</si>
  <si>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</si>
  <si>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</si>
  <si>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</si>
  <si>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</si>
  <si>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</si>
  <si>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</si>
  <si>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</si>
  <si>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</si>
  <si>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</si>
  <si>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</si>
  <si>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</si>
  <si>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</si>
  <si>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</si>
  <si>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</si>
  <si>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</si>
  <si>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</si>
  <si>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</si>
  <si>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</si>
  <si>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</si>
  <si>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</si>
  <si>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</si>
  <si>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</si>
  <si>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</si>
  <si>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</si>
  <si>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</si>
  <si>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</si>
  <si>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</si>
  <si>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</si>
  <si>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</si>
  <si>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</si>
  <si>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</si>
  <si>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</si>
  <si>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</si>
  <si>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</si>
  <si>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</si>
  <si>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</si>
  <si>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</si>
  <si>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</si>
  <si>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</si>
  <si>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</si>
  <si>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</si>
  <si>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</si>
  <si>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</si>
  <si>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</si>
  <si>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</si>
  <si>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</si>
  <si>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</si>
  <si>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</si>
  <si>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</si>
  <si>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</si>
  <si>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</si>
  <si>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</si>
  <si>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</si>
  <si>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</si>
  <si>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</si>
  <si>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</si>
  <si>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</si>
  <si>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</si>
  <si>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</si>
  <si>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</si>
  <si>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</si>
  <si>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</si>
  <si>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</si>
  <si>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</si>
  <si>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</si>
  <si>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</si>
  <si>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</si>
  <si>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</si>
  <si>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</si>
  <si>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</si>
  <si>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</si>
  <si>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</si>
  <si>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</si>
  <si>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</si>
  <si>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</si>
  <si>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</si>
  <si>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</si>
  <si>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</si>
  <si>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</si>
  <si>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</si>
  <si>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</si>
  <si>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</si>
  <si>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</si>
  <si>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</si>
  <si>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</si>
  <si>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</si>
  <si>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</si>
  <si>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</si>
  <si>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</si>
  <si>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</si>
  <si>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</si>
  <si>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</si>
  <si>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</si>
  <si>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</si>
  <si>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</si>
  <si>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</si>
  <si>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</si>
  <si>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</si>
  <si>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</si>
  <si>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</si>
  <si>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</si>
  <si>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</si>
  <si>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</si>
  <si>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</si>
  <si>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</si>
  <si>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</si>
  <si>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</si>
  <si>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</si>
  <si>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</si>
  <si>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</si>
  <si>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</si>
  <si>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</si>
  <si>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</si>
  <si>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</si>
  <si>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</si>
  <si>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</si>
  <si>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</si>
  <si>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</si>
  <si>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</si>
  <si>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</si>
  <si>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</si>
  <si>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</si>
  <si>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</si>
  <si>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</si>
  <si>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</si>
  <si>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</si>
  <si>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</si>
  <si>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</si>
  <si>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</si>
  <si>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</si>
  <si>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</si>
  <si>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</si>
  <si>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</si>
  <si>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</si>
  <si>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</si>
  <si>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</si>
  <si>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</si>
  <si>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</si>
  <si>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</si>
  <si>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</si>
  <si>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</si>
  <si>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</si>
  <si>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</si>
  <si>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</si>
  <si>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</si>
  <si>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</si>
  <si>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</si>
  <si>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</si>
  <si>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</si>
  <si>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</si>
  <si>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</si>
  <si>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</si>
  <si>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</si>
  <si>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</si>
  <si>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</si>
  <si>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</si>
  <si>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</si>
  <si>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</si>
  <si>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</si>
  <si>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</si>
  <si>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</si>
  <si>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</si>
  <si>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</si>
  <si>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</si>
  <si>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</si>
  <si>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</si>
  <si>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</si>
  <si>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</si>
  <si>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</si>
  <si>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</si>
  <si>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</si>
  <si>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</si>
  <si>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</si>
  <si>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</si>
  <si>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</si>
  <si>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</si>
  <si>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</si>
  <si>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</si>
  <si>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</si>
  <si>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</si>
  <si>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</si>
  <si>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</si>
  <si>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</si>
  <si>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</si>
  <si>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</si>
  <si>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</si>
  <si>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</si>
  <si>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</si>
  <si>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</si>
  <si>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</si>
  <si>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</si>
  <si>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</si>
  <si>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</si>
  <si>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</si>
  <si>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</si>
  <si>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</si>
  <si>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</si>
  <si>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</si>
  <si>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</si>
  <si>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</si>
  <si>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</si>
  <si>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</si>
  <si>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</si>
  <si>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</si>
  <si>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</si>
  <si>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</si>
  <si>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</si>
  <si>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</si>
  <si>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</si>
  <si>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</si>
  <si>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</si>
  <si>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</si>
  <si>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</si>
  <si>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</si>
  <si>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</si>
  <si>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</si>
  <si>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</si>
  <si>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</si>
  <si>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</si>
  <si>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</si>
  <si>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</si>
  <si>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</si>
  <si>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</si>
  <si>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</si>
  <si>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</si>
  <si>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</si>
  <si>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</si>
  <si>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</si>
  <si>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</si>
  <si>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</si>
  <si>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</si>
  <si>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</si>
  <si>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</si>
  <si>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</si>
  <si>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</si>
  <si>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</si>
  <si>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</si>
  <si>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</si>
  <si>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</si>
  <si>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</si>
  <si>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</si>
  <si>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</si>
  <si>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</si>
  <si>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</si>
  <si>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</si>
  <si>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</si>
  <si>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</si>
  <si>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</si>
  <si>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</si>
  <si>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</si>
  <si>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</si>
  <si>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</si>
  <si>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</si>
  <si>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</si>
  <si>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</si>
  <si>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</si>
  <si>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</si>
  <si>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</si>
  <si>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</si>
  <si>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</si>
  <si>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</si>
  <si>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</si>
  <si>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</si>
  <si>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</si>
  <si>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</si>
  <si>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</si>
  <si>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</si>
  <si>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</si>
  <si>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</si>
  <si>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</si>
  <si>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</si>
  <si>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</si>
  <si>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</si>
  <si>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</si>
  <si>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</si>
  <si>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</si>
  <si>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</si>
  <si>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</si>
  <si>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</si>
  <si>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</si>
  <si>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</si>
  <si>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</si>
  <si>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</si>
  <si>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</si>
  <si>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</si>
  <si>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</si>
  <si>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</si>
  <si>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</si>
  <si>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</si>
  <si>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</si>
  <si>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</si>
  <si>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</si>
  <si>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</si>
  <si>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</si>
  <si>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</si>
  <si>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</si>
  <si>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</si>
  <si>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</si>
  <si>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</si>
  <si>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</si>
  <si>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</si>
  <si>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</si>
  <si>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</si>
  <si>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</si>
  <si>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</si>
  <si>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</si>
  <si>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</si>
  <si>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</si>
  <si>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</si>
  <si>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</si>
  <si>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</si>
  <si>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</si>
  <si>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</si>
  <si>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</si>
  <si>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</si>
  <si>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</si>
  <si>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</si>
  <si>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</si>
  <si>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</si>
  <si>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</si>
  <si>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</si>
  <si>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</si>
  <si>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</si>
  <si>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</si>
  <si>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</si>
  <si>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</si>
  <si>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</si>
  <si>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</si>
  <si>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</si>
  <si>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</si>
  <si>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</si>
  <si>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</si>
  <si>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</si>
  <si>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</si>
  <si>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</si>
  <si>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</si>
  <si>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</si>
  <si>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</si>
  <si>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</si>
  <si>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</si>
  <si>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</si>
  <si>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</si>
  <si>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</si>
  <si>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</si>
  <si>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</si>
  <si>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</si>
  <si>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</si>
  <si>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</si>
  <si>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</si>
  <si>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</si>
  <si>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</si>
  <si>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</si>
  <si>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</si>
  <si>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</si>
  <si>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</si>
  <si>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</si>
  <si>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</si>
  <si>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</si>
  <si>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</si>
  <si>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</si>
  <si>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</si>
  <si>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</si>
  <si>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</si>
  <si>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</si>
  <si>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</si>
  <si>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</si>
  <si>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</si>
  <si>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</si>
  <si>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</si>
  <si>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</si>
  <si>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</si>
  <si>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</si>
  <si>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</si>
  <si>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</si>
  <si>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</si>
  <si>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</si>
  <si>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</si>
  <si>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</si>
  <si>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</si>
  <si>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</si>
  <si>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</si>
  <si>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</si>
  <si>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</si>
  <si>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</si>
  <si>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</si>
  <si>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</si>
  <si>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</si>
  <si>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</si>
  <si>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</si>
  <si>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</si>
  <si>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</si>
  <si>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</si>
  <si>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</si>
  <si>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</si>
  <si>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</si>
  <si>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</si>
  <si>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</si>
  <si>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</si>
  <si>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</si>
  <si>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</si>
  <si>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</si>
  <si>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</si>
  <si>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</si>
  <si>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</si>
  <si>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</si>
  <si>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</si>
  <si>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</si>
  <si>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</si>
  <si>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</si>
  <si>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</si>
  <si>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</si>
  <si>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</si>
  <si>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</si>
  <si>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</si>
  <si>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</si>
  <si>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</si>
  <si>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</si>
  <si>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</si>
  <si>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</si>
  <si>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</si>
  <si>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</si>
  <si>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</si>
  <si>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</si>
  <si>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</si>
  <si>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</si>
  <si>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</si>
  <si>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</si>
  <si>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</si>
  <si>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</si>
  <si>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</si>
  <si>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</si>
  <si>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</si>
  <si>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</si>
  <si>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</si>
  <si>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</si>
  <si>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</si>
  <si>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</si>
  <si>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</si>
  <si>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</si>
  <si>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</si>
  <si>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</si>
  <si>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</si>
  <si>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</si>
  <si>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</si>
  <si>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</si>
  <si>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</si>
  <si>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</si>
  <si>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</si>
  <si>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</si>
  <si>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</si>
  <si>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</si>
  <si>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</si>
  <si>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</si>
  <si>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</si>
  <si>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</si>
  <si>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</si>
  <si>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</si>
  <si>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</si>
  <si>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</si>
  <si>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</si>
  <si>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</si>
  <si>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</si>
  <si>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</si>
  <si>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</si>
  <si>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</si>
  <si>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</si>
  <si>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</si>
  <si>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</si>
  <si>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</si>
  <si>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</si>
  <si>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</si>
  <si>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</si>
  <si>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</si>
  <si>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</si>
  <si>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</si>
  <si>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</si>
  <si>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</si>
  <si>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</si>
  <si>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</si>
  <si>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</si>
  <si>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</si>
  <si>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</si>
  <si>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</si>
  <si>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</si>
  <si>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</si>
  <si>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</si>
  <si>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</si>
  <si>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</si>
  <si>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</si>
  <si>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</si>
  <si>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</si>
  <si>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</si>
  <si>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</si>
  <si>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</si>
  <si>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</si>
  <si>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</si>
  <si>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</si>
  <si>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</si>
  <si>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</si>
  <si>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</si>
  <si>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</si>
  <si>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</si>
  <si>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</si>
  <si>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</si>
  <si>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</si>
  <si>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</si>
  <si>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</si>
  <si>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</si>
  <si>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</si>
  <si>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</si>
  <si>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</si>
  <si>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</si>
  <si>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</si>
  <si>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</si>
  <si>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</si>
  <si>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</si>
  <si>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</si>
  <si>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</si>
  <si>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</si>
  <si>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</si>
  <si>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</si>
  <si>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</si>
  <si>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</si>
  <si>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</si>
  <si>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</si>
  <si>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</si>
  <si>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</si>
  <si>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</si>
  <si>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</si>
  <si>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</si>
  <si>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</si>
  <si>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</si>
  <si>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</si>
  <si>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</si>
  <si>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</si>
  <si>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</si>
  <si>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</si>
  <si>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</si>
  <si>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</si>
  <si>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</si>
  <si>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</si>
  <si>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</si>
  <si>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</si>
  <si>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</si>
  <si>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</si>
  <si>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</si>
  <si>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</si>
  <si>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</si>
  <si>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</si>
  <si>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</si>
  <si>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</si>
  <si>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</si>
  <si>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</si>
  <si>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</si>
  <si>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</si>
  <si>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</si>
  <si>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</si>
  <si>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</si>
  <si>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</si>
  <si>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</si>
  <si>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</si>
  <si>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</si>
  <si>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</si>
  <si>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</si>
  <si>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</si>
  <si>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</si>
  <si>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</si>
  <si>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</si>
  <si>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</si>
  <si>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</si>
  <si>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</si>
  <si>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</si>
  <si>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</si>
  <si>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</si>
  <si>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</si>
  <si>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</si>
  <si>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</si>
  <si>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</si>
  <si>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</si>
  <si>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</si>
  <si>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</si>
  <si>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</si>
  <si>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</si>
  <si>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</si>
  <si>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</si>
  <si>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</si>
  <si>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</si>
  <si>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</si>
  <si>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</si>
  <si>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</si>
  <si>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</si>
  <si>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</si>
  <si>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</si>
  <si>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</si>
  <si>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</si>
  <si>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</si>
  <si>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</si>
  <si>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</si>
  <si>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</si>
  <si>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</si>
  <si>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</si>
  <si>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</si>
  <si>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</si>
  <si>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</si>
  <si>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</si>
  <si>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</si>
  <si>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</si>
  <si>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</si>
  <si>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</si>
  <si>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</si>
  <si>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</si>
  <si>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</si>
  <si>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</si>
  <si>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</si>
  <si>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</si>
  <si>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</si>
  <si>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</si>
  <si>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</si>
  <si>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</si>
  <si>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</si>
  <si>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</si>
  <si>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</si>
  <si>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</si>
  <si>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</si>
  <si>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</si>
  <si>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</si>
  <si>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</si>
  <si>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</si>
  <si>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</si>
  <si>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</si>
  <si>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</si>
  <si>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</si>
  <si>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</si>
  <si>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</si>
  <si>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</si>
  <si>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</si>
  <si>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</si>
  <si>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</si>
  <si>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</si>
  <si>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</si>
  <si>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</si>
  <si>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</si>
  <si>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</si>
  <si>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</si>
  <si>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</si>
  <si>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</si>
  <si>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</si>
  <si>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</si>
  <si>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</si>
  <si>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</si>
  <si>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</si>
  <si>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</si>
  <si>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</si>
  <si>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</si>
  <si>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</si>
  <si>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</si>
  <si>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</si>
  <si>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</si>
  <si>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</si>
  <si>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</si>
  <si>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</si>
  <si>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</si>
  <si>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</si>
  <si>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</si>
  <si>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</si>
  <si>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</si>
  <si>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</si>
  <si>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</si>
  <si>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</si>
  <si>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</si>
  <si>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</si>
  <si>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</si>
  <si>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</si>
  <si>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</si>
  <si>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</si>
  <si>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</si>
  <si>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</si>
  <si>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</si>
  <si>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</si>
  <si>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</si>
  <si>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</si>
  <si>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</si>
  <si>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</si>
  <si>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</si>
  <si>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</si>
  <si>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</si>
  <si>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</si>
  <si>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</si>
  <si>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</si>
  <si>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</si>
  <si>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</si>
  <si>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</si>
  <si>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</si>
  <si>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</si>
  <si>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</si>
  <si>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</si>
  <si>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</si>
  <si>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</si>
  <si>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</si>
  <si>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</si>
  <si>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</si>
  <si>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</si>
  <si>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</si>
  <si>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</si>
  <si>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</si>
  <si>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</si>
  <si>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</si>
  <si>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</si>
  <si>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</si>
  <si>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</si>
  <si>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</si>
  <si>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</si>
  <si>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</si>
  <si>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</si>
  <si>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</si>
  <si>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</si>
  <si>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</si>
  <si>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</si>
  <si>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</si>
  <si>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</si>
  <si>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</si>
  <si>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</si>
  <si>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</si>
  <si>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</si>
  <si>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</si>
  <si>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</si>
  <si>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</si>
  <si>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</si>
  <si>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</si>
  <si>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</si>
  <si>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</si>
  <si>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</si>
  <si>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</si>
  <si>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</si>
  <si>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</si>
  <si>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</si>
  <si>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</si>
  <si>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</si>
  <si>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</si>
  <si>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</si>
  <si>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</si>
  <si>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</si>
  <si>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</si>
  <si>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</si>
  <si>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</si>
  <si>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</si>
  <si>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</si>
  <si>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</si>
  <si>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</si>
  <si>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</si>
  <si>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</si>
  <si>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</si>
  <si>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</si>
  <si>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</si>
  <si>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</si>
  <si>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</si>
  <si>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</si>
  <si>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</si>
  <si>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</si>
  <si>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</si>
  <si>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</si>
  <si>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</si>
  <si>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</si>
  <si>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</si>
  <si>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</si>
  <si>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</si>
  <si>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</si>
  <si>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</si>
  <si>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</si>
  <si>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</si>
  <si>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</si>
  <si>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</si>
  <si>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</si>
  <si>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</si>
  <si>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</si>
  <si>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</si>
  <si>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</si>
  <si>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</si>
  <si>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</si>
  <si>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</si>
  <si>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</si>
  <si>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</si>
  <si>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</si>
  <si>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</si>
  <si>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</si>
  <si>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</si>
  <si>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</si>
  <si>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</si>
  <si>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</si>
  <si>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</si>
  <si>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</si>
  <si>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</si>
  <si>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</si>
  <si>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</si>
  <si>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</si>
  <si>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</si>
  <si>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</si>
  <si>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</si>
  <si>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</si>
  <si>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</si>
  <si>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</si>
  <si>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</si>
  <si>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</si>
  <si>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</si>
  <si>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</si>
  <si>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</si>
  <si>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</si>
  <si>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</si>
  <si>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</si>
  <si>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</si>
  <si>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</si>
  <si>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</si>
  <si>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</si>
  <si>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</si>
  <si>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</si>
  <si>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</si>
  <si>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</si>
  <si>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</si>
  <si>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</si>
  <si>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</si>
  <si>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</si>
  <si>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</si>
  <si>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</si>
  <si>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</si>
  <si>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</si>
  <si>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</si>
  <si>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</si>
  <si>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</si>
  <si>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</si>
  <si>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</si>
  <si>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</si>
  <si>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</si>
  <si>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</si>
  <si>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</si>
  <si>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</si>
  <si>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</si>
  <si>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</si>
  <si>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</si>
  <si>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</si>
  <si>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</si>
  <si>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</si>
  <si>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</si>
  <si>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</si>
  <si>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</si>
  <si>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</si>
  <si>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</si>
  <si>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</si>
  <si>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</si>
  <si>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</si>
  <si>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</si>
  <si>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</si>
  <si>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</si>
  <si>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</si>
  <si>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</si>
  <si>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</si>
  <si>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</si>
  <si>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</si>
  <si>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</si>
  <si>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</si>
  <si>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</si>
  <si>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</si>
  <si>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</si>
  <si>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</si>
  <si>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</si>
  <si>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</si>
  <si>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</si>
  <si>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</si>
  <si>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</si>
  <si>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</si>
  <si>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</si>
  <si>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</si>
  <si>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</si>
  <si>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</si>
  <si>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</si>
  <si>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</si>
  <si>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</si>
  <si>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</si>
  <si>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</si>
  <si>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</si>
  <si>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</si>
  <si>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</si>
  <si>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</si>
  <si>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</si>
  <si>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</si>
  <si>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</si>
  <si>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</si>
  <si>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</si>
  <si>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</si>
  <si>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</si>
  <si>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</si>
  <si>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</si>
  <si>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</si>
  <si>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</si>
  <si>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</si>
  <si>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</si>
  <si>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</si>
  <si>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</si>
  <si>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</si>
  <si>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</si>
  <si>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</si>
  <si>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</si>
  <si>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</si>
  <si>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</si>
  <si>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</si>
  <si>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</si>
  <si>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</si>
  <si>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</si>
  <si>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</si>
  <si>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</si>
  <si>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</si>
  <si>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</si>
  <si>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</si>
  <si>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</si>
  <si>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</si>
  <si>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</si>
  <si>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</si>
  <si>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</si>
  <si>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</si>
  <si>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</si>
  <si>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</si>
  <si>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</si>
  <si>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</si>
  <si>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</si>
  <si>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</si>
  <si>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</si>
  <si>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</si>
  <si>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</si>
  <si>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</si>
  <si>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</si>
  <si>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</si>
  <si>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</si>
  <si>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</si>
  <si>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</si>
  <si>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</si>
  <si>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</si>
  <si>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</si>
  <si>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</si>
  <si>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</si>
  <si>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</si>
  <si>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</si>
  <si>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</si>
  <si>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</si>
  <si>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</si>
  <si>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</si>
  <si>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</si>
  <si>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</si>
  <si>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</si>
  <si>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</si>
  <si>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</si>
  <si>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</si>
  <si>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</si>
  <si>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</si>
  <si>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</si>
  <si>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</si>
  <si>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</si>
  <si>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</si>
  <si>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</si>
  <si>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</si>
  <si>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</si>
  <si>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</si>
  <si>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</si>
  <si>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</si>
  <si>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</si>
  <si>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</si>
  <si>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</si>
  <si>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</si>
  <si>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</si>
  <si>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</si>
  <si>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</si>
  <si>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</si>
  <si>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</si>
  <si>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</si>
  <si>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</si>
  <si>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</si>
  <si>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</si>
  <si>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</si>
  <si>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</si>
  <si>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</si>
  <si>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</si>
  <si>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</si>
  <si>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</si>
  <si>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</si>
  <si>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</si>
  <si>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</si>
  <si>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</si>
  <si>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</si>
  <si>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</si>
  <si>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</si>
  <si>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</si>
  <si>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</si>
  <si>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</si>
  <si>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</si>
  <si>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</si>
  <si>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</si>
  <si>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</si>
  <si>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</si>
  <si>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</si>
  <si>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</si>
  <si>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</si>
  <si>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</si>
  <si>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</si>
  <si>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</si>
  <si>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</si>
  <si>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</si>
  <si>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</si>
  <si>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</si>
  <si>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</si>
  <si>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</si>
  <si>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</si>
  <si>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</si>
  <si>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</si>
  <si>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</si>
  <si>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</si>
  <si>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</si>
  <si>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</si>
  <si>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</si>
  <si>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</si>
  <si>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</si>
  <si>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</si>
  <si>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</si>
  <si>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</si>
  <si>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</si>
  <si>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</si>
  <si>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</si>
  <si>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</si>
  <si>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</si>
  <si>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</si>
  <si>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</si>
  <si>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</si>
  <si>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</si>
  <si>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</si>
  <si>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</si>
  <si>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</si>
  <si>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</si>
  <si>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</si>
  <si>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</si>
  <si>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</si>
  <si>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</si>
  <si>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</si>
  <si>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</si>
  <si>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</si>
  <si>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</si>
  <si>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</si>
  <si>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</si>
  <si>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</si>
  <si>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</si>
  <si>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</si>
  <si>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</si>
  <si>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</si>
  <si>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</si>
  <si>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</si>
  <si>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</si>
  <si>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</si>
  <si>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</si>
  <si>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</si>
  <si>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</si>
  <si>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</si>
  <si>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</si>
  <si>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</si>
  <si>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</si>
  <si>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</si>
  <si>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</si>
  <si>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</si>
  <si>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</si>
  <si>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</si>
  <si>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</si>
  <si>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</si>
  <si>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</si>
  <si>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</si>
  <si>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</si>
  <si>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</si>
  <si>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</si>
  <si>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</si>
  <si>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</si>
  <si>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</si>
  <si>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</si>
  <si>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</si>
  <si>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</si>
  <si>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</si>
  <si>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</si>
  <si>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</si>
  <si>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</si>
  <si>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</si>
  <si>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</si>
  <si>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</si>
  <si>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</si>
  <si>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</si>
  <si>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</si>
  <si>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</si>
  <si>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</si>
  <si>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</si>
  <si>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</si>
  <si>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</si>
  <si>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</si>
  <si>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</si>
  <si>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</si>
  <si>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</si>
  <si>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</si>
  <si>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</si>
  <si>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</si>
  <si>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</si>
  <si>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</si>
  <si>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</si>
  <si>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</si>
  <si>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</si>
  <si>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</si>
  <si>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</si>
  <si>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</si>
  <si>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</si>
  <si>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</si>
  <si>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</si>
  <si>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</si>
  <si>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</si>
  <si>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</si>
  <si>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</si>
  <si>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</si>
  <si>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</si>
  <si>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</si>
  <si>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</si>
  <si>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</si>
  <si>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</si>
  <si>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</si>
  <si>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</si>
  <si>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</si>
  <si>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</si>
  <si>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</si>
  <si>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</si>
  <si>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</si>
  <si>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</si>
  <si>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</si>
  <si>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</si>
  <si>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</si>
  <si>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</si>
  <si>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</si>
  <si>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</si>
  <si>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</si>
  <si>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</si>
  <si>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</si>
  <si>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</si>
  <si>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</si>
  <si>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</si>
  <si>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</si>
  <si>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</si>
  <si>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</si>
  <si>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</si>
  <si>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</si>
  <si>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</si>
  <si>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</si>
  <si>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</si>
  <si>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</si>
  <si>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</si>
  <si>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</si>
  <si>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</si>
  <si>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</si>
  <si>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</si>
  <si>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</si>
  <si>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</si>
  <si>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</si>
  <si>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</si>
  <si>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</si>
  <si>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</si>
  <si>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</si>
  <si>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</si>
  <si>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</si>
  <si>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</si>
  <si>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</si>
  <si>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</si>
  <si>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</si>
  <si>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</si>
  <si>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</si>
  <si>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</si>
  <si>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</si>
  <si>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</si>
  <si>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</si>
  <si>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</si>
  <si>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</si>
  <si>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</si>
  <si>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</si>
  <si>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</si>
  <si>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</si>
  <si>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</si>
  <si>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</si>
  <si>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</si>
  <si>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</si>
  <si>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</si>
  <si>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</si>
  <si>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</si>
  <si>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</si>
  <si>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</si>
  <si>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</si>
  <si>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</si>
  <si>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</si>
  <si>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</si>
  <si>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</si>
  <si>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</si>
  <si>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</si>
  <si>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</si>
  <si>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</si>
  <si>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</si>
  <si>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</si>
  <si>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</si>
  <si>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</si>
  <si>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</si>
  <si>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</si>
  <si>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</si>
  <si>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</si>
  <si>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</si>
  <si>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</si>
  <si>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</si>
  <si>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</si>
  <si>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</si>
  <si>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</si>
  <si>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</si>
  <si>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</si>
  <si>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</si>
  <si>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</si>
  <si>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</si>
  <si>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</si>
  <si>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</si>
  <si>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</si>
  <si>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</si>
  <si>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</si>
  <si>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</si>
  <si>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</si>
  <si>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</si>
  <si>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</si>
  <si>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</si>
  <si>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</si>
  <si>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</si>
  <si>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</si>
  <si>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</si>
  <si>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</si>
  <si>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</si>
  <si>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</si>
  <si>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</si>
  <si>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</si>
  <si>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</si>
  <si>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</si>
  <si>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</si>
  <si>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</si>
  <si>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</si>
  <si>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</si>
  <si>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</si>
  <si>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</si>
  <si>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</si>
  <si>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</si>
  <si>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</si>
  <si>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</si>
  <si>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</si>
  <si>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</si>
  <si>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</si>
  <si>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</si>
  <si>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</si>
  <si>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</si>
  <si>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</si>
  <si>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</si>
  <si>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</si>
  <si>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</si>
  <si>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</si>
  <si>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</si>
  <si>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</si>
  <si>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</si>
  <si>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</si>
  <si>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</si>
  <si>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</si>
  <si>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</si>
  <si>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</si>
  <si>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</si>
  <si>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</si>
  <si>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</si>
  <si>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</si>
  <si>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</si>
  <si>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</si>
  <si>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</si>
  <si>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</si>
  <si>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</si>
  <si>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</si>
  <si>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</si>
  <si>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</si>
  <si>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</si>
  <si>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</si>
  <si>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</si>
  <si>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</si>
  <si>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</si>
  <si>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</si>
  <si>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</si>
  <si>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</si>
  <si>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</si>
  <si>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</si>
  <si>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</si>
  <si>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</si>
  <si>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</si>
  <si>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</si>
  <si>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</si>
  <si>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</si>
  <si>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</si>
  <si>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</si>
  <si>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</si>
  <si>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</si>
  <si>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</si>
  <si>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</si>
  <si>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</si>
  <si>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</si>
  <si>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</si>
  <si>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</si>
  <si>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</si>
  <si>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</si>
  <si>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</si>
  <si>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</si>
  <si>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</si>
  <si>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</si>
  <si>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</si>
  <si>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</si>
  <si>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</si>
  <si>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</si>
  <si>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</si>
  <si>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</si>
  <si>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</si>
  <si>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</si>
  <si>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</si>
  <si>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</si>
  <si>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</si>
  <si>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</si>
  <si>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</si>
  <si>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</si>
  <si>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</si>
  <si>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</si>
  <si>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</si>
  <si>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</si>
  <si>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</si>
  <si>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</si>
  <si>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</si>
  <si>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</si>
  <si>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</si>
  <si>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</si>
  <si>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</si>
  <si>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</si>
  <si>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</si>
  <si>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</si>
  <si>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</si>
  <si>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</si>
  <si>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</si>
  <si>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</si>
  <si>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</si>
  <si>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</si>
  <si>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</si>
  <si>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</si>
  <si>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</si>
  <si>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</si>
  <si>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</si>
  <si>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</si>
  <si>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</si>
  <si>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</si>
  <si>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</si>
  <si>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</si>
  <si>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</si>
  <si>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</si>
  <si>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</si>
  <si>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</si>
  <si>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</si>
  <si>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</si>
  <si>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</si>
  <si>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</si>
  <si>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</si>
  <si>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</si>
  <si>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</si>
  <si>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</si>
  <si>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</si>
  <si>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</si>
  <si>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</si>
  <si>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</si>
  <si>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</si>
  <si>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</si>
  <si>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</si>
  <si>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</si>
  <si>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</si>
  <si>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</si>
  <si>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</si>
  <si>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</si>
  <si>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</si>
  <si>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</si>
  <si>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</si>
  <si>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</si>
  <si>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</si>
  <si>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</si>
  <si>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</si>
  <si>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</si>
  <si>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</si>
  <si>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</si>
  <si>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</si>
  <si>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</si>
  <si>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</si>
  <si>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</si>
  <si>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</si>
  <si>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</si>
  <si>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</si>
  <si>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</si>
  <si>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</si>
  <si>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</si>
  <si>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</si>
  <si>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</si>
  <si>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</si>
  <si>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</si>
  <si>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</si>
  <si>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</si>
  <si>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</si>
  <si>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</si>
  <si>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</si>
  <si>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</si>
  <si>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</si>
  <si>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</si>
  <si>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</si>
  <si>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</si>
  <si>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</si>
  <si>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</si>
  <si>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</si>
  <si>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</si>
  <si>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</si>
  <si>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</si>
  <si>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</si>
  <si>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</si>
  <si>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</si>
  <si>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</si>
  <si>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</si>
  <si>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</si>
  <si>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</si>
  <si>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</si>
  <si>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</si>
  <si>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</si>
  <si>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</si>
  <si>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</si>
  <si>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</si>
  <si>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</si>
  <si>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</si>
  <si>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</si>
  <si>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</si>
  <si>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</si>
  <si>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</si>
  <si>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</si>
  <si>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</si>
  <si>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</si>
  <si>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</si>
  <si>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</si>
  <si>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</si>
  <si>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</si>
  <si>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</si>
  <si>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</si>
  <si>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</si>
  <si>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</si>
  <si>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</si>
  <si>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</si>
  <si>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</si>
  <si>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</si>
  <si>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</si>
  <si>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</si>
  <si>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</si>
  <si>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</si>
  <si>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</si>
  <si>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</si>
  <si>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</si>
  <si>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</si>
  <si>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</si>
  <si>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</si>
  <si>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</si>
  <si>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</si>
  <si>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</si>
  <si>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</si>
  <si>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</si>
  <si>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</si>
  <si>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</si>
  <si>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</si>
  <si>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</si>
  <si>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</si>
  <si>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</si>
  <si>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</si>
  <si>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</si>
  <si>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</si>
  <si>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</si>
  <si>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</si>
  <si>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</si>
  <si>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</si>
  <si>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</si>
  <si>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</si>
  <si>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</si>
  <si>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</si>
  <si>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</si>
  <si>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</si>
  <si>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</si>
  <si>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</si>
  <si>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</si>
  <si>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</si>
  <si>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</si>
  <si>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</si>
  <si>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</si>
  <si>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</si>
  <si>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</si>
  <si>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</si>
  <si>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</si>
  <si>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</si>
  <si>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</si>
  <si>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</si>
  <si>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</si>
  <si>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</si>
  <si>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</si>
  <si>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</si>
  <si>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</si>
  <si>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</si>
  <si>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</si>
  <si>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</si>
  <si>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</si>
  <si>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</si>
  <si>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</si>
  <si>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</si>
  <si>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</si>
  <si>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</si>
  <si>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</si>
  <si>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</si>
  <si>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</si>
  <si>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</si>
  <si>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</si>
  <si>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</si>
  <si>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</si>
  <si>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</si>
  <si>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</si>
  <si>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</si>
  <si>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</si>
  <si>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</si>
  <si>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</si>
  <si>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</si>
  <si>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</si>
  <si>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</si>
  <si>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</si>
  <si>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</si>
  <si>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</si>
  <si>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</si>
  <si>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</si>
  <si>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</si>
  <si>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</si>
  <si>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</si>
  <si>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</si>
  <si>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</si>
  <si>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</si>
  <si>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</si>
  <si>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</si>
  <si>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</si>
  <si>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</si>
  <si>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</si>
  <si>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</si>
  <si>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</si>
  <si>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</si>
  <si>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</si>
  <si>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</si>
  <si>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</si>
  <si>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</si>
  <si>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</si>
  <si>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</si>
  <si>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</si>
  <si>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</si>
  <si>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</si>
  <si>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</si>
  <si>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</si>
  <si>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</si>
  <si>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</si>
  <si>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</si>
  <si>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</si>
  <si>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</si>
  <si>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</si>
  <si>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</si>
  <si>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</si>
  <si>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</si>
  <si>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</si>
  <si>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</si>
  <si>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</si>
  <si>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</si>
  <si>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</si>
  <si>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</si>
  <si>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</si>
  <si>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</si>
  <si>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</si>
  <si>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</si>
  <si>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</si>
  <si>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</si>
  <si>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</si>
  <si>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</si>
  <si>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</si>
  <si>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</si>
  <si>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</si>
  <si>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</si>
  <si>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</si>
  <si>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</si>
  <si>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</si>
  <si>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</si>
  <si>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</si>
  <si>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</si>
  <si>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</si>
  <si>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</si>
  <si>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</si>
  <si>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</si>
  <si>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</si>
  <si>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</si>
  <si>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</si>
  <si>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</si>
  <si>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</si>
  <si>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</si>
  <si>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</si>
  <si>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</si>
  <si>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</si>
  <si>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</si>
  <si>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</si>
  <si>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</si>
  <si>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</si>
  <si>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</si>
  <si>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</si>
  <si>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</si>
  <si>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</si>
  <si>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</si>
  <si>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</si>
  <si>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</si>
  <si>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</si>
  <si>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</si>
  <si>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</si>
  <si>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</si>
  <si>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</si>
  <si>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</si>
  <si>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</si>
  <si>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</si>
  <si>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</si>
  <si>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</si>
  <si>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</si>
  <si>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</si>
  <si>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</si>
  <si>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</si>
  <si>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</si>
  <si>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</si>
  <si>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</si>
  <si>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</si>
  <si>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</si>
  <si>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</si>
  <si>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</si>
  <si>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</si>
  <si>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</si>
  <si>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</si>
  <si>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</si>
  <si>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</si>
  <si>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</si>
  <si>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</si>
  <si>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</si>
  <si>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</si>
  <si>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</si>
  <si>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</si>
  <si>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</si>
  <si>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</si>
  <si>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</si>
  <si>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</si>
  <si>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</si>
  <si>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</si>
  <si>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</si>
  <si>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</si>
  <si>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</si>
  <si>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</si>
  <si>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</si>
  <si>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</si>
  <si>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</si>
  <si>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</si>
  <si>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</si>
  <si>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</si>
  <si>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</si>
  <si>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</si>
  <si>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</si>
  <si>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</si>
  <si>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</si>
  <si>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</si>
  <si>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</si>
  <si>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</si>
  <si>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</si>
  <si>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</si>
  <si>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</si>
  <si>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</si>
  <si>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</si>
  <si>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</si>
  <si>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</si>
  <si>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</si>
  <si>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</si>
  <si>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</si>
  <si>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</si>
  <si>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</si>
  <si>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</si>
  <si>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</si>
  <si>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</si>
  <si>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</si>
  <si>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</si>
  <si>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</si>
  <si>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</si>
  <si>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</si>
  <si>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</si>
  <si>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</si>
  <si>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</si>
  <si>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</si>
  <si>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</si>
  <si>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</si>
  <si>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</si>
  <si>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</si>
  <si>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</si>
  <si>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</si>
  <si>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</si>
  <si>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</si>
  <si>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</si>
  <si>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</si>
  <si>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</si>
  <si>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</si>
  <si>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</si>
  <si>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</si>
  <si>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</si>
  <si>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</si>
  <si>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</si>
  <si>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</si>
  <si>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</si>
  <si>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</si>
  <si>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</si>
  <si>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</si>
  <si>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</si>
  <si>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</si>
  <si>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</si>
  <si>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</si>
  <si>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</si>
  <si>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</si>
  <si>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</si>
  <si>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</si>
  <si>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</si>
  <si>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</si>
  <si>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</si>
  <si>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</si>
  <si>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</si>
  <si>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</si>
  <si>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</si>
  <si>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</si>
  <si>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</si>
  <si>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</si>
  <si>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</si>
  <si>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</si>
  <si>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</si>
  <si>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</si>
  <si>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</si>
  <si>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</si>
  <si>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</si>
  <si>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</si>
  <si>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</si>
  <si>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</si>
  <si>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</si>
  <si>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</si>
  <si>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</si>
  <si>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</si>
  <si>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</si>
  <si>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</si>
  <si>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</si>
  <si>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</si>
  <si>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</si>
  <si>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</si>
  <si>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</si>
  <si>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</si>
  <si>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</si>
  <si>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</si>
  <si>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</si>
  <si>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</si>
  <si>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</si>
  <si>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</si>
  <si>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</si>
  <si>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</si>
  <si>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</si>
  <si>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</si>
  <si>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</si>
  <si>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</si>
  <si>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</si>
  <si>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</si>
  <si>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</si>
  <si>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</si>
  <si>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</si>
  <si>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</si>
  <si>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</si>
  <si>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</si>
  <si>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</si>
  <si>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</si>
  <si>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</si>
  <si>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</si>
  <si>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</si>
  <si>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</si>
  <si>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</si>
  <si>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</si>
  <si>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</si>
  <si>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</si>
  <si>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</si>
  <si>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</si>
  <si>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</si>
  <si>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</si>
  <si>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</si>
  <si>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</si>
  <si>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</si>
  <si>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</si>
  <si>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</si>
  <si>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</si>
  <si>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</si>
  <si>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</si>
  <si>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</si>
  <si>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</si>
  <si>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</si>
  <si>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</si>
  <si>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</si>
  <si>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</si>
  <si>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</si>
  <si>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</si>
  <si>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</si>
  <si>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</si>
  <si>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</si>
  <si>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</si>
  <si>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</si>
  <si>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</si>
  <si>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</si>
  <si>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</si>
  <si>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</si>
  <si>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</si>
  <si>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</si>
  <si>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</si>
  <si>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</si>
  <si>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</si>
  <si>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</si>
  <si>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</si>
  <si>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</si>
  <si>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</si>
  <si>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</si>
  <si>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</si>
  <si>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</si>
  <si>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</si>
  <si>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</si>
  <si>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</si>
  <si>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</si>
  <si>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</si>
  <si>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</si>
  <si>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</si>
  <si>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</si>
  <si>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</si>
  <si>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</si>
  <si>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</si>
  <si>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</si>
  <si>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</si>
  <si>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</si>
  <si>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</si>
  <si>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</si>
  <si>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</si>
  <si>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</si>
  <si>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</si>
  <si>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</si>
  <si>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</si>
  <si>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</si>
  <si>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</si>
  <si>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</si>
  <si>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</si>
  <si>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</si>
  <si>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</si>
  <si>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</si>
  <si>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</si>
  <si>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</si>
  <si>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</si>
  <si>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</si>
  <si>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</si>
  <si>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</si>
  <si>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</si>
  <si>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</si>
  <si>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</si>
  <si>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</si>
  <si>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</si>
  <si>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</si>
  <si>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</si>
  <si>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</si>
  <si>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</si>
  <si>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</si>
  <si>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</si>
  <si>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</si>
  <si>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</si>
  <si>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</si>
  <si>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</si>
  <si>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</si>
  <si>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</si>
  <si>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</si>
  <si>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</si>
  <si>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</si>
  <si>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</si>
  <si>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</si>
  <si>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</si>
  <si>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</si>
  <si>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</si>
  <si>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</si>
  <si>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</si>
  <si>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</si>
  <si>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</si>
  <si>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</si>
  <si>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</si>
  <si>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</si>
  <si>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</si>
  <si>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</si>
  <si>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</si>
  <si>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</si>
  <si>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</si>
  <si>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</si>
  <si>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</si>
  <si>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</si>
  <si>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</si>
  <si>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</si>
  <si>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</si>
  <si>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</si>
  <si>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</si>
  <si>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</si>
  <si>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</si>
  <si>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</si>
  <si>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</si>
  <si>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</si>
  <si>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</si>
  <si>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</si>
  <si>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</si>
  <si>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</si>
  <si>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</si>
  <si>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</si>
  <si>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</si>
  <si>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</si>
  <si>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</si>
  <si>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</si>
  <si>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</si>
  <si>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</si>
  <si>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</si>
  <si>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</si>
  <si>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</si>
  <si>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</si>
  <si>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</si>
  <si>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</si>
  <si>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</si>
  <si>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</si>
  <si>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</si>
  <si>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</si>
  <si>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</si>
  <si>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</si>
  <si>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</si>
  <si>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</si>
  <si>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</si>
  <si>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</si>
  <si>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</si>
  <si>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</si>
  <si>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</si>
  <si>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</si>
  <si>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</si>
  <si>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</si>
  <si>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</si>
  <si>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</si>
  <si>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</si>
  <si>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</si>
  <si>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</si>
  <si>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</si>
  <si>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</si>
  <si>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</si>
  <si>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</si>
  <si>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</si>
  <si>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</si>
  <si>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</si>
  <si>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</si>
  <si>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</si>
  <si>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</si>
  <si>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</si>
  <si>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</si>
  <si>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</si>
  <si>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</si>
  <si>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</si>
  <si>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</si>
  <si>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</si>
  <si>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</si>
  <si>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</si>
  <si>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</si>
  <si>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</si>
  <si>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</si>
  <si>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</si>
  <si>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</si>
  <si>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</si>
  <si>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</si>
  <si>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</si>
  <si>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</si>
  <si>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</si>
  <si>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</si>
  <si>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</si>
  <si>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</si>
  <si>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</si>
  <si>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</si>
  <si>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</si>
  <si>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</si>
  <si>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</si>
  <si>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</si>
  <si>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</si>
  <si>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</si>
  <si>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</si>
  <si>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</si>
  <si>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</si>
  <si>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</si>
  <si>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</si>
  <si>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</si>
  <si>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</si>
  <si>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</si>
  <si>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</si>
  <si>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</si>
  <si>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</si>
  <si>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</si>
  <si>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</si>
  <si>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</si>
  <si>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</si>
  <si>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</si>
  <si>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</si>
  <si>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</si>
  <si>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</si>
  <si>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</si>
  <si>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</si>
  <si>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</si>
  <si>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</si>
  <si>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</si>
  <si>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</si>
  <si>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</si>
  <si>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</si>
  <si>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</si>
  <si>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</si>
  <si>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</si>
  <si>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</si>
  <si>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</si>
  <si>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</si>
  <si>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</si>
  <si>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</si>
  <si>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</si>
  <si>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</si>
  <si>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</si>
  <si>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</si>
  <si>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</si>
  <si>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</si>
  <si>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</si>
  <si>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</si>
  <si>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</si>
  <si>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</si>
  <si>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</si>
  <si>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</si>
  <si>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</si>
  <si>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</si>
  <si>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</si>
  <si>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</si>
  <si>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</si>
  <si>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</si>
  <si>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</si>
  <si>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</si>
  <si>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</si>
  <si>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</si>
  <si>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</si>
  <si>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</si>
  <si>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</si>
  <si>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</si>
  <si>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</si>
  <si>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</si>
  <si>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</si>
  <si>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</si>
  <si>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</si>
  <si>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</si>
  <si>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</si>
  <si>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</si>
  <si>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</si>
  <si>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</si>
  <si>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</si>
  <si>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</si>
  <si>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</si>
  <si>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</si>
  <si>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</si>
  <si>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</si>
  <si>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</si>
  <si>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</si>
  <si>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</si>
  <si>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</si>
  <si>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</si>
  <si>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</si>
  <si>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</si>
  <si>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</si>
  <si>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</si>
  <si>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</si>
  <si>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</si>
  <si>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</si>
  <si>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</si>
  <si>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</si>
  <si>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</si>
  <si>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</si>
  <si>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</si>
  <si>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</si>
  <si>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</si>
  <si>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</si>
  <si>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</si>
  <si>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</si>
  <si>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</si>
  <si>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</si>
  <si>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</si>
  <si>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</si>
  <si>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</si>
  <si>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</si>
  <si>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</si>
  <si>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</si>
  <si>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</si>
  <si>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</si>
  <si>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</si>
  <si>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</si>
  <si>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</si>
  <si>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</si>
  <si>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</si>
  <si>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</si>
  <si>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</si>
  <si>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</si>
  <si>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</si>
  <si>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</si>
  <si>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</si>
  <si>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</si>
  <si>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</si>
  <si>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</si>
  <si>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</si>
  <si>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</si>
  <si>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</si>
  <si>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</si>
  <si>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</si>
  <si>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</si>
  <si>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</si>
  <si>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</si>
  <si>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</si>
  <si>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</si>
  <si>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</si>
  <si>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</si>
  <si>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</si>
  <si>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</si>
  <si>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</si>
  <si>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</si>
  <si>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</si>
  <si>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</si>
  <si>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</si>
  <si>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</si>
  <si>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</si>
  <si>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</si>
  <si>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</si>
  <si>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</si>
  <si>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</si>
  <si>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</si>
  <si>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</si>
  <si>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</si>
  <si>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</si>
  <si>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</si>
  <si>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</si>
  <si>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</si>
  <si>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</si>
  <si>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</si>
  <si>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</si>
  <si>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</si>
  <si>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</si>
  <si>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</si>
  <si>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</si>
  <si>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</si>
  <si>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</si>
  <si>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</si>
  <si>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</si>
  <si>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</si>
  <si>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</si>
  <si>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</si>
  <si>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</si>
  <si>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</si>
  <si>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</si>
  <si>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</si>
  <si>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</si>
  <si>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</si>
  <si>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</si>
  <si>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</si>
  <si>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</si>
  <si>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</si>
  <si>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</si>
  <si>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</si>
  <si>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</si>
  <si>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</si>
  <si>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</si>
  <si>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</si>
  <si>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</si>
  <si>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</si>
  <si>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</si>
  <si>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</si>
  <si>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</si>
  <si>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</si>
  <si>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</si>
  <si>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</si>
  <si>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</si>
  <si>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</si>
  <si>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</si>
  <si>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</si>
  <si>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</si>
  <si>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</si>
  <si>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</si>
  <si>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</si>
  <si>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</si>
  <si>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</si>
  <si>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</si>
  <si>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</si>
  <si>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</si>
  <si>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</si>
  <si>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</si>
  <si>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</si>
  <si>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</si>
  <si>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</si>
  <si>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</si>
  <si>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</si>
  <si>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</si>
  <si>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</si>
  <si>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</si>
  <si>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</si>
  <si>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</si>
  <si>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</si>
  <si>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</si>
  <si>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</si>
  <si>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</si>
  <si>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</si>
  <si>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</si>
  <si>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</si>
  <si>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</si>
  <si>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</si>
  <si>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</si>
  <si>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</si>
  <si>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</si>
  <si>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</si>
  <si>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</si>
  <si>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</si>
  <si>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</si>
  <si>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</si>
  <si>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</si>
  <si>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</si>
  <si>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</si>
  <si>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</si>
  <si>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</si>
  <si>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</si>
  <si>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</si>
  <si>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</si>
  <si>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</si>
  <si>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</si>
  <si>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</si>
  <si>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</si>
  <si>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</si>
  <si>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</si>
  <si>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</si>
  <si>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</si>
  <si>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</si>
  <si>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</si>
  <si>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</si>
  <si>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</si>
  <si>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</si>
  <si>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</si>
  <si>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</si>
  <si>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</si>
  <si>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</si>
  <si>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</si>
  <si>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</si>
  <si>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</si>
  <si>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</si>
  <si>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</si>
  <si>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</si>
  <si>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</si>
  <si>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</si>
  <si>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</si>
  <si>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</si>
  <si>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</si>
  <si>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</si>
  <si>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</si>
  <si>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</si>
  <si>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</si>
  <si>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</si>
  <si>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</si>
  <si>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</si>
  <si>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</si>
  <si>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</si>
  <si>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</si>
  <si>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</si>
  <si>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</si>
  <si>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</si>
  <si>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</si>
  <si>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</si>
  <si>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</si>
  <si>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</si>
  <si>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</si>
  <si>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</si>
  <si>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</si>
  <si>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</si>
  <si>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</si>
  <si>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</si>
  <si>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</si>
  <si>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</si>
  <si>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</si>
  <si>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</si>
  <si>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</si>
  <si>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</si>
  <si>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</si>
  <si>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</si>
  <si>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</si>
  <si>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</si>
  <si>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</si>
  <si>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</si>
  <si>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</si>
  <si>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</si>
  <si>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</si>
  <si>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</si>
  <si>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</si>
  <si>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</si>
  <si>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</si>
  <si>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</si>
  <si>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</si>
  <si>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</si>
  <si>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</si>
  <si>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</si>
  <si>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</si>
  <si>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</si>
  <si>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</si>
  <si>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</si>
  <si>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</si>
  <si>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</si>
  <si>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</si>
  <si>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</si>
  <si>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</si>
  <si>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</si>
  <si>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</si>
  <si>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</si>
  <si>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</si>
  <si>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</si>
  <si>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</si>
  <si>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</si>
  <si>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</si>
  <si>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</si>
  <si>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</si>
  <si>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</si>
  <si>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</si>
  <si>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</si>
  <si>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</si>
  <si>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</si>
  <si>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</si>
  <si>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</si>
  <si>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</si>
  <si>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</si>
  <si>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</si>
  <si>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</si>
  <si>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</si>
  <si>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</si>
  <si>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</si>
  <si>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</si>
  <si>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</si>
  <si>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</si>
  <si>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</si>
  <si>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</si>
  <si>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</si>
  <si>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</si>
  <si>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</si>
  <si>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</si>
  <si>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</si>
  <si>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</si>
  <si>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</si>
  <si>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</si>
  <si>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</si>
  <si>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</si>
  <si>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</si>
  <si>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</si>
  <si>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</si>
  <si>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</si>
  <si>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</si>
  <si>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</si>
  <si>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</si>
  <si>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</si>
  <si>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</si>
  <si>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</si>
  <si>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</si>
  <si>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</si>
  <si>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</si>
  <si>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</si>
  <si>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</si>
  <si>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</si>
  <si>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</si>
  <si>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</si>
  <si>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</si>
  <si>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</si>
  <si>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</si>
  <si>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</si>
  <si>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</si>
  <si>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</si>
  <si>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</si>
  <si>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</si>
  <si>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</si>
  <si>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</si>
  <si>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</si>
  <si>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</si>
  <si>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</si>
  <si>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</si>
  <si>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</si>
  <si>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</si>
  <si>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</si>
  <si>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</si>
  <si>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</si>
  <si>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</si>
  <si>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</si>
  <si>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</si>
  <si>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</si>
  <si>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</si>
  <si>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</si>
  <si>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</si>
  <si>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</si>
  <si>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</si>
  <si>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</si>
  <si>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</si>
  <si>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</si>
  <si>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</si>
  <si>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</si>
  <si>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</si>
  <si>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</si>
  <si>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</si>
  <si>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</si>
  <si>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</si>
  <si>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</si>
  <si>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</si>
  <si>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</si>
  <si>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</si>
  <si>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</si>
  <si>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</si>
  <si>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</si>
  <si>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</si>
  <si>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</si>
  <si>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</si>
  <si>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</si>
  <si>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</si>
  <si>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</si>
  <si>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</si>
  <si>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</si>
  <si>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</si>
  <si>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</si>
  <si>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</si>
  <si>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</si>
  <si>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</si>
  <si>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</si>
  <si>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</si>
  <si>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</si>
  <si>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</si>
  <si>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</si>
  <si>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</si>
  <si>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</si>
  <si>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</si>
  <si>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</si>
  <si>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</si>
  <si>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</si>
  <si>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</si>
  <si>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</si>
  <si>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</si>
  <si>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</si>
  <si>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</si>
  <si>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</si>
  <si>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</si>
  <si>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</si>
  <si>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</si>
  <si>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</si>
  <si>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</si>
  <si>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</si>
  <si>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</si>
  <si>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</si>
  <si>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</si>
  <si>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</si>
  <si>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</si>
  <si>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</si>
  <si>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</si>
  <si>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</si>
  <si>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</si>
  <si>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</si>
  <si>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</si>
  <si>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</si>
  <si>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</si>
  <si>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</si>
  <si>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</si>
  <si>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</si>
  <si>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</si>
  <si>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</si>
  <si>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</si>
  <si>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</si>
  <si>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</si>
  <si>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</si>
  <si>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</si>
  <si>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</si>
  <si>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</si>
  <si>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</si>
  <si>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</si>
  <si>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</si>
  <si>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</si>
  <si>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</si>
  <si>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</si>
  <si>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</si>
  <si>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</si>
  <si>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</si>
  <si>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</si>
  <si>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</si>
  <si>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</si>
  <si>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</si>
  <si>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</si>
  <si>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</si>
  <si>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</si>
  <si>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</si>
  <si>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</si>
  <si>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</si>
  <si>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</si>
  <si>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</si>
  <si>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</si>
  <si>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</si>
  <si>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</si>
  <si>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</si>
  <si>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</si>
  <si>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</si>
  <si>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</si>
  <si>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</si>
  <si>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</si>
  <si>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</si>
  <si>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</si>
  <si>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</si>
  <si>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</si>
  <si>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</si>
  <si>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</si>
  <si>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</si>
  <si>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</si>
  <si>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</si>
  <si>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</si>
  <si>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</si>
  <si>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</si>
  <si>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</si>
  <si>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</si>
  <si>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</si>
  <si>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</si>
  <si>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</si>
  <si>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</si>
  <si>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</si>
  <si>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</si>
  <si>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</si>
  <si>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</si>
  <si>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</si>
  <si>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</si>
  <si>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</si>
  <si>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</si>
  <si>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</si>
  <si>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</si>
  <si>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</si>
  <si>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</si>
  <si>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</si>
  <si>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</si>
  <si>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</si>
  <si>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</si>
  <si>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</si>
  <si>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</si>
  <si>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</si>
  <si>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</si>
  <si>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</si>
  <si>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</si>
  <si>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</si>
  <si>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</si>
  <si>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</si>
  <si>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</si>
  <si>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</si>
  <si>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</si>
  <si>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</si>
  <si>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</si>
  <si>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</si>
  <si>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</si>
  <si>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</si>
  <si>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</si>
  <si>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</si>
  <si>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</si>
  <si>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</si>
  <si>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</si>
  <si>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</si>
  <si>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</si>
  <si>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</si>
  <si>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</si>
  <si>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</si>
  <si>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</si>
  <si>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</si>
  <si>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</si>
  <si>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</si>
  <si>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</si>
  <si>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</si>
  <si>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</si>
  <si>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</si>
  <si>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</si>
  <si>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</si>
  <si>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</si>
  <si>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</si>
  <si>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</si>
  <si>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</si>
  <si>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</si>
  <si>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</si>
  <si>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</si>
  <si>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</si>
  <si>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</si>
  <si>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</si>
  <si>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</si>
  <si>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</si>
  <si>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</si>
  <si>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</si>
  <si>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</si>
  <si>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</si>
  <si>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</si>
  <si>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</si>
  <si>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</si>
  <si>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</si>
  <si>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</si>
  <si>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</si>
  <si>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</si>
  <si>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</si>
  <si>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</si>
  <si>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</si>
  <si>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</si>
  <si>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</si>
  <si>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</si>
  <si>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</si>
  <si>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</si>
  <si>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</si>
  <si>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</si>
  <si>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</si>
  <si>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</si>
  <si>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</si>
  <si>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</si>
  <si>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</si>
  <si>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</si>
  <si>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</si>
  <si>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</si>
  <si>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</si>
  <si>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</si>
  <si>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</si>
  <si>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</si>
  <si>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</si>
  <si>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</si>
  <si>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</si>
  <si>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</si>
  <si>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</si>
  <si>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</si>
  <si>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</si>
  <si>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</si>
  <si>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</si>
  <si>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</si>
  <si>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</si>
  <si>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</si>
  <si>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</si>
  <si>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</si>
  <si>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</si>
  <si>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</si>
  <si>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</si>
  <si>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</si>
  <si>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</si>
  <si>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</si>
  <si>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</si>
  <si>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</si>
  <si>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</si>
  <si>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</si>
  <si>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</si>
  <si>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</si>
  <si>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</si>
  <si>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</si>
  <si>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</si>
  <si>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</si>
  <si>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</si>
  <si>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</si>
  <si>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</si>
  <si>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</si>
  <si>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</si>
  <si>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</si>
  <si>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</si>
  <si>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</si>
  <si>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</si>
  <si>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</si>
  <si>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</si>
  <si>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</si>
  <si>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</si>
  <si>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</si>
  <si>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</si>
  <si>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</si>
  <si>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</si>
  <si>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</si>
  <si>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</si>
  <si>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</si>
  <si>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</si>
  <si>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</si>
  <si>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</si>
  <si>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</si>
  <si>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</si>
  <si>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</si>
  <si>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</si>
  <si>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</si>
  <si>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</si>
  <si>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</si>
  <si>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</si>
  <si>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</si>
  <si>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</si>
  <si>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</si>
  <si>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</si>
  <si>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</si>
  <si>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</si>
  <si>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</si>
  <si>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</si>
  <si>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</si>
  <si>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</si>
  <si>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</si>
  <si>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</si>
  <si>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</si>
  <si>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</si>
  <si>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</si>
  <si>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</si>
  <si>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</si>
  <si>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</si>
  <si>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</si>
  <si>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</si>
  <si>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</si>
  <si>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</si>
  <si>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</si>
  <si>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</si>
  <si>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</si>
  <si>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</si>
  <si>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</si>
  <si>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</si>
  <si>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</si>
  <si>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</si>
  <si>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</si>
  <si>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</si>
  <si>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</si>
  <si>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</si>
  <si>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</si>
  <si>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</si>
  <si>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</si>
  <si>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</si>
  <si>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</si>
  <si>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</si>
  <si>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</si>
  <si>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</si>
  <si>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办公出租</t>
  </si>
  <si>
    <t>办公自用</t>
  </si>
  <si>
    <t>收益法商租</t>
  </si>
  <si>
    <t>收益法商自</t>
  </si>
  <si>
    <t>收益法商自</t>
    <phoneticPr fontId="16" type="noConversion"/>
  </si>
  <si>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</si>
  <si>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</si>
  <si>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</si>
  <si>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</si>
  <si>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</si>
  <si>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</si>
  <si>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</si>
  <si>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</si>
  <si>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</si>
  <si>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</si>
  <si>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</si>
  <si>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t>成本法</t>
  </si>
  <si>
    <r>
      <rPr>
        <sz val="10"/>
        <color rgb="FFFF0000"/>
        <rFont val="宋体"/>
        <family val="3"/>
        <charset val="134"/>
      </rPr>
      <t>企业提供（在右侧录入）</t>
    </r>
  </si>
  <si>
    <t>出租部分正常租金</t>
    <phoneticPr fontId="260" type="noConversion"/>
  </si>
  <si>
    <t>未出租部分正常租金</t>
    <phoneticPr fontId="260"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</si>
  <si>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号楼商业用房房地产</t>
    </r>
    <phoneticPr fontId="143" type="noConversion"/>
  </si>
  <si>
    <t>建筑物价值</t>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</si>
  <si>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号楼商业（办公）房房地产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</si>
  <si>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号楼地下车库用房房地产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</si>
  <si>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号楼商业（酒店）房房地产</t>
    </r>
    <r>
      <rPr>
        <sz val="11"/>
        <color indexed="8"/>
        <rFont val="宋体"/>
        <family val="3"/>
        <charset val="134"/>
      </rPr>
      <t/>
    </r>
    <phoneticPr fontId="143" type="noConversion"/>
  </si>
  <si>
    <t>1号楼合计</t>
    <phoneticPr fontId="143" type="noConversion"/>
  </si>
  <si>
    <t>2号楼合计</t>
    <phoneticPr fontId="143" type="noConversion"/>
  </si>
  <si>
    <t>3号楼合计</t>
    <phoneticPr fontId="143" type="noConversion"/>
  </si>
  <si>
    <t>商业1号楼</t>
    <phoneticPr fontId="260" type="noConversion"/>
  </si>
  <si>
    <t>商业2号楼</t>
    <phoneticPr fontId="260" type="noConversion"/>
  </si>
  <si>
    <t>商业3号楼</t>
    <phoneticPr fontId="260" type="noConversion"/>
  </si>
  <si>
    <t>商业1号楼出租</t>
  </si>
  <si>
    <t>商业2号楼自用</t>
  </si>
  <si>
    <t>商业3号楼出租</t>
  </si>
  <si>
    <t>商业3号楼出租</t>
    <phoneticPr fontId="3" type="noConversion"/>
  </si>
  <si>
    <t>商业3号楼自用</t>
  </si>
  <si>
    <t>商业3号楼自用</t>
    <phoneticPr fontId="3" type="noConversion"/>
  </si>
  <si>
    <t>商业1号楼出租</t>
    <phoneticPr fontId="3" type="noConversion"/>
  </si>
  <si>
    <t>商业2号楼自用</t>
    <phoneticPr fontId="3" type="noConversion"/>
  </si>
  <si>
    <t>收益法1号楼</t>
  </si>
  <si>
    <t>收益法2号楼</t>
  </si>
  <si>
    <t>收益法2号楼</t>
    <phoneticPr fontId="16" type="noConversion"/>
  </si>
  <si>
    <t>3号楼建筑面积</t>
  </si>
  <si>
    <t>剩余建筑面积</t>
  </si>
  <si>
    <t>剩余租期</t>
  </si>
  <si>
    <t>租赁比例</t>
  </si>
  <si>
    <t>正常租金</t>
  </si>
  <si>
    <t>出租部分正常租金</t>
  </si>
  <si>
    <t>未出租部分正常租金</t>
  </si>
  <si>
    <t>业态</t>
  </si>
  <si>
    <t>商铺位置</t>
  </si>
  <si>
    <t>商户名称</t>
  </si>
  <si>
    <t>租赁时间</t>
  </si>
  <si>
    <t>面积/㎡</t>
  </si>
  <si>
    <t>月总租金</t>
  </si>
  <si>
    <t>年租金</t>
  </si>
  <si>
    <t>楼层</t>
  </si>
  <si>
    <t>单价（租+物）</t>
  </si>
  <si>
    <t>90</t>
  </si>
  <si>
    <t>餐饮</t>
  </si>
  <si>
    <t>401内D409-1</t>
  </si>
  <si>
    <t>很久以前</t>
  </si>
  <si>
    <t>2019.7.18-2024.7.17</t>
  </si>
  <si>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号楼商业用房房地产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</si>
  <si>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2</t>
    </r>
    <r>
      <rPr>
        <sz val="11"/>
        <color indexed="8"/>
        <rFont val="宋体"/>
        <family val="3"/>
        <charset val="134"/>
      </rPr>
      <t>号楼商业用房房地产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</si>
  <si>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3</t>
    </r>
    <r>
      <rPr>
        <sz val="11"/>
        <color indexed="8"/>
        <rFont val="宋体"/>
        <family val="3"/>
        <charset val="134"/>
      </rPr>
      <t>号楼商业用房房地产</t>
    </r>
    <phoneticPr fontId="143" type="noConversion"/>
  </si>
  <si>
    <r>
      <rPr>
        <sz val="11"/>
        <color indexed="8"/>
        <rFont val="宋体"/>
        <family val="3"/>
        <charset val="134"/>
      </rPr>
      <t>收益法价值</t>
    </r>
    <phoneticPr fontId="143" type="noConversion"/>
  </si>
  <si>
    <t>商业1、2、3楼价值</t>
    <phoneticPr fontId="143" type="noConversion"/>
  </si>
  <si>
    <t>酒店1号楼</t>
    <phoneticPr fontId="260" type="noConversion"/>
  </si>
  <si>
    <t>办公2号楼</t>
    <phoneticPr fontId="260" type="noConversion"/>
  </si>
  <si>
    <t>地下车库1号楼</t>
    <phoneticPr fontId="260" type="noConversion"/>
  </si>
  <si>
    <t>地下车库3号楼</t>
    <phoneticPr fontId="260" type="noConversion"/>
  </si>
  <si>
    <t>地下车库1、3楼价值</t>
    <phoneticPr fontId="143" type="noConversion"/>
  </si>
  <si>
    <t>1、2、3号楼价值</t>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</si>
  <si>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号楼</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</si>
  <si>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2</t>
    </r>
    <r>
      <rPr>
        <sz val="11"/>
        <color indexed="8"/>
        <rFont val="宋体"/>
        <family val="3"/>
        <charset val="134"/>
      </rPr>
      <t>号楼</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</si>
  <si>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3</t>
    </r>
    <r>
      <rPr>
        <sz val="11"/>
        <color indexed="8"/>
        <rFont val="宋体"/>
        <family val="3"/>
        <charset val="134"/>
      </rPr>
      <t>号楼</t>
    </r>
    <phoneticPr fontId="143" type="noConversion"/>
  </si>
  <si>
    <t>土地取得费用</t>
    <phoneticPr fontId="8" type="noConversion"/>
  </si>
  <si>
    <r>
      <t>1</t>
    </r>
    <r>
      <rPr>
        <sz val="11"/>
        <color theme="1"/>
        <rFont val="宋体"/>
        <family val="2"/>
        <charset val="134"/>
      </rPr>
      <t>号楼</t>
    </r>
    <phoneticPr fontId="8" type="noConversion"/>
  </si>
  <si>
    <r>
      <t>2</t>
    </r>
    <r>
      <rPr>
        <sz val="11"/>
        <color theme="1"/>
        <rFont val="宋体"/>
        <family val="2"/>
        <charset val="134"/>
      </rPr>
      <t>号楼</t>
    </r>
    <phoneticPr fontId="8" type="noConversion"/>
  </si>
  <si>
    <r>
      <t>3</t>
    </r>
    <r>
      <rPr>
        <sz val="11"/>
        <color theme="1"/>
        <rFont val="宋体"/>
        <family val="2"/>
        <charset val="134"/>
      </rPr>
      <t>号楼</t>
    </r>
    <phoneticPr fontId="8" type="noConversion"/>
  </si>
  <si>
    <t>建筑面积</t>
    <phoneticPr fontId="8" type="noConversion"/>
  </si>
  <si>
    <t>合计</t>
    <phoneticPr fontId="8" type="noConversion"/>
  </si>
  <si>
    <t>建造成本</t>
    <phoneticPr fontId="8" type="noConversion"/>
  </si>
  <si>
    <t>土地取得成本</t>
    <phoneticPr fontId="8" type="noConversion"/>
  </si>
  <si>
    <t>净值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</si>
</sst>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
      <sz val="11"/>
      <color theme="1"/>
      <name val="宋体"/>
      <family val="2"/>
      <charset val="134"/>
      <scheme val="minor"/>
    </font>
    <font>
      <sz val="11"/>
      <color theme="1"/>
      <name val="宋体"/>
      <family val="2"/>
      <charset val="134"/>
    </font>
    <font>
      <u/>
      <sz val="12"/>
      <color indexed="12"/>
      <name val="宋体"/>
      <family val="3"/>
      <charset val="134"/>
    </font>
    <font>
      <sz val="11"/>
      <color indexed="8"/>
      <name val="Arial"/>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xf numFmtId="43" fontId="37" fillId="0" borderId="0" applyFont="0" applyFill="0" applyBorder="0" applyAlignment="0" applyProtection="0"/>
    <xf numFmtId="0" fontId="37" fillId="0" borderId="0"/>
    <xf numFmtId="0" fontId="37" fillId="0" borderId="0"/>
    <xf numFmtId="0" fontId="267" fillId="0" borderId="0">
      <alignment vertical="center"/>
    </xf>
    <xf numFmtId="43" fontId="37" fillId="0" borderId="0" applyFont="0" applyFill="0" applyBorder="0" applyAlignment="0" applyProtection="0"/>
    <xf numFmtId="0" fontId="56" fillId="0" borderId="0"/>
    <xf numFmtId="0" fontId="56" fillId="0" borderId="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99" fillId="0" borderId="0">
      <alignment vertical="center"/>
    </xf>
    <xf numFmtId="0" fontId="37" fillId="0" borderId="0"/>
    <xf numFmtId="0" fontId="37" fillId="0" borderId="0"/>
    <xf numFmtId="0" fontId="99" fillId="0" borderId="0">
      <alignment vertical="center"/>
    </xf>
    <xf numFmtId="0" fontId="37" fillId="0" borderId="0"/>
    <xf numFmtId="0" fontId="37" fillId="0" borderId="0"/>
    <xf numFmtId="0" fontId="56" fillId="0" borderId="0"/>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99" fillId="0" borderId="0">
      <alignment vertical="center"/>
    </xf>
    <xf numFmtId="0" fontId="37" fillId="0" borderId="0"/>
    <xf numFmtId="0" fontId="37" fillId="0" borderId="0"/>
    <xf numFmtId="0" fontId="99" fillId="0" borderId="0">
      <alignment vertical="center"/>
    </xf>
    <xf numFmtId="0" fontId="37" fillId="0" borderId="0"/>
    <xf numFmtId="0" fontId="37" fillId="0" borderId="0"/>
    <xf numFmtId="0" fontId="99" fillId="0" borderId="0">
      <alignment vertical="center"/>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37" fillId="0" borderId="0"/>
    <xf numFmtId="0" fontId="99" fillId="0" borderId="0">
      <alignment vertical="center"/>
    </xf>
    <xf numFmtId="0" fontId="37" fillId="0" borderId="0"/>
    <xf numFmtId="0" fontId="99" fillId="0" borderId="0">
      <alignment vertical="center"/>
    </xf>
    <xf numFmtId="0" fontId="37" fillId="0" borderId="0"/>
    <xf numFmtId="0" fontId="99" fillId="0" borderId="0">
      <alignment vertical="center"/>
    </xf>
    <xf numFmtId="0" fontId="37" fillId="0" borderId="0"/>
    <xf numFmtId="0" fontId="37" fillId="0" borderId="0"/>
    <xf numFmtId="0" fontId="99" fillId="0" borderId="0">
      <alignment vertical="center"/>
    </xf>
    <xf numFmtId="0" fontId="37" fillId="0" borderId="0"/>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43" fontId="19" fillId="0" borderId="1" xfId="0" applyNumberFormat="1" applyFont="1" applyFill="1" applyBorder="1" applyAlignment="1"/>
    <xf numFmtId="176"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176" fontId="106" fillId="5" borderId="23" xfId="0" applyNumberFormat="1" applyFont="1" applyFill="1" applyBorder="1" applyAlignment="1" applyProtection="1">
      <alignment vertical="center"/>
      <protection locked="0"/>
    </xf>
    <xf numFmtId="176" fontId="106" fillId="5" borderId="3" xfId="0" applyNumberFormat="1" applyFont="1" applyFill="1" applyBorder="1" applyAlignment="1" applyProtection="1">
      <alignment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9" fillId="5" borderId="1" xfId="0" applyFont="1" applyFill="1" applyBorder="1" applyAlignment="1">
      <alignment horizontal="left"/>
    </xf>
    <xf numFmtId="49" fontId="19" fillId="5" borderId="1" xfId="0" applyNumberFormat="1" applyFont="1" applyFill="1" applyBorder="1" applyAlignment="1">
      <alignment horizontal="left"/>
    </xf>
    <xf numFmtId="0" fontId="19" fillId="5" borderId="0" xfId="0" applyFont="1" applyFill="1" applyAlignment="1">
      <alignment horizontal="left"/>
    </xf>
    <xf numFmtId="0" fontId="47" fillId="6" borderId="1" xfId="0" applyFont="1" applyFill="1" applyBorder="1" applyAlignment="1" applyProtection="1">
      <alignment horizontal="center" vertical="center" wrapText="1"/>
    </xf>
    <xf numFmtId="49" fontId="119" fillId="0" borderId="1" xfId="23" applyNumberFormat="1" applyFont="1" applyFill="1" applyBorder="1" applyAlignment="1">
      <alignment horizontal="right" vertical="center"/>
    </xf>
    <xf numFmtId="0" fontId="37" fillId="0" borderId="0" xfId="4"/>
    <xf numFmtId="0" fontId="19" fillId="0" borderId="0" xfId="4" applyFont="1" applyFill="1" applyAlignment="1">
      <alignment horizontal="center" vertical="center"/>
    </xf>
    <xf numFmtId="0" fontId="19" fillId="0" borderId="1" xfId="4" applyFont="1" applyFill="1" applyBorder="1" applyAlignment="1"/>
    <xf numFmtId="0" fontId="19" fillId="0" borderId="0" xfId="4" applyFont="1" applyFill="1" applyAlignment="1">
      <alignment horizontal="left"/>
    </xf>
    <xf numFmtId="177" fontId="19" fillId="0" borderId="1" xfId="4" applyNumberFormat="1" applyFont="1" applyFill="1" applyBorder="1" applyAlignment="1"/>
    <xf numFmtId="176" fontId="19" fillId="0" borderId="1" xfId="4" applyNumberFormat="1" applyFont="1" applyFill="1" applyBorder="1" applyAlignment="1"/>
    <xf numFmtId="2" fontId="19" fillId="0" borderId="1" xfId="4" applyNumberFormat="1" applyFont="1" applyFill="1" applyBorder="1" applyAlignment="1"/>
    <xf numFmtId="0" fontId="119" fillId="0" borderId="1" xfId="28" applyFont="1" applyFill="1" applyBorder="1" applyAlignment="1">
      <alignment horizontal="center" vertical="center" wrapText="1" shrinkToFit="1"/>
    </xf>
    <xf numFmtId="49" fontId="119" fillId="0" borderId="1" xfId="28" applyNumberFormat="1" applyFont="1" applyFill="1" applyBorder="1" applyAlignment="1">
      <alignment horizontal="left" vertical="center" shrinkToFit="1"/>
    </xf>
    <xf numFmtId="0" fontId="119" fillId="0" borderId="1" xfId="28" applyFont="1" applyFill="1" applyBorder="1" applyAlignment="1">
      <alignment vertical="center" wrapText="1" shrinkToFit="1"/>
    </xf>
    <xf numFmtId="49" fontId="119" fillId="0" borderId="1" xfId="28" applyNumberFormat="1" applyFont="1" applyFill="1" applyBorder="1" applyAlignment="1">
      <alignment horizontal="center" vertical="center" wrapText="1"/>
    </xf>
    <xf numFmtId="0" fontId="47" fillId="6" borderId="15" xfId="0" applyFont="1" applyFill="1" applyBorder="1" applyAlignment="1" applyProtection="1">
      <alignment horizontal="center" vertical="center" wrapText="1"/>
    </xf>
    <xf numFmtId="49" fontId="119" fillId="0" borderId="1" xfId="28" applyNumberFormat="1" applyFont="1" applyFill="1" applyBorder="1" applyAlignment="1">
      <alignment horizontal="center" vertical="center" shrinkToFit="1"/>
    </xf>
    <xf numFmtId="0" fontId="99" fillId="0" borderId="0" xfId="0" applyFont="1">
      <alignment vertical="center"/>
    </xf>
    <xf numFmtId="0" fontId="19" fillId="5" borderId="1" xfId="4" applyFont="1" applyFill="1" applyBorder="1" applyAlignment="1"/>
    <xf numFmtId="43" fontId="119" fillId="0" borderId="1" xfId="23" applyFont="1" applyFill="1" applyBorder="1" applyAlignment="1">
      <alignment horizontal="right" vertical="center"/>
    </xf>
    <xf numFmtId="0" fontId="104" fillId="7" borderId="1" xfId="0" applyFont="1" applyFill="1" applyBorder="1" applyProtection="1">
      <alignment vertical="center"/>
      <protection locked="0"/>
    </xf>
    <xf numFmtId="0" fontId="270" fillId="6" borderId="1" xfId="0" applyFont="1" applyFill="1" applyBorder="1" applyAlignment="1" applyProtection="1">
      <alignment horizontal="center" vertical="center" wrapText="1"/>
      <protection locked="0"/>
    </xf>
    <xf numFmtId="0" fontId="268" fillId="7" borderId="0" xfId="0" applyFont="1" applyFill="1" applyProtection="1">
      <alignment vertical="center"/>
      <protection locked="0"/>
    </xf>
    <xf numFmtId="177" fontId="119" fillId="5" borderId="5" xfId="23" applyNumberFormat="1" applyFont="1" applyFill="1" applyBorder="1" applyAlignment="1">
      <alignment horizontal="right" vertical="center"/>
    </xf>
    <xf numFmtId="0" fontId="268" fillId="7" borderId="1" xfId="0" applyFont="1" applyFill="1" applyBorder="1" applyProtection="1">
      <alignment vertical="center"/>
      <protection locked="0"/>
    </xf>
    <xf numFmtId="0" fontId="130" fillId="0" borderId="0" xfId="0" applyFont="1" applyFill="1" applyAlignment="1">
      <alignment horizontal="left"/>
    </xf>
    <xf numFmtId="198" fontId="119" fillId="0" borderId="1" xfId="23" applyNumberFormat="1" applyFont="1" applyFill="1" applyBorder="1" applyAlignment="1">
      <alignment horizontal="right" vertical="center"/>
    </xf>
    <xf numFmtId="0" fontId="84" fillId="0" borderId="1" xfId="28" applyFont="1" applyFill="1" applyBorder="1" applyAlignment="1">
      <alignment horizontal="center" vertical="center" shrinkToFit="1"/>
    </xf>
    <xf numFmtId="177" fontId="84" fillId="0" borderId="1" xfId="28" applyNumberFormat="1" applyFont="1" applyFill="1" applyBorder="1" applyAlignment="1">
      <alignment horizontal="center" vertical="center" shrinkToFit="1"/>
    </xf>
    <xf numFmtId="43" fontId="84" fillId="0" borderId="1" xfId="23" applyFont="1" applyFill="1" applyBorder="1" applyAlignment="1">
      <alignment horizontal="center" vertical="center" shrinkToFit="1"/>
    </xf>
    <xf numFmtId="49" fontId="84" fillId="0" borderId="1" xfId="23" applyNumberFormat="1" applyFont="1" applyFill="1" applyBorder="1" applyAlignment="1">
      <alignment horizontal="center" vertical="center" shrinkToFit="1"/>
    </xf>
    <xf numFmtId="0" fontId="84" fillId="0" borderId="1" xfId="28" applyFont="1" applyFill="1" applyBorder="1" applyAlignment="1">
      <alignment vertical="center" shrinkToFit="1"/>
    </xf>
    <xf numFmtId="0" fontId="84" fillId="0" borderId="1" xfId="28" applyFont="1" applyFill="1" applyBorder="1" applyAlignment="1">
      <alignment horizontal="left" vertical="center" wrapText="1" shrinkToFit="1"/>
    </xf>
    <xf numFmtId="0" fontId="84" fillId="0" borderId="1" xfId="28" applyFont="1" applyFill="1" applyBorder="1" applyAlignment="1">
      <alignment horizontal="center" vertical="center" wrapText="1" shrinkToFit="1"/>
    </xf>
    <xf numFmtId="49" fontId="84" fillId="0" borderId="1" xfId="28" applyNumberFormat="1" applyFont="1" applyFill="1" applyBorder="1" applyAlignment="1">
      <alignment horizontal="center" vertical="center" wrapText="1" shrinkToFi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37" fillId="5" borderId="1"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7"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4">
    <cellStyle name=" 3]_x000d__x000a_Zoomed=1_x000d__x000a_Row=0_x000d__x000a_Column=0_x000d__x000a_Height=300_x000d__x000a_Width=300_x000d__x000a_FontName=細明體_x000d__x000a_FontStyle=0_x000d__x000a_FontSize=9_x000d__x000a_PrtFontName=Co" xfId="25" xr:uid="{DC4A283C-650F-4491-B893-1F3C3FCC1324}"/>
    <cellStyle name=" 3]_x000d__x000a_Zoomed=1_x000d__x000a_Row=0_x000d__x000a_Column=0_x000d__x000a_Height=300_x000d__x000a_Width=300_x000d__x000a_FontName=細明體_x000d__x000a_FontStyle=0_x000d__x000a_FontSize=9_x000d__x000a_PrtFontName=Co 2" xfId="26" xr:uid="{2F330CDF-40BE-458F-A010-9135A86F048C}"/>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xfId="28" xr:uid="{B4C75EA9-9587-46DC-BAE4-9B4C3DE0CFF9}"/>
    <cellStyle name="常规 2 2 2 2" xfId="71" xr:uid="{76BBF351-4273-4196-8BB7-965FBA2420BD}"/>
    <cellStyle name="常规 2 2 2 2 3" xfId="15" xr:uid="{00000000-0005-0000-0000-000006000000}"/>
    <cellStyle name="常规 2 2 2 3" xfId="115" xr:uid="{6C71A616-3F37-4070-AACA-5ECBDD5E2013}"/>
    <cellStyle name="常规 2 2 3" xfId="29" xr:uid="{2C34871E-2DA7-41FB-9A88-FC9A036C89D4}"/>
    <cellStyle name="常规 2 2 3 2" xfId="72" xr:uid="{07BA12E1-4018-4392-8C01-B4D8A03AD25D}"/>
    <cellStyle name="常规 2 2 3 3" xfId="116" xr:uid="{D0315E30-53AA-46D9-B9B9-C2038B104DDD}"/>
    <cellStyle name="常规 2 2 4" xfId="70" xr:uid="{4D149062-2D40-4AF2-B0AD-19BC53EE9140}"/>
    <cellStyle name="常规 2 2 5" xfId="117" xr:uid="{D3B6098D-EDDD-43AD-8B48-0044DFD7E744}"/>
    <cellStyle name="常规 2 2 6" xfId="27" xr:uid="{0F80F2CA-ACA3-4CF6-8150-EE71D8272776}"/>
    <cellStyle name="常规 2 3" xfId="30" xr:uid="{4DBE82BA-278E-4F6E-A37C-6CA4413575D2}"/>
    <cellStyle name="常规 2 3 2" xfId="31" xr:uid="{339EF6AA-3797-4A8F-9DF6-CA960A0CC21D}"/>
    <cellStyle name="常规 2 3 2 2" xfId="74" xr:uid="{4447435E-C2BE-4A8D-8379-ED5FE04A2EDD}"/>
    <cellStyle name="常规 2 3 2 3" xfId="118" xr:uid="{4C98D0CA-3071-4AFB-B8AF-F2F8929BC896}"/>
    <cellStyle name="常规 2 3 3" xfId="32" xr:uid="{EC710180-9888-4D61-A307-6D232FBCCDC4}"/>
    <cellStyle name="常规 2 3 3 2" xfId="75" xr:uid="{D17921BD-B0B7-4778-A146-B6D410EF93E2}"/>
    <cellStyle name="常规 2 3 3 3" xfId="119" xr:uid="{999B9BA4-4008-4BC5-B3A9-A3934A12912C}"/>
    <cellStyle name="常规 2 3 4" xfId="73" xr:uid="{9119A7A4-46ED-4C1C-AA73-819E953C9524}"/>
    <cellStyle name="常规 2 3 5" xfId="120" xr:uid="{9371FFDA-2D2D-4E81-BD6F-D8C6FCF96EC5}"/>
    <cellStyle name="常规 2 4" xfId="33" xr:uid="{FE985EC1-1D5F-4B21-8CD6-CCE9CE2AF4C8}"/>
    <cellStyle name="常规 2 4 2" xfId="76" xr:uid="{0E3B60C8-423E-4300-89D7-428C456A0037}"/>
    <cellStyle name="常规 2 4 3" xfId="121" xr:uid="{7AFB9CC4-DBAF-41A0-8169-0921F23EA52C}"/>
    <cellStyle name="常规 2 5" xfId="69" xr:uid="{284E7E83-AF81-4FAD-88E1-D17924B17FF5}"/>
    <cellStyle name="常规 2 6" xfId="122" xr:uid="{BB0CA438-3444-457C-9AA9-A2D49A9514C3}"/>
    <cellStyle name="常规 2 7" xfId="20" xr:uid="{13182F59-66C3-48A6-A88C-61EEB3B02CE3}"/>
    <cellStyle name="常规 3" xfId="2" xr:uid="{00000000-0005-0000-0000-000007000000}"/>
    <cellStyle name="常规 3 2" xfId="3" xr:uid="{00000000-0005-0000-0000-000008000000}"/>
    <cellStyle name="常规 3 2 2" xfId="35" xr:uid="{DF90DCFF-914F-4AA9-909D-D603AEE22734}"/>
    <cellStyle name="常规 3 2 2 2" xfId="79" xr:uid="{8BB4530E-D0BB-40E7-BF32-2316BE23761D}"/>
    <cellStyle name="常规 3 2 2 3" xfId="123" xr:uid="{E7B3B2F5-37C8-4EB5-BEF4-40E247E174D1}"/>
    <cellStyle name="常规 3 2 3" xfId="36" xr:uid="{46CB81F0-1535-4A12-A25E-7AB0D5764733}"/>
    <cellStyle name="常规 3 2 3 2" xfId="80" xr:uid="{722BFD7D-2F15-4E59-A235-4E141426F19F}"/>
    <cellStyle name="常规 3 2 3 3" xfId="124" xr:uid="{FCF8F9B7-E660-4322-B986-727AF0381EC1}"/>
    <cellStyle name="常规 3 2 4" xfId="78" xr:uid="{D9E56258-9DD4-40F6-82CC-5E2DEF89DB0D}"/>
    <cellStyle name="常规 3 2 5" xfId="125" xr:uid="{5C4C6FD3-386F-46CA-AF83-B77E78885A00}"/>
    <cellStyle name="常规 3 2 6" xfId="34" xr:uid="{6A9ABC48-C179-44D7-8930-1E3F4267AA37}"/>
    <cellStyle name="常规 3 3" xfId="37" xr:uid="{1FB864D1-1F03-4FD7-8C49-941D56AF6BC5}"/>
    <cellStyle name="常规 3 3 2" xfId="38" xr:uid="{EDEBA75B-31F6-467E-83B7-1FCBD32DC10D}"/>
    <cellStyle name="常规 3 3 2 2" xfId="82" xr:uid="{48682C99-059D-452A-A2E2-39EDD6A1B4F5}"/>
    <cellStyle name="常规 3 3 2 3" xfId="126" xr:uid="{FE6D4C01-C672-4849-8F81-DDDC3161FF0D}"/>
    <cellStyle name="常规 3 3 3" xfId="39" xr:uid="{F581DF46-2507-44DF-AEB7-DBCEF24B347F}"/>
    <cellStyle name="常规 3 3 3 2" xfId="83" xr:uid="{FC38E860-B3F1-4A89-8133-9D75B19C4A63}"/>
    <cellStyle name="常规 3 3 3 3" xfId="127" xr:uid="{16586349-5CAE-49CF-853D-E20E39993220}"/>
    <cellStyle name="常规 3 3 4" xfId="81" xr:uid="{46C2AFD9-5A44-4CD4-B966-CA515C334155}"/>
    <cellStyle name="常规 3 3 5" xfId="128" xr:uid="{61E87FBF-2B20-4245-A477-33B759E0F18A}"/>
    <cellStyle name="常规 3 4" xfId="40" xr:uid="{63B4EEB5-8EC2-4AB5-BD67-660E4C14C676}"/>
    <cellStyle name="常规 3 4 2" xfId="84" xr:uid="{A78E78C0-9BC8-4185-AFE6-28670276BE04}"/>
    <cellStyle name="常规 3 4 3" xfId="129" xr:uid="{B75B0955-E4E7-46E1-82D8-FEAB032DE8E5}"/>
    <cellStyle name="常规 3 5" xfId="77" xr:uid="{B0135EFB-D8CA-44F0-9844-BF98E9D47505}"/>
    <cellStyle name="常规 3 6" xfId="130" xr:uid="{2BDBD6F8-CE91-4343-98EF-F3A6CEF4B121}"/>
    <cellStyle name="常规 3 7" xfId="21" xr:uid="{42767F7B-4054-45FE-95CA-DEF01FB4D96F}"/>
    <cellStyle name="常规 4" xfId="4" xr:uid="{00000000-0005-0000-0000-000009000000}"/>
    <cellStyle name="常规 4 2" xfId="41" xr:uid="{886F76C2-B157-4E6F-8507-808F73780ABB}"/>
    <cellStyle name="常规 4 2 2" xfId="42" xr:uid="{0FCDE9D5-854C-4FDF-B269-5C9CDEC935A9}"/>
    <cellStyle name="常规 4 2 2 2" xfId="87" xr:uid="{4767FB9E-1F16-41DA-8C56-750AC130A6E5}"/>
    <cellStyle name="常规 4 2 2 3" xfId="131" xr:uid="{B0A43C06-59C4-4019-A376-9C6AA8F23BA6}"/>
    <cellStyle name="常规 4 2 3" xfId="43" xr:uid="{6F90E70B-A062-4FFA-854B-6D9F7613CECB}"/>
    <cellStyle name="常规 4 2 3 2" xfId="88" xr:uid="{A097B94B-1D22-49EF-9117-6C6D84032B96}"/>
    <cellStyle name="常规 4 2 3 3" xfId="132" xr:uid="{E68D317F-ADE5-4E24-8D20-CC4C7E165898}"/>
    <cellStyle name="常规 4 2 4" xfId="86" xr:uid="{306B0F0D-B3D0-4B46-8A0A-4C77DE280CD1}"/>
    <cellStyle name="常规 4 2 5" xfId="133" xr:uid="{2A474048-7FAC-4045-975D-C05C409A1EAB}"/>
    <cellStyle name="常规 4 3" xfId="44" xr:uid="{5107A3AF-6089-4FBE-8469-DA095E254BD5}"/>
    <cellStyle name="常规 4 3 2" xfId="89" xr:uid="{F8E13E59-016E-439E-B7C5-98D5BE0DA184}"/>
    <cellStyle name="常规 4 3 3" xfId="134" xr:uid="{6A7BD1E9-5EE5-42EC-8D1A-9976C4D55E4A}"/>
    <cellStyle name="常规 4 4" xfId="85" xr:uid="{A088D7FE-D5A7-4151-9236-914560678321}"/>
    <cellStyle name="常规 4 5" xfId="135" xr:uid="{A7004CDC-1965-45C1-94CF-617094EC8DB4}"/>
    <cellStyle name="常规 5" xfId="5" xr:uid="{00000000-0005-0000-0000-00000A000000}"/>
    <cellStyle name="常规 5 2" xfId="46" xr:uid="{269077E1-5E66-4691-8F59-89343C712F68}"/>
    <cellStyle name="常规 5 2 2" xfId="47" xr:uid="{CF8CBD2C-B831-4328-9354-5A9E151CB22A}"/>
    <cellStyle name="常规 5 2 2 2" xfId="92" xr:uid="{0DB41222-8F03-492A-BF99-508C5E3DB989}"/>
    <cellStyle name="常规 5 2 2 3" xfId="136" xr:uid="{EEA147DA-C92C-4CCC-90D2-F98DE8C59514}"/>
    <cellStyle name="常规 5 2 3" xfId="48" xr:uid="{1FD802AC-058B-4249-B2F0-7316E513F441}"/>
    <cellStyle name="常规 5 2 3 2" xfId="93" xr:uid="{4A5D795F-1804-40F1-95D0-57D45370C000}"/>
    <cellStyle name="常规 5 2 3 3" xfId="137" xr:uid="{545A7410-E0DF-4140-9194-4C168F64D70E}"/>
    <cellStyle name="常规 5 2 4" xfId="91" xr:uid="{CEFED034-75DC-47CF-ADFE-BC2A02455721}"/>
    <cellStyle name="常规 5 2 5" xfId="138" xr:uid="{04FFB86A-5F88-435C-862B-688CF35F525D}"/>
    <cellStyle name="常规 5 3" xfId="49" xr:uid="{9BEE3F07-6E56-40E8-95DA-65222C4ADCB7}"/>
    <cellStyle name="常规 5 3 2" xfId="94" xr:uid="{2FF34D93-2548-4AAD-9A38-383CD3E91244}"/>
    <cellStyle name="常规 5 3 3" xfId="139" xr:uid="{57A46E87-0EF6-4DC7-83A2-4CEE6314E46A}"/>
    <cellStyle name="常规 5 4" xfId="50" xr:uid="{26352471-8F03-4DE2-AF87-7272B8807100}"/>
    <cellStyle name="常规 5 4 2" xfId="95" xr:uid="{669E6209-B450-42CC-A970-AED6049B8B25}"/>
    <cellStyle name="常规 5 4 3" xfId="140" xr:uid="{1CD4B167-CF01-4D50-81C8-1B8D7F33F0FB}"/>
    <cellStyle name="常规 5 5" xfId="45" xr:uid="{4856AB0D-56D6-4979-9CBE-02DDDEEAEADA}"/>
    <cellStyle name="常规 5 5 2" xfId="141" xr:uid="{FB2C4841-19F9-48F3-9D9B-FF5B42803736}"/>
    <cellStyle name="常规 5 6" xfId="90" xr:uid="{0707588F-9FBD-44EA-9BF8-B2155E545521}"/>
    <cellStyle name="常规 5 7" xfId="142" xr:uid="{C5DADC57-9E33-4979-BDA5-4DD16D10E8F7}"/>
    <cellStyle name="常规 5 8" xfId="22" xr:uid="{3BA0B712-FE01-4075-BDE2-B8E47CB461CA}"/>
    <cellStyle name="常规 6" xfId="6" xr:uid="{00000000-0005-0000-0000-00000B000000}"/>
    <cellStyle name="常规 6 2" xfId="9" xr:uid="{00000000-0005-0000-0000-00000C000000}"/>
    <cellStyle name="常规 6 2 2" xfId="16" xr:uid="{00000000-0005-0000-0000-00000D000000}"/>
    <cellStyle name="常规 6 2 2 2" xfId="97" xr:uid="{319FF726-10CA-4B14-B65B-77D7C6440B16}"/>
    <cellStyle name="常规 6 2 3" xfId="13" xr:uid="{00000000-0005-0000-0000-00000E000000}"/>
    <cellStyle name="常规 6 2 3 2" xfId="143" xr:uid="{5F4CE682-9A17-4CBB-B32F-78F749C33424}"/>
    <cellStyle name="常规 6 2 4" xfId="52" xr:uid="{4BA61969-AAFD-4E63-BD54-2B5F83F1F2DB}"/>
    <cellStyle name="常规 6 3" xfId="53" xr:uid="{A19C1190-8E52-4BEA-A0C5-4403272C5250}"/>
    <cellStyle name="常规 6 4" xfId="96" xr:uid="{9254943F-404A-4571-9D2B-C56F6F763EE3}"/>
    <cellStyle name="常规 6 5" xfId="144" xr:uid="{3CF6FB5C-A36D-43FD-AF66-843668E5C377}"/>
    <cellStyle name="常规 6 6" xfId="51" xr:uid="{D8BFA1FA-971D-473B-8875-497810E91C7D}"/>
    <cellStyle name="常规 7" xfId="7" xr:uid="{00000000-0005-0000-0000-00000F000000}"/>
    <cellStyle name="常规 7 2" xfId="98" xr:uid="{4CC5B370-82E6-437A-B22C-946BC235D133}"/>
    <cellStyle name="常规 7 3" xfId="145" xr:uid="{AE2B6180-55C3-43CC-9898-9226C070E1E5}"/>
    <cellStyle name="常规 8" xfId="11" xr:uid="{00000000-0005-0000-0000-000010000000}"/>
    <cellStyle name="常规 8 2" xfId="24" xr:uid="{41FAB606-BF0D-4657-A3F0-EC4BA8BFA256}"/>
    <cellStyle name="常规 9" xfId="12" xr:uid="{00000000-0005-0000-0000-000011000000}"/>
    <cellStyle name="常规 9 2" xfId="146" xr:uid="{50E12E3B-1875-4E76-AB15-9696517B1B23}"/>
    <cellStyle name="常规_Sheet1" xfId="18" xr:uid="{00000000-0005-0000-0000-000012000000}"/>
    <cellStyle name="超链接 2" xfId="54" xr:uid="{D54A14FF-E53D-4660-A1AE-F729C3331D24}"/>
    <cellStyle name="超链接 2 2" xfId="55" xr:uid="{9D98A92D-DF83-4C49-990B-748AD93901E9}"/>
    <cellStyle name="超链接 2 2 2" xfId="101" xr:uid="{B34984D1-2A06-46AB-924D-C2319290491F}"/>
    <cellStyle name="超链接 2 2 3" xfId="147" xr:uid="{76AFB776-33D6-402E-A192-746BB7E0093E}"/>
    <cellStyle name="超链接 2 3" xfId="56" xr:uid="{78C32939-2C38-4728-B036-8F7559038935}"/>
    <cellStyle name="超链接 2 3 2" xfId="102" xr:uid="{7445F2D9-D96D-4090-9E5A-D565D8E89900}"/>
    <cellStyle name="超链接 2 3 3" xfId="148" xr:uid="{788B2281-8E57-4114-A6FF-29D472D534E8}"/>
    <cellStyle name="超链接 2 4" xfId="100" xr:uid="{73FF2EE0-0EF6-4326-BD8F-21798FDAD2ED}"/>
    <cellStyle name="超链接 2 5" xfId="149" xr:uid="{39734263-A5F5-47FD-B43D-CCE3F8C99C29}"/>
    <cellStyle name="超链接 3" xfId="57" xr:uid="{5539964C-A8A1-442B-A0C5-D7279B51DF0C}"/>
    <cellStyle name="超链接 3 2" xfId="58" xr:uid="{0C683592-7371-434F-8631-398B8CD7747F}"/>
    <cellStyle name="超链接 3 2 2" xfId="104" xr:uid="{732A157A-D9AF-4B56-85B7-778835856DD3}"/>
    <cellStyle name="超链接 3 2 3" xfId="150" xr:uid="{E80D3964-CF17-4978-ACB3-9E0866B25E0F}"/>
    <cellStyle name="超链接 3 3" xfId="103" xr:uid="{D6AD2688-FDA8-4F38-A8CA-D2044DBE7140}"/>
    <cellStyle name="超链接 3 4" xfId="151" xr:uid="{8DC9252E-5C16-4CF9-B328-E9FC98FFF985}"/>
    <cellStyle name="超链接 4" xfId="99" xr:uid="{062A58ED-7148-4D92-ACAE-D52F9CE4AE5E}"/>
    <cellStyle name="超链接 5" xfId="152" xr:uid="{CFD73555-0A74-4DB8-883E-AD2950EFF4D5}"/>
    <cellStyle name="千位分隔 2" xfId="23" xr:uid="{83E5DF6E-C47B-43CE-AF70-294EBEC60039}"/>
    <cellStyle name="千位分隔 2 2" xfId="59" xr:uid="{A8D00895-CE7C-4FE0-A2DA-3167DABFEB6E}"/>
    <cellStyle name="千位分隔 2 2 2" xfId="60" xr:uid="{1BC3592C-46CA-43B5-A61C-919088D4D53D}"/>
    <cellStyle name="千位分隔 2 2 2 2" xfId="107" xr:uid="{BDF5FCF4-2E60-4614-A34D-FD5A6FDCF4E6}"/>
    <cellStyle name="千位分隔 2 2 2 3" xfId="153" xr:uid="{BD9A778F-B22E-4259-BD3D-239826B1054F}"/>
    <cellStyle name="千位分隔 2 2 3" xfId="61" xr:uid="{88F3E818-1594-4035-8D49-8AE155F8040E}"/>
    <cellStyle name="千位分隔 2 2 3 2" xfId="108" xr:uid="{6CC5F1C9-FF61-4E64-A5EB-301C1591DA14}"/>
    <cellStyle name="千位分隔 2 2 3 3" xfId="154" xr:uid="{D8D080E7-752A-4B49-A0DE-5211CAC80233}"/>
    <cellStyle name="千位分隔 2 2 4" xfId="106" xr:uid="{8CF94FC2-6C72-4130-B247-CB50B75A4F99}"/>
    <cellStyle name="千位分隔 2 2 5" xfId="155" xr:uid="{CECC6479-C952-4353-B8DA-BF2148C40541}"/>
    <cellStyle name="千位分隔 2 3" xfId="62" xr:uid="{505E9BCA-5C4D-46DF-A124-C3245990DDB1}"/>
    <cellStyle name="千位分隔 2 3 2" xfId="109" xr:uid="{4CE21190-6137-4110-AB10-D9F100CE0D03}"/>
    <cellStyle name="千位分隔 2 3 3" xfId="156" xr:uid="{E8C28C5E-C06D-4AAA-B7BD-979513D5DD04}"/>
    <cellStyle name="千位分隔 2 4" xfId="105" xr:uid="{BC7AF7A3-1594-4E41-BA72-45D740B6058E}"/>
    <cellStyle name="千位分隔 2 5" xfId="157" xr:uid="{B6F57AF4-49C0-482E-9FB9-08D75027E98A}"/>
    <cellStyle name="千位分隔 3" xfId="63" xr:uid="{DD0126B4-5D6D-49DA-866F-2E213C228DEB}"/>
    <cellStyle name="千位分隔 3 2" xfId="64" xr:uid="{514299C3-3185-482C-9F3A-4BCDF1AE3380}"/>
    <cellStyle name="千位分隔 3 2 2" xfId="111" xr:uid="{5F711658-B316-4219-8AAA-9289E90FE9C6}"/>
    <cellStyle name="千位分隔 3 2 3" xfId="158" xr:uid="{AED5229D-5552-4661-ACA5-73557BA5A10E}"/>
    <cellStyle name="千位分隔 3 3" xfId="65" xr:uid="{FEC7D037-249E-402F-B1BC-681D1C1B36A1}"/>
    <cellStyle name="千位分隔 3 3 2" xfId="112" xr:uid="{C88A8EAA-3D8B-4040-B562-2F0BFD0F1CE1}"/>
    <cellStyle name="千位分隔 3 3 3" xfId="159" xr:uid="{57758BE3-9BA1-4908-B176-91207601A405}"/>
    <cellStyle name="千位分隔 3 4" xfId="110" xr:uid="{A8C512D7-9EA6-46AA-AB6D-27C166B3FE78}"/>
    <cellStyle name="千位分隔 3 5" xfId="160" xr:uid="{774297A1-1E45-4866-80E0-C989031C925D}"/>
    <cellStyle name="千位分隔 4" xfId="66" xr:uid="{D2100BD5-FFBF-450D-98FF-5B6A362223F2}"/>
    <cellStyle name="千位分隔 4 2" xfId="67" xr:uid="{E90EFF3C-5B8F-4C6C-A862-464BFE405A96}"/>
    <cellStyle name="千位分隔 4 2 2" xfId="114" xr:uid="{5F9D47FD-E8F1-4CA1-AE4C-42A51D3BDF5B}"/>
    <cellStyle name="千位分隔 4 2 3" xfId="161" xr:uid="{21650C0B-B818-4FB0-AC51-075CD899781B}"/>
    <cellStyle name="千位分隔 4 3" xfId="113" xr:uid="{31B125BA-116D-4FD2-85EB-2CBA8CE8539A}"/>
    <cellStyle name="千位分隔 4 4" xfId="162" xr:uid="{7248DFAC-B44D-4E04-89BD-9C00B2339146}"/>
    <cellStyle name="千位分隔 5" xfId="163" xr:uid="{570520B2-85A0-4727-B4C9-355F58B42245}"/>
    <cellStyle name="千位分隔 6" xfId="19" xr:uid="{35A1509B-3A92-4267-BDA0-BC2F62BEF8CF}"/>
    <cellStyle name="一般_Sheet1" xfId="68" xr:uid="{8AC8C078-B29E-40D8-9F8E-488A27772487}"/>
  </cellStyles>
  <dxfs count="27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37202;&#24215;&#21150;&#20844;&#36710;&#24211;1.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按楼清单"/>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9">
          <cell r="G19">
            <v>59895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9">
          <cell r="G19">
            <v>10717</v>
          </cell>
        </row>
      </sheetData>
      <sheetData sheetId="42" refreshError="1"/>
      <sheetData sheetId="43" refreshError="1"/>
      <sheetData sheetId="44" refreshError="1"/>
      <sheetData sheetId="45" refreshError="1"/>
      <sheetData sheetId="46">
        <row r="19">
          <cell r="G19">
            <v>50798</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4" customWidth="1"/>
    <col min="2" max="2" width="81" style="1581" customWidth="1"/>
    <col min="3" max="16384" width="9" style="1579"/>
  </cols>
  <sheetData>
    <row r="1" spans="1:2" s="1567" customFormat="1" ht="16.2" thickBot="1">
      <c r="A1" s="1566" t="s">
        <v>1208</v>
      </c>
      <c r="B1" s="1565" t="s">
        <v>1287</v>
      </c>
    </row>
    <row r="2" spans="1:2" s="1570" customFormat="1" ht="16.2"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6.2" thickBot="1">
      <c r="A5" s="1574" t="s">
        <v>1212</v>
      </c>
      <c r="B5" s="1575" t="str">
        <f>'预评函-封皮'!B49</f>
        <v>康正预评字号</v>
      </c>
    </row>
    <row r="6" spans="1:2" s="1570" customFormat="1" ht="16.2"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估价对象为北京市朝阳区广顺北大街16号院1、2、3号楼房地产，为所有。根据《国有土地使用证》[]，估价对象（分摊）出让国有建设用地使用权面积为9680.74平方米，建筑面积为42164.25平方米。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9680.74平方米，规划建筑面积为42164.25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2020年1月6日（评估专业人员实地查勘之日）</v>
      </c>
    </row>
    <row r="13" spans="1:2" s="1573" customFormat="1">
      <c r="A13" s="1571" t="s">
        <v>1216</v>
      </c>
      <c r="B13" s="1572" t="str">
        <f>'预评函-1'!A18</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6.2" thickBot="1">
      <c r="A18" s="1574" t="s">
        <v>1221</v>
      </c>
      <c r="B18" s="1575" t="str">
        <f>'预评函-1'!A24</f>
        <v>本次评估采用的主估价方法为成本法和收益法。</v>
      </c>
    </row>
    <row r="19" spans="1:2" s="1570" customFormat="1" ht="16.2"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167491</v>
      </c>
    </row>
    <row r="21" spans="1:2" s="1573" customFormat="1">
      <c r="A21" s="1571" t="s">
        <v>1224</v>
      </c>
      <c r="B21" s="1572">
        <f ca="1">'预评函-2'!D7</f>
        <v>39723</v>
      </c>
    </row>
    <row r="22" spans="1:2" s="1573" customFormat="1">
      <c r="A22" s="1571" t="s">
        <v>1225</v>
      </c>
      <c r="B22" s="1572" t="str">
        <f ca="1">'预评函-2'!D6</f>
        <v>壹拾陆亿柒仟肆佰玖拾壹万元整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167491</v>
      </c>
    </row>
    <row r="31" spans="1:2" s="1573" customFormat="1">
      <c r="A31" s="1571" t="s">
        <v>1263</v>
      </c>
      <c r="B31" s="1572">
        <f ca="1">'预评函-2'!D15</f>
        <v>39723</v>
      </c>
    </row>
    <row r="32" spans="1:2" s="1573" customFormat="1">
      <c r="A32" s="1571" t="s">
        <v>1230</v>
      </c>
      <c r="B32" s="1572" t="str">
        <f ca="1">'预评函-2'!D14</f>
        <v>壹拾陆亿柒仟肆佰玖拾壹万元整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ht="31.2">
      <c r="A42" s="1571" t="s">
        <v>1277</v>
      </c>
      <c r="B42" s="1572" t="str">
        <f>'预评函-3'!B2</f>
        <v>建筑面积</v>
      </c>
    </row>
    <row r="43" spans="1:2" s="1573" customFormat="1">
      <c r="A43" s="1571" t="s">
        <v>1278</v>
      </c>
      <c r="B43" s="1572">
        <f>'预评函-3'!B4</f>
        <v>42164.249999999993</v>
      </c>
    </row>
    <row r="44" spans="1:2" s="1573" customFormat="1" ht="31.2">
      <c r="A44" s="1571" t="s">
        <v>1262</v>
      </c>
      <c r="B44" s="1572" t="str">
        <f>'预评函-3'!C2</f>
        <v>(分摊)土地面积</v>
      </c>
    </row>
    <row r="45" spans="1:2" s="1573" customFormat="1">
      <c r="A45" s="1571" t="s">
        <v>1234</v>
      </c>
      <c r="B45" s="1572">
        <f>'预评函-3'!C4</f>
        <v>9680.74</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6.2" thickBot="1">
      <c r="A57" s="1574" t="s">
        <v>1286</v>
      </c>
      <c r="B57" s="1575" t="str">
        <f>'预评函-3'!A6</f>
        <v>估价师知悉的法定优先受偿款</v>
      </c>
    </row>
    <row r="58" spans="1:2" s="1570" customFormat="1" ht="16.2"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6.2" thickBot="1">
      <c r="A69" s="1574" t="s">
        <v>1248</v>
      </c>
      <c r="B69" s="1576">
        <f>'预评函-4'!C31</f>
        <v>42551</v>
      </c>
    </row>
    <row r="70" spans="1:2" ht="16.2"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6.2" thickBot="1">
      <c r="A73" s="1574" t="s">
        <v>1252</v>
      </c>
      <c r="B73" s="1575">
        <f ca="1">'预评函-4'!B5</f>
        <v>0</v>
      </c>
    </row>
    <row r="74" spans="1:2" ht="16.2"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sheetPr>
  <dimension ref="A1:Q172"/>
  <sheetViews>
    <sheetView topLeftCell="A100" workbookViewId="0">
      <selection activeCell="K8" sqref="K8"/>
    </sheetView>
  </sheetViews>
  <sheetFormatPr defaultColWidth="9" defaultRowHeight="12"/>
  <cols>
    <col min="1" max="1" width="9" style="2999" customWidth="1"/>
    <col min="2" max="2" width="22.77734375" style="2999" bestFit="1" customWidth="1"/>
    <col min="3" max="3" width="9" style="2999"/>
    <col min="4" max="4" width="9" style="3005"/>
    <col min="5" max="5" width="9.33203125" style="2999" bestFit="1" customWidth="1"/>
    <col min="6" max="6" width="14.109375" style="2999" bestFit="1" customWidth="1"/>
    <col min="7" max="7" width="9" style="3005"/>
    <col min="8" max="8" width="13.88671875" style="2999" bestFit="1" customWidth="1"/>
    <col min="9" max="10" width="9" style="2999"/>
    <col min="11" max="11" width="10.77734375" style="2999" customWidth="1"/>
    <col min="12" max="13" width="11.33203125" style="2999" bestFit="1" customWidth="1"/>
    <col min="14" max="15" width="14.109375" style="2999" bestFit="1" customWidth="1"/>
    <col min="16" max="16384" width="9" style="2999"/>
  </cols>
  <sheetData>
    <row r="1" spans="1:11">
      <c r="A1" s="2997" t="s">
        <v>3174</v>
      </c>
      <c r="B1" s="2997" t="s">
        <v>3675</v>
      </c>
      <c r="C1" s="2997" t="s">
        <v>3176</v>
      </c>
      <c r="D1" s="2998" t="s">
        <v>3177</v>
      </c>
      <c r="E1" s="2997" t="s">
        <v>3178</v>
      </c>
      <c r="F1" s="2997" t="s">
        <v>3179</v>
      </c>
      <c r="G1" s="2998" t="s">
        <v>3180</v>
      </c>
      <c r="H1" s="2997" t="s">
        <v>3181</v>
      </c>
      <c r="I1" s="2997" t="s">
        <v>3182</v>
      </c>
    </row>
    <row r="2" spans="1:11" s="3439" customFormat="1">
      <c r="A2" s="3437">
        <v>9</v>
      </c>
      <c r="B2" s="3437" t="s">
        <v>3226</v>
      </c>
      <c r="C2" s="3437" t="s">
        <v>3206</v>
      </c>
      <c r="D2" s="3438" t="s">
        <v>3207</v>
      </c>
      <c r="E2" s="3437" t="s">
        <v>3123</v>
      </c>
      <c r="F2" s="3437" t="s">
        <v>3195</v>
      </c>
      <c r="G2" s="3438" t="s">
        <v>1028</v>
      </c>
      <c r="H2" s="3437" t="s">
        <v>3196</v>
      </c>
      <c r="I2" s="3437">
        <v>1078.23</v>
      </c>
    </row>
    <row r="3" spans="1:11">
      <c r="A3" s="2997">
        <v>11</v>
      </c>
      <c r="B3" s="2997" t="s">
        <v>3205</v>
      </c>
      <c r="C3" s="2997" t="s">
        <v>3206</v>
      </c>
      <c r="D3" s="2998" t="s">
        <v>3210</v>
      </c>
      <c r="E3" s="2997" t="s">
        <v>3123</v>
      </c>
      <c r="F3" s="2997" t="s">
        <v>3195</v>
      </c>
      <c r="G3" s="2998" t="s">
        <v>3211</v>
      </c>
      <c r="H3" s="2997" t="s">
        <v>3196</v>
      </c>
      <c r="I3" s="2997">
        <v>1443.69</v>
      </c>
    </row>
    <row r="4" spans="1:11">
      <c r="A4" s="2997">
        <v>21</v>
      </c>
      <c r="B4" s="2997" t="s">
        <v>3226</v>
      </c>
      <c r="C4" s="2997" t="s">
        <v>3206</v>
      </c>
      <c r="D4" s="2998" t="s">
        <v>3228</v>
      </c>
      <c r="E4" s="2997" t="s">
        <v>3218</v>
      </c>
      <c r="F4" s="2997" t="s">
        <v>3219</v>
      </c>
      <c r="G4" s="2998" t="s">
        <v>3229</v>
      </c>
      <c r="H4" s="2997" t="s">
        <v>3221</v>
      </c>
      <c r="I4" s="2997">
        <v>1443.69</v>
      </c>
    </row>
    <row r="5" spans="1:11">
      <c r="A5" s="2997">
        <v>31</v>
      </c>
      <c r="B5" s="2997" t="s">
        <v>3242</v>
      </c>
      <c r="C5" s="2997" t="s">
        <v>3206</v>
      </c>
      <c r="D5" s="2998" t="s">
        <v>3244</v>
      </c>
      <c r="E5" s="2997" t="s">
        <v>3123</v>
      </c>
      <c r="F5" s="2997" t="s">
        <v>3219</v>
      </c>
      <c r="G5" s="2998" t="s">
        <v>3247</v>
      </c>
      <c r="H5" s="2997" t="s">
        <v>3196</v>
      </c>
      <c r="I5" s="2997">
        <v>1443.69</v>
      </c>
    </row>
    <row r="6" spans="1:11">
      <c r="A6" s="2997">
        <v>41</v>
      </c>
      <c r="B6" s="2997" t="s">
        <v>3226</v>
      </c>
      <c r="C6" s="2997" t="s">
        <v>3206</v>
      </c>
      <c r="D6" s="2998" t="s">
        <v>3260</v>
      </c>
      <c r="E6" s="2997" t="s">
        <v>3218</v>
      </c>
      <c r="F6" s="2997" t="s">
        <v>3219</v>
      </c>
      <c r="G6" s="2998" t="s">
        <v>3261</v>
      </c>
      <c r="H6" s="2997" t="s">
        <v>3221</v>
      </c>
      <c r="I6" s="2997">
        <v>1443.69</v>
      </c>
    </row>
    <row r="7" spans="1:11">
      <c r="A7" s="2997">
        <v>51</v>
      </c>
      <c r="B7" s="2997" t="s">
        <v>3226</v>
      </c>
      <c r="C7" s="2997" t="s">
        <v>3206</v>
      </c>
      <c r="D7" s="2998" t="s">
        <v>3271</v>
      </c>
      <c r="E7" s="2997" t="s">
        <v>3123</v>
      </c>
      <c r="F7" s="2997" t="s">
        <v>3219</v>
      </c>
      <c r="G7" s="2998" t="s">
        <v>3272</v>
      </c>
      <c r="H7" s="2997" t="s">
        <v>3196</v>
      </c>
      <c r="I7" s="2997">
        <v>1443.69</v>
      </c>
    </row>
    <row r="8" spans="1:11">
      <c r="A8" s="2997">
        <v>61</v>
      </c>
      <c r="B8" s="2997" t="s">
        <v>3226</v>
      </c>
      <c r="C8" s="2997" t="s">
        <v>3283</v>
      </c>
      <c r="D8" s="2998" t="s">
        <v>3284</v>
      </c>
      <c r="E8" s="2997" t="s">
        <v>3218</v>
      </c>
      <c r="F8" s="2997" t="s">
        <v>3219</v>
      </c>
      <c r="G8" s="2998" t="s">
        <v>3285</v>
      </c>
      <c r="H8" s="2997" t="s">
        <v>3221</v>
      </c>
      <c r="I8" s="2997">
        <v>1443.69</v>
      </c>
      <c r="J8" s="3004"/>
      <c r="K8" s="3004"/>
    </row>
    <row r="9" spans="1:11">
      <c r="A9" s="2997">
        <v>71</v>
      </c>
      <c r="B9" s="2997" t="s">
        <v>3226</v>
      </c>
      <c r="C9" s="2997" t="s">
        <v>3206</v>
      </c>
      <c r="D9" s="2998" t="s">
        <v>3295</v>
      </c>
      <c r="E9" s="2997" t="s">
        <v>3218</v>
      </c>
      <c r="F9" s="2997" t="s">
        <v>3219</v>
      </c>
      <c r="G9" s="2998" t="s">
        <v>3296</v>
      </c>
      <c r="H9" s="2997" t="s">
        <v>3221</v>
      </c>
      <c r="I9" s="2997">
        <v>1443.69</v>
      </c>
    </row>
    <row r="10" spans="1:11">
      <c r="A10" s="2997">
        <v>81</v>
      </c>
      <c r="B10" s="2997" t="s">
        <v>3242</v>
      </c>
      <c r="C10" s="2997" t="s">
        <v>3206</v>
      </c>
      <c r="D10" s="2998" t="s">
        <v>3309</v>
      </c>
      <c r="E10" s="2997" t="s">
        <v>3238</v>
      </c>
      <c r="F10" s="2997" t="s">
        <v>3219</v>
      </c>
      <c r="G10" s="2998" t="s">
        <v>3310</v>
      </c>
      <c r="H10" s="2997" t="s">
        <v>3196</v>
      </c>
      <c r="I10" s="2997">
        <v>1443.69</v>
      </c>
    </row>
    <row r="11" spans="1:11">
      <c r="A11" s="2997">
        <v>91</v>
      </c>
      <c r="B11" s="2997" t="s">
        <v>3226</v>
      </c>
      <c r="C11" s="2997" t="s">
        <v>3206</v>
      </c>
      <c r="D11" s="2998" t="s">
        <v>3322</v>
      </c>
      <c r="E11" s="2997" t="s">
        <v>3218</v>
      </c>
      <c r="F11" s="2997" t="s">
        <v>3219</v>
      </c>
      <c r="G11" s="2998" t="s">
        <v>3323</v>
      </c>
      <c r="H11" s="2997" t="s">
        <v>3221</v>
      </c>
      <c r="I11" s="2997">
        <v>1443.69</v>
      </c>
    </row>
    <row r="12" spans="1:11">
      <c r="A12" s="2997">
        <v>101</v>
      </c>
      <c r="B12" s="2997" t="s">
        <v>3226</v>
      </c>
      <c r="C12" s="2997" t="s">
        <v>3206</v>
      </c>
      <c r="D12" s="2998" t="s">
        <v>3334</v>
      </c>
      <c r="E12" s="2997" t="s">
        <v>3218</v>
      </c>
      <c r="F12" s="2997" t="s">
        <v>3219</v>
      </c>
      <c r="G12" s="2998" t="s">
        <v>3335</v>
      </c>
      <c r="H12" s="2997" t="s">
        <v>3221</v>
      </c>
      <c r="I12" s="2997">
        <v>1443.69</v>
      </c>
    </row>
    <row r="13" spans="1:11">
      <c r="A13" s="2997">
        <v>111</v>
      </c>
      <c r="B13" s="2997" t="s">
        <v>3226</v>
      </c>
      <c r="C13" s="2997" t="s">
        <v>3206</v>
      </c>
      <c r="D13" s="2998" t="s">
        <v>3346</v>
      </c>
      <c r="E13" s="2997" t="s">
        <v>3218</v>
      </c>
      <c r="F13" s="2997" t="s">
        <v>3219</v>
      </c>
      <c r="G13" s="2998" t="s">
        <v>3347</v>
      </c>
      <c r="H13" s="2997" t="s">
        <v>3221</v>
      </c>
      <c r="I13" s="2997">
        <v>1443.69</v>
      </c>
    </row>
    <row r="14" spans="1:11">
      <c r="A14" s="2997">
        <v>121</v>
      </c>
      <c r="B14" s="2997" t="s">
        <v>3226</v>
      </c>
      <c r="C14" s="2997" t="s">
        <v>3206</v>
      </c>
      <c r="D14" s="2998" t="s">
        <v>3358</v>
      </c>
      <c r="E14" s="2997" t="s">
        <v>3218</v>
      </c>
      <c r="F14" s="2997" t="s">
        <v>3219</v>
      </c>
      <c r="G14" s="2998" t="s">
        <v>3359</v>
      </c>
      <c r="H14" s="2997" t="s">
        <v>3360</v>
      </c>
      <c r="I14" s="2997">
        <v>701.01</v>
      </c>
    </row>
    <row r="15" spans="1:11" s="3439" customFormat="1">
      <c r="A15" s="3437">
        <v>4</v>
      </c>
      <c r="B15" s="3437" t="s">
        <v>3192</v>
      </c>
      <c r="C15" s="3437" t="s">
        <v>3193</v>
      </c>
      <c r="D15" s="3438" t="s">
        <v>3194</v>
      </c>
      <c r="E15" s="3437" t="s">
        <v>3123</v>
      </c>
      <c r="F15" s="3437" t="s">
        <v>3195</v>
      </c>
      <c r="G15" s="3438" t="s">
        <v>3188</v>
      </c>
      <c r="H15" s="3437" t="s">
        <v>3196</v>
      </c>
      <c r="I15" s="3437">
        <v>31.96</v>
      </c>
    </row>
    <row r="16" spans="1:11">
      <c r="A16" s="2997">
        <v>12</v>
      </c>
      <c r="B16" s="2997" t="s">
        <v>3192</v>
      </c>
      <c r="C16" s="2997" t="s">
        <v>3193</v>
      </c>
      <c r="D16" s="2998" t="s">
        <v>3210</v>
      </c>
      <c r="E16" s="2997" t="s">
        <v>3123</v>
      </c>
      <c r="F16" s="2997" t="s">
        <v>3195</v>
      </c>
      <c r="G16" s="2998" t="s">
        <v>3211</v>
      </c>
      <c r="H16" s="2997" t="s">
        <v>3196</v>
      </c>
      <c r="I16" s="2997">
        <v>160.65</v>
      </c>
    </row>
    <row r="17" spans="1:17">
      <c r="A17" s="2997">
        <v>13</v>
      </c>
      <c r="B17" s="2997" t="s">
        <v>3192</v>
      </c>
      <c r="C17" s="2997" t="s">
        <v>3193</v>
      </c>
      <c r="D17" s="2998" t="s">
        <v>3212</v>
      </c>
      <c r="E17" s="2997" t="s">
        <v>3123</v>
      </c>
      <c r="F17" s="2997" t="s">
        <v>3195</v>
      </c>
      <c r="G17" s="2998" t="s">
        <v>3211</v>
      </c>
      <c r="H17" s="2997" t="s">
        <v>3196</v>
      </c>
      <c r="I17" s="2997">
        <v>152</v>
      </c>
    </row>
    <row r="18" spans="1:17">
      <c r="A18" s="2997">
        <v>14</v>
      </c>
      <c r="B18" s="2997" t="s">
        <v>3192</v>
      </c>
      <c r="C18" s="2997" t="s">
        <v>3193</v>
      </c>
      <c r="D18" s="2998" t="s">
        <v>3213</v>
      </c>
      <c r="E18" s="2997" t="s">
        <v>3123</v>
      </c>
      <c r="F18" s="2997" t="s">
        <v>3195</v>
      </c>
      <c r="G18" s="2998" t="s">
        <v>3211</v>
      </c>
      <c r="H18" s="2997" t="s">
        <v>3196</v>
      </c>
      <c r="I18" s="2997">
        <v>152</v>
      </c>
    </row>
    <row r="19" spans="1:17">
      <c r="A19" s="2997">
        <v>15</v>
      </c>
      <c r="B19" s="2997" t="s">
        <v>3192</v>
      </c>
      <c r="C19" s="2997" t="s">
        <v>3193</v>
      </c>
      <c r="D19" s="2998" t="s">
        <v>3214</v>
      </c>
      <c r="E19" s="2997" t="s">
        <v>3123</v>
      </c>
      <c r="F19" s="2997" t="s">
        <v>3195</v>
      </c>
      <c r="G19" s="2998" t="s">
        <v>3211</v>
      </c>
      <c r="H19" s="2997" t="s">
        <v>3196</v>
      </c>
      <c r="I19" s="2997">
        <v>152</v>
      </c>
    </row>
    <row r="20" spans="1:17">
      <c r="A20" s="2997">
        <v>16</v>
      </c>
      <c r="B20" s="2997" t="s">
        <v>3192</v>
      </c>
      <c r="C20" s="2997" t="s">
        <v>3193</v>
      </c>
      <c r="D20" s="2998" t="s">
        <v>3215</v>
      </c>
      <c r="E20" s="2997" t="s">
        <v>3123</v>
      </c>
      <c r="F20" s="2997" t="s">
        <v>3195</v>
      </c>
      <c r="G20" s="2998" t="s">
        <v>3211</v>
      </c>
      <c r="H20" s="2997" t="s">
        <v>3196</v>
      </c>
      <c r="I20" s="2997">
        <v>152</v>
      </c>
    </row>
    <row r="21" spans="1:17">
      <c r="A21" s="2997">
        <v>17</v>
      </c>
      <c r="B21" s="2997" t="s">
        <v>3192</v>
      </c>
      <c r="C21" s="2997" t="s">
        <v>3193</v>
      </c>
      <c r="D21" s="2998" t="s">
        <v>3216</v>
      </c>
      <c r="E21" s="2997" t="s">
        <v>3123</v>
      </c>
      <c r="F21" s="2997" t="s">
        <v>3195</v>
      </c>
      <c r="G21" s="2998" t="s">
        <v>3211</v>
      </c>
      <c r="H21" s="2997" t="s">
        <v>3196</v>
      </c>
      <c r="I21" s="2997">
        <v>208.31</v>
      </c>
    </row>
    <row r="22" spans="1:17">
      <c r="A22" s="2997">
        <v>18</v>
      </c>
      <c r="B22" s="2997" t="s">
        <v>3192</v>
      </c>
      <c r="C22" s="2997" t="s">
        <v>3193</v>
      </c>
      <c r="D22" s="2998" t="s">
        <v>3217</v>
      </c>
      <c r="E22" s="2997" t="s">
        <v>3218</v>
      </c>
      <c r="F22" s="2997" t="s">
        <v>3219</v>
      </c>
      <c r="G22" s="2998" t="s">
        <v>1029</v>
      </c>
      <c r="H22" s="2997" t="s">
        <v>3221</v>
      </c>
      <c r="I22" s="2997">
        <v>222.93</v>
      </c>
    </row>
    <row r="23" spans="1:17">
      <c r="A23" s="2997">
        <v>19</v>
      </c>
      <c r="B23" s="2997" t="s">
        <v>3222</v>
      </c>
      <c r="C23" s="2997" t="s">
        <v>3223</v>
      </c>
      <c r="D23" s="2998" t="s">
        <v>3224</v>
      </c>
      <c r="E23" s="2997" t="s">
        <v>3218</v>
      </c>
      <c r="F23" s="2997" t="s">
        <v>3219</v>
      </c>
      <c r="G23" s="2998" t="s">
        <v>1029</v>
      </c>
      <c r="H23" s="2997" t="s">
        <v>3221</v>
      </c>
      <c r="I23" s="2997">
        <v>152.03</v>
      </c>
    </row>
    <row r="24" spans="1:17">
      <c r="A24" s="2997">
        <v>20</v>
      </c>
      <c r="B24" s="2997" t="s">
        <v>3222</v>
      </c>
      <c r="C24" s="2997" t="s">
        <v>3223</v>
      </c>
      <c r="D24" s="2998" t="s">
        <v>3225</v>
      </c>
      <c r="E24" s="2997" t="s">
        <v>3218</v>
      </c>
      <c r="F24" s="2997" t="s">
        <v>3219</v>
      </c>
      <c r="G24" s="2998" t="s">
        <v>1029</v>
      </c>
      <c r="H24" s="2997" t="s">
        <v>3221</v>
      </c>
      <c r="I24" s="2997">
        <v>116.9</v>
      </c>
    </row>
    <row r="25" spans="1:17">
      <c r="A25" s="2997">
        <v>22</v>
      </c>
      <c r="B25" s="2997" t="s">
        <v>3222</v>
      </c>
      <c r="C25" s="2997" t="s">
        <v>3223</v>
      </c>
      <c r="D25" s="2998" t="s">
        <v>3228</v>
      </c>
      <c r="E25" s="2997" t="s">
        <v>3218</v>
      </c>
      <c r="F25" s="2997" t="s">
        <v>3219</v>
      </c>
      <c r="G25" s="2998" t="s">
        <v>3229</v>
      </c>
      <c r="H25" s="2997" t="s">
        <v>3221</v>
      </c>
      <c r="I25" s="2997">
        <v>160.65</v>
      </c>
    </row>
    <row r="26" spans="1:17">
      <c r="A26" s="2997">
        <v>23</v>
      </c>
      <c r="B26" s="2997" t="s">
        <v>3222</v>
      </c>
      <c r="C26" s="2997" t="s">
        <v>3223</v>
      </c>
      <c r="D26" s="2998" t="s">
        <v>3230</v>
      </c>
      <c r="E26" s="2997" t="s">
        <v>3218</v>
      </c>
      <c r="F26" s="2997" t="s">
        <v>3219</v>
      </c>
      <c r="G26" s="2998" t="s">
        <v>3229</v>
      </c>
      <c r="H26" s="2997" t="s">
        <v>3221</v>
      </c>
      <c r="I26" s="2997">
        <v>152</v>
      </c>
    </row>
    <row r="27" spans="1:17">
      <c r="A27" s="2997">
        <v>24</v>
      </c>
      <c r="B27" s="2997" t="s">
        <v>3222</v>
      </c>
      <c r="C27" s="2997" t="s">
        <v>3223</v>
      </c>
      <c r="D27" s="2998" t="s">
        <v>3231</v>
      </c>
      <c r="E27" s="2997" t="s">
        <v>3218</v>
      </c>
      <c r="F27" s="2997" t="s">
        <v>3219</v>
      </c>
      <c r="G27" s="2998" t="s">
        <v>3229</v>
      </c>
      <c r="H27" s="2997" t="s">
        <v>3221</v>
      </c>
      <c r="I27" s="2997">
        <v>152</v>
      </c>
    </row>
    <row r="28" spans="1:17">
      <c r="A28" s="2997">
        <v>25</v>
      </c>
      <c r="B28" s="2997" t="s">
        <v>3222</v>
      </c>
      <c r="C28" s="2997" t="s">
        <v>3223</v>
      </c>
      <c r="D28" s="2998" t="s">
        <v>3232</v>
      </c>
      <c r="E28" s="2997" t="s">
        <v>3218</v>
      </c>
      <c r="F28" s="2997" t="s">
        <v>3219</v>
      </c>
      <c r="G28" s="2998" t="s">
        <v>3229</v>
      </c>
      <c r="H28" s="2997" t="s">
        <v>3221</v>
      </c>
      <c r="I28" s="2997">
        <v>152</v>
      </c>
    </row>
    <row r="29" spans="1:17">
      <c r="A29" s="2997">
        <v>26</v>
      </c>
      <c r="B29" s="2997" t="s">
        <v>3222</v>
      </c>
      <c r="C29" s="2997" t="s">
        <v>3223</v>
      </c>
      <c r="D29" s="2998" t="s">
        <v>3233</v>
      </c>
      <c r="E29" s="2997" t="s">
        <v>3218</v>
      </c>
      <c r="F29" s="2997" t="s">
        <v>3219</v>
      </c>
      <c r="G29" s="2998" t="s">
        <v>3229</v>
      </c>
      <c r="H29" s="2997" t="s">
        <v>3221</v>
      </c>
      <c r="I29" s="2997">
        <v>152</v>
      </c>
    </row>
    <row r="30" spans="1:17">
      <c r="A30" s="2997">
        <v>27</v>
      </c>
      <c r="B30" s="2997" t="s">
        <v>3222</v>
      </c>
      <c r="C30" s="2997" t="s">
        <v>3223</v>
      </c>
      <c r="D30" s="2998" t="s">
        <v>3234</v>
      </c>
      <c r="E30" s="2997" t="s">
        <v>3218</v>
      </c>
      <c r="F30" s="2997" t="s">
        <v>3219</v>
      </c>
      <c r="G30" s="2998" t="s">
        <v>3229</v>
      </c>
      <c r="H30" s="2997" t="s">
        <v>3221</v>
      </c>
      <c r="I30" s="2997">
        <v>208.31</v>
      </c>
    </row>
    <row r="31" spans="1:17">
      <c r="A31" s="2997">
        <v>28</v>
      </c>
      <c r="B31" s="2997" t="s">
        <v>3222</v>
      </c>
      <c r="C31" s="2997" t="s">
        <v>3223</v>
      </c>
      <c r="D31" s="2998" t="s">
        <v>3235</v>
      </c>
      <c r="E31" s="2997" t="s">
        <v>3218</v>
      </c>
      <c r="F31" s="2997" t="s">
        <v>3219</v>
      </c>
      <c r="G31" s="2998" t="s">
        <v>3229</v>
      </c>
      <c r="H31" s="2997" t="s">
        <v>3221</v>
      </c>
      <c r="I31" s="2997">
        <v>222.93</v>
      </c>
      <c r="Q31" s="2999" t="s">
        <v>3429</v>
      </c>
    </row>
    <row r="32" spans="1:17">
      <c r="A32" s="2997">
        <v>29</v>
      </c>
      <c r="B32" s="2997" t="s">
        <v>3222</v>
      </c>
      <c r="C32" s="2997" t="s">
        <v>3223</v>
      </c>
      <c r="D32" s="2998" t="s">
        <v>3236</v>
      </c>
      <c r="E32" s="2997" t="s">
        <v>3218</v>
      </c>
      <c r="F32" s="2997" t="s">
        <v>3219</v>
      </c>
      <c r="G32" s="2998" t="s">
        <v>3229</v>
      </c>
      <c r="H32" s="2997" t="s">
        <v>3221</v>
      </c>
      <c r="I32" s="2997">
        <v>152.03</v>
      </c>
    </row>
    <row r="33" spans="1:9">
      <c r="A33" s="2997">
        <v>30</v>
      </c>
      <c r="B33" s="2997" t="s">
        <v>3222</v>
      </c>
      <c r="C33" s="2997" t="s">
        <v>3223</v>
      </c>
      <c r="D33" s="2998" t="s">
        <v>3237</v>
      </c>
      <c r="E33" s="2997" t="s">
        <v>3238</v>
      </c>
      <c r="F33" s="2997" t="s">
        <v>3219</v>
      </c>
      <c r="G33" s="2998" t="s">
        <v>1030</v>
      </c>
      <c r="H33" s="2997" t="s">
        <v>3196</v>
      </c>
      <c r="I33" s="2997">
        <v>116.9</v>
      </c>
    </row>
    <row r="34" spans="1:9">
      <c r="A34" s="2997">
        <v>32</v>
      </c>
      <c r="B34" s="2997" t="s">
        <v>3249</v>
      </c>
      <c r="C34" s="2997" t="s">
        <v>3223</v>
      </c>
      <c r="D34" s="2998" t="s">
        <v>3244</v>
      </c>
      <c r="E34" s="2997" t="s">
        <v>3123</v>
      </c>
      <c r="F34" s="2997" t="s">
        <v>3219</v>
      </c>
      <c r="G34" s="2998" t="s">
        <v>3247</v>
      </c>
      <c r="H34" s="2997" t="s">
        <v>3196</v>
      </c>
      <c r="I34" s="2997">
        <v>160.65</v>
      </c>
    </row>
    <row r="35" spans="1:9">
      <c r="A35" s="2997">
        <v>33</v>
      </c>
      <c r="B35" s="2997" t="s">
        <v>3249</v>
      </c>
      <c r="C35" s="2997" t="s">
        <v>3223</v>
      </c>
      <c r="D35" s="2998" t="s">
        <v>3251</v>
      </c>
      <c r="E35" s="2997" t="s">
        <v>3123</v>
      </c>
      <c r="F35" s="2997" t="s">
        <v>3219</v>
      </c>
      <c r="G35" s="2998" t="s">
        <v>3247</v>
      </c>
      <c r="H35" s="2997" t="s">
        <v>3196</v>
      </c>
      <c r="I35" s="2997">
        <v>152</v>
      </c>
    </row>
    <row r="36" spans="1:9">
      <c r="A36" s="2997">
        <v>34</v>
      </c>
      <c r="B36" s="2997" t="s">
        <v>3249</v>
      </c>
      <c r="C36" s="2997" t="s">
        <v>3223</v>
      </c>
      <c r="D36" s="2998" t="s">
        <v>3252</v>
      </c>
      <c r="E36" s="2997" t="s">
        <v>3123</v>
      </c>
      <c r="F36" s="2997" t="s">
        <v>3219</v>
      </c>
      <c r="G36" s="2998" t="s">
        <v>3247</v>
      </c>
      <c r="H36" s="2997" t="s">
        <v>3196</v>
      </c>
      <c r="I36" s="2997">
        <v>152</v>
      </c>
    </row>
    <row r="37" spans="1:9">
      <c r="A37" s="2997">
        <v>35</v>
      </c>
      <c r="B37" s="2997" t="s">
        <v>3249</v>
      </c>
      <c r="C37" s="2997" t="s">
        <v>3223</v>
      </c>
      <c r="D37" s="2998" t="s">
        <v>3253</v>
      </c>
      <c r="E37" s="2997" t="s">
        <v>3123</v>
      </c>
      <c r="F37" s="2997" t="s">
        <v>3219</v>
      </c>
      <c r="G37" s="2998" t="s">
        <v>3247</v>
      </c>
      <c r="H37" s="2997" t="s">
        <v>3196</v>
      </c>
      <c r="I37" s="2997">
        <v>152</v>
      </c>
    </row>
    <row r="38" spans="1:9">
      <c r="A38" s="2997">
        <v>36</v>
      </c>
      <c r="B38" s="2997" t="s">
        <v>3249</v>
      </c>
      <c r="C38" s="2997" t="s">
        <v>3223</v>
      </c>
      <c r="D38" s="2998" t="s">
        <v>3254</v>
      </c>
      <c r="E38" s="2997" t="s">
        <v>3123</v>
      </c>
      <c r="F38" s="2997" t="s">
        <v>3219</v>
      </c>
      <c r="G38" s="2998" t="s">
        <v>3247</v>
      </c>
      <c r="H38" s="2997" t="s">
        <v>3196</v>
      </c>
      <c r="I38" s="2997">
        <v>152</v>
      </c>
    </row>
    <row r="39" spans="1:9">
      <c r="A39" s="2997">
        <v>37</v>
      </c>
      <c r="B39" s="2997" t="s">
        <v>3249</v>
      </c>
      <c r="C39" s="2997" t="s">
        <v>3223</v>
      </c>
      <c r="D39" s="2998" t="s">
        <v>3255</v>
      </c>
      <c r="E39" s="2997" t="s">
        <v>3218</v>
      </c>
      <c r="F39" s="2997" t="s">
        <v>3219</v>
      </c>
      <c r="G39" s="2998" t="s">
        <v>3247</v>
      </c>
      <c r="H39" s="2997" t="s">
        <v>3221</v>
      </c>
      <c r="I39" s="2997">
        <v>208.31</v>
      </c>
    </row>
    <row r="40" spans="1:9">
      <c r="A40" s="2997">
        <v>38</v>
      </c>
      <c r="B40" s="2997" t="s">
        <v>3222</v>
      </c>
      <c r="C40" s="2997" t="s">
        <v>3223</v>
      </c>
      <c r="D40" s="2998" t="s">
        <v>3257</v>
      </c>
      <c r="E40" s="2997" t="s">
        <v>3218</v>
      </c>
      <c r="F40" s="2997" t="s">
        <v>3219</v>
      </c>
      <c r="G40" s="2998" t="s">
        <v>3247</v>
      </c>
      <c r="H40" s="2997" t="s">
        <v>3221</v>
      </c>
      <c r="I40" s="2997">
        <v>222.93</v>
      </c>
    </row>
    <row r="41" spans="1:9">
      <c r="A41" s="2997">
        <v>39</v>
      </c>
      <c r="B41" s="2997" t="s">
        <v>3222</v>
      </c>
      <c r="C41" s="2997" t="s">
        <v>3223</v>
      </c>
      <c r="D41" s="2998" t="s">
        <v>3258</v>
      </c>
      <c r="E41" s="2997" t="s">
        <v>3218</v>
      </c>
      <c r="F41" s="2997" t="s">
        <v>3219</v>
      </c>
      <c r="G41" s="2998" t="s">
        <v>3247</v>
      </c>
      <c r="H41" s="2997" t="s">
        <v>3221</v>
      </c>
      <c r="I41" s="2997">
        <v>152.03</v>
      </c>
    </row>
    <row r="42" spans="1:9">
      <c r="A42" s="2997">
        <v>40</v>
      </c>
      <c r="B42" s="2997" t="s">
        <v>3222</v>
      </c>
      <c r="C42" s="2997" t="s">
        <v>3223</v>
      </c>
      <c r="D42" s="2998" t="s">
        <v>3259</v>
      </c>
      <c r="E42" s="2997" t="s">
        <v>3218</v>
      </c>
      <c r="F42" s="2997" t="s">
        <v>3219</v>
      </c>
      <c r="G42" s="2998" t="s">
        <v>3247</v>
      </c>
      <c r="H42" s="2997" t="s">
        <v>3221</v>
      </c>
      <c r="I42" s="2997">
        <v>116.9</v>
      </c>
    </row>
    <row r="43" spans="1:9">
      <c r="A43" s="2997">
        <v>42</v>
      </c>
      <c r="B43" s="2997" t="s">
        <v>3222</v>
      </c>
      <c r="C43" s="2997" t="s">
        <v>3223</v>
      </c>
      <c r="D43" s="2998" t="s">
        <v>3260</v>
      </c>
      <c r="E43" s="2997" t="s">
        <v>3218</v>
      </c>
      <c r="F43" s="2997" t="s">
        <v>3219</v>
      </c>
      <c r="G43" s="2998" t="s">
        <v>3262</v>
      </c>
      <c r="H43" s="2997" t="s">
        <v>3221</v>
      </c>
      <c r="I43" s="2997">
        <v>160.65</v>
      </c>
    </row>
    <row r="44" spans="1:9">
      <c r="A44" s="2997">
        <v>43</v>
      </c>
      <c r="B44" s="2997" t="s">
        <v>3222</v>
      </c>
      <c r="C44" s="2997" t="s">
        <v>3223</v>
      </c>
      <c r="D44" s="2998" t="s">
        <v>3263</v>
      </c>
      <c r="E44" s="2997" t="s">
        <v>3218</v>
      </c>
      <c r="F44" s="2997" t="s">
        <v>3219</v>
      </c>
      <c r="G44" s="2998" t="s">
        <v>3262</v>
      </c>
      <c r="H44" s="2997" t="s">
        <v>3221</v>
      </c>
      <c r="I44" s="2997">
        <v>152</v>
      </c>
    </row>
    <row r="45" spans="1:9">
      <c r="A45" s="2997">
        <v>44</v>
      </c>
      <c r="B45" s="2997" t="s">
        <v>3222</v>
      </c>
      <c r="C45" s="2997" t="s">
        <v>3223</v>
      </c>
      <c r="D45" s="2998" t="s">
        <v>3264</v>
      </c>
      <c r="E45" s="2997" t="s">
        <v>3218</v>
      </c>
      <c r="F45" s="2997" t="s">
        <v>3219</v>
      </c>
      <c r="G45" s="2998" t="s">
        <v>3262</v>
      </c>
      <c r="H45" s="2997" t="s">
        <v>3221</v>
      </c>
      <c r="I45" s="2997">
        <v>152</v>
      </c>
    </row>
    <row r="46" spans="1:9">
      <c r="A46" s="2997">
        <v>45</v>
      </c>
      <c r="B46" s="2997" t="s">
        <v>3222</v>
      </c>
      <c r="C46" s="2997" t="s">
        <v>3223</v>
      </c>
      <c r="D46" s="2998" t="s">
        <v>3265</v>
      </c>
      <c r="E46" s="2997" t="s">
        <v>3218</v>
      </c>
      <c r="F46" s="2997" t="s">
        <v>3219</v>
      </c>
      <c r="G46" s="2998" t="s">
        <v>3262</v>
      </c>
      <c r="H46" s="2997" t="s">
        <v>3221</v>
      </c>
      <c r="I46" s="2997">
        <v>152</v>
      </c>
    </row>
    <row r="47" spans="1:9">
      <c r="A47" s="2997">
        <v>46</v>
      </c>
      <c r="B47" s="2997" t="s">
        <v>3222</v>
      </c>
      <c r="C47" s="2997" t="s">
        <v>3223</v>
      </c>
      <c r="D47" s="2998" t="s">
        <v>3266</v>
      </c>
      <c r="E47" s="2997" t="s">
        <v>3218</v>
      </c>
      <c r="F47" s="2997" t="s">
        <v>3219</v>
      </c>
      <c r="G47" s="2998" t="s">
        <v>3262</v>
      </c>
      <c r="H47" s="2997" t="s">
        <v>3221</v>
      </c>
      <c r="I47" s="2997">
        <v>152</v>
      </c>
    </row>
    <row r="48" spans="1:9">
      <c r="A48" s="2997">
        <v>47</v>
      </c>
      <c r="B48" s="2997" t="s">
        <v>3222</v>
      </c>
      <c r="C48" s="2997" t="s">
        <v>3223</v>
      </c>
      <c r="D48" s="2998" t="s">
        <v>3267</v>
      </c>
      <c r="E48" s="2997" t="s">
        <v>3218</v>
      </c>
      <c r="F48" s="2997" t="s">
        <v>3219</v>
      </c>
      <c r="G48" s="2998" t="s">
        <v>3262</v>
      </c>
      <c r="H48" s="2997" t="s">
        <v>3221</v>
      </c>
      <c r="I48" s="2997">
        <v>208.31</v>
      </c>
    </row>
    <row r="49" spans="1:9">
      <c r="A49" s="2997">
        <v>48</v>
      </c>
      <c r="B49" s="2997" t="s">
        <v>3222</v>
      </c>
      <c r="C49" s="2997" t="s">
        <v>3223</v>
      </c>
      <c r="D49" s="2998" t="s">
        <v>3268</v>
      </c>
      <c r="E49" s="2997" t="s">
        <v>3218</v>
      </c>
      <c r="F49" s="2997" t="s">
        <v>3219</v>
      </c>
      <c r="G49" s="2998" t="s">
        <v>3262</v>
      </c>
      <c r="H49" s="2997" t="s">
        <v>3221</v>
      </c>
      <c r="I49" s="2997">
        <v>222.93</v>
      </c>
    </row>
    <row r="50" spans="1:9">
      <c r="A50" s="2997">
        <v>49</v>
      </c>
      <c r="B50" s="2997" t="s">
        <v>3222</v>
      </c>
      <c r="C50" s="2997" t="s">
        <v>3223</v>
      </c>
      <c r="D50" s="2998" t="s">
        <v>3269</v>
      </c>
      <c r="E50" s="2997" t="s">
        <v>3218</v>
      </c>
      <c r="F50" s="2997" t="s">
        <v>3219</v>
      </c>
      <c r="G50" s="2998" t="s">
        <v>3262</v>
      </c>
      <c r="H50" s="2997" t="s">
        <v>3221</v>
      </c>
      <c r="I50" s="2997">
        <v>152.03</v>
      </c>
    </row>
    <row r="51" spans="1:9">
      <c r="A51" s="2997">
        <v>50</v>
      </c>
      <c r="B51" s="2997" t="s">
        <v>3222</v>
      </c>
      <c r="C51" s="2997" t="s">
        <v>3223</v>
      </c>
      <c r="D51" s="2998" t="s">
        <v>3270</v>
      </c>
      <c r="E51" s="2997" t="s">
        <v>3218</v>
      </c>
      <c r="F51" s="2997" t="s">
        <v>3219</v>
      </c>
      <c r="G51" s="2998" t="s">
        <v>3262</v>
      </c>
      <c r="H51" s="2997" t="s">
        <v>3221</v>
      </c>
      <c r="I51" s="2997">
        <v>116.9</v>
      </c>
    </row>
    <row r="52" spans="1:9">
      <c r="A52" s="2997">
        <v>52</v>
      </c>
      <c r="B52" s="2997" t="s">
        <v>3249</v>
      </c>
      <c r="C52" s="2997" t="s">
        <v>3223</v>
      </c>
      <c r="D52" s="2998" t="s">
        <v>3271</v>
      </c>
      <c r="E52" s="2997" t="s">
        <v>3123</v>
      </c>
      <c r="F52" s="2997" t="s">
        <v>3219</v>
      </c>
      <c r="G52" s="2998" t="s">
        <v>3273</v>
      </c>
      <c r="H52" s="2997" t="s">
        <v>3196</v>
      </c>
      <c r="I52" s="2997">
        <v>160.65</v>
      </c>
    </row>
    <row r="53" spans="1:9">
      <c r="A53" s="2997">
        <v>53</v>
      </c>
      <c r="B53" s="2997" t="s">
        <v>3249</v>
      </c>
      <c r="C53" s="2997" t="s">
        <v>3223</v>
      </c>
      <c r="D53" s="2998" t="s">
        <v>3274</v>
      </c>
      <c r="E53" s="2997" t="s">
        <v>3123</v>
      </c>
      <c r="F53" s="2997" t="s">
        <v>3219</v>
      </c>
      <c r="G53" s="2998" t="s">
        <v>3273</v>
      </c>
      <c r="H53" s="2997" t="s">
        <v>3196</v>
      </c>
      <c r="I53" s="2997">
        <v>152</v>
      </c>
    </row>
    <row r="54" spans="1:9">
      <c r="A54" s="2997">
        <v>54</v>
      </c>
      <c r="B54" s="2997" t="s">
        <v>3249</v>
      </c>
      <c r="C54" s="2997" t="s">
        <v>3223</v>
      </c>
      <c r="D54" s="2998" t="s">
        <v>3275</v>
      </c>
      <c r="E54" s="2997" t="s">
        <v>3123</v>
      </c>
      <c r="F54" s="2997" t="s">
        <v>3219</v>
      </c>
      <c r="G54" s="2998" t="s">
        <v>3273</v>
      </c>
      <c r="H54" s="2997" t="s">
        <v>3196</v>
      </c>
      <c r="I54" s="2997">
        <v>152</v>
      </c>
    </row>
    <row r="55" spans="1:9">
      <c r="A55" s="2997">
        <v>55</v>
      </c>
      <c r="B55" s="2997" t="s">
        <v>3249</v>
      </c>
      <c r="C55" s="2997" t="s">
        <v>3223</v>
      </c>
      <c r="D55" s="2998" t="s">
        <v>3276</v>
      </c>
      <c r="E55" s="2997" t="s">
        <v>3123</v>
      </c>
      <c r="F55" s="2997" t="s">
        <v>3219</v>
      </c>
      <c r="G55" s="2998" t="s">
        <v>3273</v>
      </c>
      <c r="H55" s="2997" t="s">
        <v>3196</v>
      </c>
      <c r="I55" s="2997">
        <v>152</v>
      </c>
    </row>
    <row r="56" spans="1:9">
      <c r="A56" s="2997">
        <v>56</v>
      </c>
      <c r="B56" s="2997" t="s">
        <v>3249</v>
      </c>
      <c r="C56" s="2997" t="s">
        <v>3223</v>
      </c>
      <c r="D56" s="2998" t="s">
        <v>3277</v>
      </c>
      <c r="E56" s="2997" t="s">
        <v>3123</v>
      </c>
      <c r="F56" s="2997" t="s">
        <v>3219</v>
      </c>
      <c r="G56" s="2998" t="s">
        <v>3273</v>
      </c>
      <c r="H56" s="2997" t="s">
        <v>3196</v>
      </c>
      <c r="I56" s="2997">
        <v>152</v>
      </c>
    </row>
    <row r="57" spans="1:9">
      <c r="A57" s="2997">
        <v>57</v>
      </c>
      <c r="B57" s="2997" t="s">
        <v>3249</v>
      </c>
      <c r="C57" s="2997" t="s">
        <v>3223</v>
      </c>
      <c r="D57" s="2998" t="s">
        <v>3278</v>
      </c>
      <c r="E57" s="2997" t="s">
        <v>3123</v>
      </c>
      <c r="F57" s="2997" t="s">
        <v>3219</v>
      </c>
      <c r="G57" s="2998" t="s">
        <v>3273</v>
      </c>
      <c r="H57" s="2997" t="s">
        <v>3196</v>
      </c>
      <c r="I57" s="2997">
        <v>208.31</v>
      </c>
    </row>
    <row r="58" spans="1:9">
      <c r="A58" s="2997">
        <v>58</v>
      </c>
      <c r="B58" s="2997" t="s">
        <v>3249</v>
      </c>
      <c r="C58" s="2997" t="s">
        <v>3223</v>
      </c>
      <c r="D58" s="2998" t="s">
        <v>3279</v>
      </c>
      <c r="E58" s="2997" t="s">
        <v>3123</v>
      </c>
      <c r="F58" s="2997" t="s">
        <v>3219</v>
      </c>
      <c r="G58" s="2998" t="s">
        <v>3273</v>
      </c>
      <c r="H58" s="2997" t="s">
        <v>3196</v>
      </c>
      <c r="I58" s="2997">
        <v>222.93</v>
      </c>
    </row>
    <row r="59" spans="1:9">
      <c r="A59" s="2997">
        <v>59</v>
      </c>
      <c r="B59" s="2997" t="s">
        <v>3249</v>
      </c>
      <c r="C59" s="2997" t="s">
        <v>3223</v>
      </c>
      <c r="D59" s="2998" t="s">
        <v>3280</v>
      </c>
      <c r="E59" s="2997" t="s">
        <v>3123</v>
      </c>
      <c r="F59" s="2997" t="s">
        <v>3219</v>
      </c>
      <c r="G59" s="2998" t="s">
        <v>3273</v>
      </c>
      <c r="H59" s="2997" t="s">
        <v>3196</v>
      </c>
      <c r="I59" s="2997">
        <v>152.03</v>
      </c>
    </row>
    <row r="60" spans="1:9">
      <c r="A60" s="2997">
        <v>60</v>
      </c>
      <c r="B60" s="2997" t="s">
        <v>3249</v>
      </c>
      <c r="C60" s="2997" t="s">
        <v>3223</v>
      </c>
      <c r="D60" s="2998" t="s">
        <v>3281</v>
      </c>
      <c r="E60" s="2997" t="s">
        <v>3123</v>
      </c>
      <c r="F60" s="2997" t="s">
        <v>3219</v>
      </c>
      <c r="G60" s="2998" t="s">
        <v>3273</v>
      </c>
      <c r="H60" s="2997" t="s">
        <v>3196</v>
      </c>
      <c r="I60" s="2997">
        <v>116.9</v>
      </c>
    </row>
    <row r="61" spans="1:9">
      <c r="A61" s="2997">
        <v>62</v>
      </c>
      <c r="B61" s="2997" t="s">
        <v>3222</v>
      </c>
      <c r="C61" s="2997" t="s">
        <v>3223</v>
      </c>
      <c r="D61" s="2998" t="s">
        <v>3284</v>
      </c>
      <c r="E61" s="2997" t="s">
        <v>3218</v>
      </c>
      <c r="F61" s="2997" t="s">
        <v>3219</v>
      </c>
      <c r="G61" s="2998" t="s">
        <v>3286</v>
      </c>
      <c r="H61" s="2997" t="s">
        <v>3221</v>
      </c>
      <c r="I61" s="2997">
        <v>160.65</v>
      </c>
    </row>
    <row r="62" spans="1:9">
      <c r="A62" s="2997">
        <v>63</v>
      </c>
      <c r="B62" s="2997" t="s">
        <v>3222</v>
      </c>
      <c r="C62" s="2997" t="s">
        <v>3223</v>
      </c>
      <c r="D62" s="2998" t="s">
        <v>3287</v>
      </c>
      <c r="E62" s="2997" t="s">
        <v>3218</v>
      </c>
      <c r="F62" s="2997" t="s">
        <v>3219</v>
      </c>
      <c r="G62" s="2998" t="s">
        <v>3286</v>
      </c>
      <c r="H62" s="2997" t="s">
        <v>3221</v>
      </c>
      <c r="I62" s="2997">
        <v>152</v>
      </c>
    </row>
    <row r="63" spans="1:9">
      <c r="A63" s="2997">
        <v>64</v>
      </c>
      <c r="B63" s="2997" t="s">
        <v>3222</v>
      </c>
      <c r="C63" s="2997" t="s">
        <v>3223</v>
      </c>
      <c r="D63" s="2998" t="s">
        <v>3288</v>
      </c>
      <c r="E63" s="2997" t="s">
        <v>3218</v>
      </c>
      <c r="F63" s="2997" t="s">
        <v>3219</v>
      </c>
      <c r="G63" s="2998" t="s">
        <v>3286</v>
      </c>
      <c r="H63" s="2997" t="s">
        <v>3221</v>
      </c>
      <c r="I63" s="2997">
        <v>152</v>
      </c>
    </row>
    <row r="64" spans="1:9">
      <c r="A64" s="2997">
        <v>65</v>
      </c>
      <c r="B64" s="2997" t="s">
        <v>3222</v>
      </c>
      <c r="C64" s="2997" t="s">
        <v>3223</v>
      </c>
      <c r="D64" s="2998" t="s">
        <v>3289</v>
      </c>
      <c r="E64" s="2997" t="s">
        <v>3218</v>
      </c>
      <c r="F64" s="2997" t="s">
        <v>3219</v>
      </c>
      <c r="G64" s="2998" t="s">
        <v>3286</v>
      </c>
      <c r="H64" s="2997" t="s">
        <v>3221</v>
      </c>
      <c r="I64" s="2997">
        <v>152</v>
      </c>
    </row>
    <row r="65" spans="1:9">
      <c r="A65" s="2997">
        <v>66</v>
      </c>
      <c r="B65" s="2997" t="s">
        <v>3222</v>
      </c>
      <c r="C65" s="2997" t="s">
        <v>3223</v>
      </c>
      <c r="D65" s="2998" t="s">
        <v>3290</v>
      </c>
      <c r="E65" s="2997" t="s">
        <v>3218</v>
      </c>
      <c r="F65" s="2997" t="s">
        <v>3219</v>
      </c>
      <c r="G65" s="2998" t="s">
        <v>3286</v>
      </c>
      <c r="H65" s="2997" t="s">
        <v>3221</v>
      </c>
      <c r="I65" s="2997">
        <v>152</v>
      </c>
    </row>
    <row r="66" spans="1:9">
      <c r="A66" s="2997">
        <v>67</v>
      </c>
      <c r="B66" s="2997" t="s">
        <v>3222</v>
      </c>
      <c r="C66" s="2997" t="s">
        <v>3223</v>
      </c>
      <c r="D66" s="2998" t="s">
        <v>3291</v>
      </c>
      <c r="E66" s="2997" t="s">
        <v>3218</v>
      </c>
      <c r="F66" s="2997" t="s">
        <v>3219</v>
      </c>
      <c r="G66" s="2998" t="s">
        <v>3286</v>
      </c>
      <c r="H66" s="2997" t="s">
        <v>3221</v>
      </c>
      <c r="I66" s="2997">
        <v>208.31</v>
      </c>
    </row>
    <row r="67" spans="1:9">
      <c r="A67" s="2997">
        <v>68</v>
      </c>
      <c r="B67" s="2997" t="s">
        <v>3222</v>
      </c>
      <c r="C67" s="2997" t="s">
        <v>3223</v>
      </c>
      <c r="D67" s="2998" t="s">
        <v>3292</v>
      </c>
      <c r="E67" s="2997" t="s">
        <v>3218</v>
      </c>
      <c r="F67" s="2997" t="s">
        <v>3219</v>
      </c>
      <c r="G67" s="2998" t="s">
        <v>3286</v>
      </c>
      <c r="H67" s="2997" t="s">
        <v>3221</v>
      </c>
      <c r="I67" s="2997">
        <v>222.93</v>
      </c>
    </row>
    <row r="68" spans="1:9">
      <c r="A68" s="2997">
        <v>69</v>
      </c>
      <c r="B68" s="2997" t="s">
        <v>3222</v>
      </c>
      <c r="C68" s="2997" t="s">
        <v>3223</v>
      </c>
      <c r="D68" s="2998" t="s">
        <v>3293</v>
      </c>
      <c r="E68" s="2997" t="s">
        <v>3218</v>
      </c>
      <c r="F68" s="2997" t="s">
        <v>3219</v>
      </c>
      <c r="G68" s="2998" t="s">
        <v>3286</v>
      </c>
      <c r="H68" s="2997" t="s">
        <v>3221</v>
      </c>
      <c r="I68" s="2997">
        <v>152.03</v>
      </c>
    </row>
    <row r="69" spans="1:9">
      <c r="A69" s="2997">
        <v>70</v>
      </c>
      <c r="B69" s="2997" t="s">
        <v>3222</v>
      </c>
      <c r="C69" s="2997" t="s">
        <v>3223</v>
      </c>
      <c r="D69" s="2998" t="s">
        <v>3294</v>
      </c>
      <c r="E69" s="2997" t="s">
        <v>3218</v>
      </c>
      <c r="F69" s="2997" t="s">
        <v>3219</v>
      </c>
      <c r="G69" s="2998" t="s">
        <v>3286</v>
      </c>
      <c r="H69" s="2997" t="s">
        <v>3221</v>
      </c>
      <c r="I69" s="2997">
        <v>116.9</v>
      </c>
    </row>
    <row r="70" spans="1:9">
      <c r="A70" s="2997">
        <v>72</v>
      </c>
      <c r="B70" s="2997" t="s">
        <v>3222</v>
      </c>
      <c r="C70" s="2997" t="s">
        <v>3223</v>
      </c>
      <c r="D70" s="2998" t="s">
        <v>3295</v>
      </c>
      <c r="E70" s="2997" t="s">
        <v>3218</v>
      </c>
      <c r="F70" s="2997" t="s">
        <v>3219</v>
      </c>
      <c r="G70" s="2998" t="s">
        <v>3297</v>
      </c>
      <c r="H70" s="2997" t="s">
        <v>3221</v>
      </c>
      <c r="I70" s="2997">
        <v>160.65</v>
      </c>
    </row>
    <row r="71" spans="1:9">
      <c r="A71" s="2997">
        <v>73</v>
      </c>
      <c r="B71" s="2997" t="s">
        <v>3222</v>
      </c>
      <c r="C71" s="2997" t="s">
        <v>3223</v>
      </c>
      <c r="D71" s="2998" t="s">
        <v>3298</v>
      </c>
      <c r="E71" s="2997" t="s">
        <v>3218</v>
      </c>
      <c r="F71" s="2997" t="s">
        <v>3219</v>
      </c>
      <c r="G71" s="2998" t="s">
        <v>3297</v>
      </c>
      <c r="H71" s="2997" t="s">
        <v>3221</v>
      </c>
      <c r="I71" s="2997">
        <v>152</v>
      </c>
    </row>
    <row r="72" spans="1:9">
      <c r="A72" s="2997">
        <v>74</v>
      </c>
      <c r="B72" s="2997" t="s">
        <v>3222</v>
      </c>
      <c r="C72" s="2997" t="s">
        <v>3223</v>
      </c>
      <c r="D72" s="2998" t="s">
        <v>3299</v>
      </c>
      <c r="E72" s="2997" t="s">
        <v>3238</v>
      </c>
      <c r="F72" s="2997" t="s">
        <v>3219</v>
      </c>
      <c r="G72" s="2998" t="s">
        <v>3300</v>
      </c>
      <c r="H72" s="2997" t="s">
        <v>3196</v>
      </c>
      <c r="I72" s="2997">
        <v>152</v>
      </c>
    </row>
    <row r="73" spans="1:9">
      <c r="A73" s="2997">
        <v>75</v>
      </c>
      <c r="B73" s="2997" t="s">
        <v>3301</v>
      </c>
      <c r="C73" s="2997" t="s">
        <v>3302</v>
      </c>
      <c r="D73" s="2998" t="s">
        <v>3303</v>
      </c>
      <c r="E73" s="2997" t="s">
        <v>3238</v>
      </c>
      <c r="F73" s="2997" t="s">
        <v>3219</v>
      </c>
      <c r="G73" s="2998" t="s">
        <v>3300</v>
      </c>
      <c r="H73" s="2997" t="s">
        <v>3196</v>
      </c>
      <c r="I73" s="2997">
        <v>152</v>
      </c>
    </row>
    <row r="74" spans="1:9">
      <c r="A74" s="2997">
        <v>76</v>
      </c>
      <c r="B74" s="2997" t="s">
        <v>3301</v>
      </c>
      <c r="C74" s="2997" t="s">
        <v>3302</v>
      </c>
      <c r="D74" s="2998" t="s">
        <v>3304</v>
      </c>
      <c r="E74" s="2997" t="s">
        <v>3238</v>
      </c>
      <c r="F74" s="2997" t="s">
        <v>3219</v>
      </c>
      <c r="G74" s="2998" t="s">
        <v>3300</v>
      </c>
      <c r="H74" s="2997" t="s">
        <v>3196</v>
      </c>
      <c r="I74" s="2997">
        <v>152</v>
      </c>
    </row>
    <row r="75" spans="1:9">
      <c r="A75" s="2997">
        <v>77</v>
      </c>
      <c r="B75" s="2997" t="s">
        <v>3301</v>
      </c>
      <c r="C75" s="2997" t="s">
        <v>3302</v>
      </c>
      <c r="D75" s="2998" t="s">
        <v>3305</v>
      </c>
      <c r="E75" s="2997" t="s">
        <v>3238</v>
      </c>
      <c r="F75" s="2997" t="s">
        <v>3219</v>
      </c>
      <c r="G75" s="2998" t="s">
        <v>3300</v>
      </c>
      <c r="H75" s="2997" t="s">
        <v>3196</v>
      </c>
      <c r="I75" s="2997">
        <v>208.31</v>
      </c>
    </row>
    <row r="76" spans="1:9">
      <c r="A76" s="2997">
        <v>78</v>
      </c>
      <c r="B76" s="2997" t="s">
        <v>3301</v>
      </c>
      <c r="C76" s="2997" t="s">
        <v>3302</v>
      </c>
      <c r="D76" s="2998" t="s">
        <v>3306</v>
      </c>
      <c r="E76" s="2997" t="s">
        <v>3238</v>
      </c>
      <c r="F76" s="2997" t="s">
        <v>3219</v>
      </c>
      <c r="G76" s="2998" t="s">
        <v>3300</v>
      </c>
      <c r="H76" s="2997" t="s">
        <v>3196</v>
      </c>
      <c r="I76" s="2997">
        <v>222.93</v>
      </c>
    </row>
    <row r="77" spans="1:9">
      <c r="A77" s="2997">
        <v>79</v>
      </c>
      <c r="B77" s="2997" t="s">
        <v>3301</v>
      </c>
      <c r="C77" s="2997" t="s">
        <v>3302</v>
      </c>
      <c r="D77" s="2998" t="s">
        <v>3307</v>
      </c>
      <c r="E77" s="2997" t="s">
        <v>3238</v>
      </c>
      <c r="F77" s="2997" t="s">
        <v>3219</v>
      </c>
      <c r="G77" s="2998" t="s">
        <v>3300</v>
      </c>
      <c r="H77" s="2997" t="s">
        <v>3196</v>
      </c>
      <c r="I77" s="2997">
        <v>152.03</v>
      </c>
    </row>
    <row r="78" spans="1:9">
      <c r="A78" s="2997">
        <v>80</v>
      </c>
      <c r="B78" s="2997" t="s">
        <v>3301</v>
      </c>
      <c r="C78" s="2997" t="s">
        <v>3302</v>
      </c>
      <c r="D78" s="2998" t="s">
        <v>3308</v>
      </c>
      <c r="E78" s="2997" t="s">
        <v>3238</v>
      </c>
      <c r="F78" s="2997" t="s">
        <v>3219</v>
      </c>
      <c r="G78" s="2998" t="s">
        <v>3300</v>
      </c>
      <c r="H78" s="2997" t="s">
        <v>3196</v>
      </c>
      <c r="I78" s="2997">
        <v>116.9</v>
      </c>
    </row>
    <row r="79" spans="1:9">
      <c r="A79" s="2997">
        <v>82</v>
      </c>
      <c r="B79" s="2997" t="s">
        <v>3301</v>
      </c>
      <c r="C79" s="2997" t="s">
        <v>3302</v>
      </c>
      <c r="D79" s="2998" t="s">
        <v>3311</v>
      </c>
      <c r="E79" s="2997" t="s">
        <v>3238</v>
      </c>
      <c r="F79" s="2997" t="s">
        <v>3219</v>
      </c>
      <c r="G79" s="2998" t="s">
        <v>3312</v>
      </c>
      <c r="H79" s="2997" t="s">
        <v>3196</v>
      </c>
      <c r="I79" s="2997">
        <v>160.65</v>
      </c>
    </row>
    <row r="80" spans="1:9">
      <c r="A80" s="2997">
        <v>83</v>
      </c>
      <c r="B80" s="2997" t="s">
        <v>3301</v>
      </c>
      <c r="C80" s="2997" t="s">
        <v>3302</v>
      </c>
      <c r="D80" s="2998" t="s">
        <v>3313</v>
      </c>
      <c r="E80" s="2997" t="s">
        <v>3238</v>
      </c>
      <c r="F80" s="2997" t="s">
        <v>3219</v>
      </c>
      <c r="G80" s="2998" t="s">
        <v>3312</v>
      </c>
      <c r="H80" s="2997" t="s">
        <v>3196</v>
      </c>
      <c r="I80" s="2997">
        <v>152</v>
      </c>
    </row>
    <row r="81" spans="1:9">
      <c r="A81" s="2997">
        <v>84</v>
      </c>
      <c r="B81" s="2997" t="s">
        <v>3301</v>
      </c>
      <c r="C81" s="2997" t="s">
        <v>3302</v>
      </c>
      <c r="D81" s="2998" t="s">
        <v>3314</v>
      </c>
      <c r="E81" s="2997" t="s">
        <v>3238</v>
      </c>
      <c r="F81" s="2997" t="s">
        <v>3219</v>
      </c>
      <c r="G81" s="2998" t="s">
        <v>3312</v>
      </c>
      <c r="H81" s="2997" t="s">
        <v>3196</v>
      </c>
      <c r="I81" s="2997">
        <v>152</v>
      </c>
    </row>
    <row r="82" spans="1:9">
      <c r="A82" s="2997">
        <v>85</v>
      </c>
      <c r="B82" s="2997" t="s">
        <v>3301</v>
      </c>
      <c r="C82" s="2997" t="s">
        <v>3302</v>
      </c>
      <c r="D82" s="2998" t="s">
        <v>3315</v>
      </c>
      <c r="E82" s="2997" t="s">
        <v>3238</v>
      </c>
      <c r="F82" s="2997" t="s">
        <v>3219</v>
      </c>
      <c r="G82" s="2998" t="s">
        <v>3312</v>
      </c>
      <c r="H82" s="2997" t="s">
        <v>3196</v>
      </c>
      <c r="I82" s="2997">
        <v>152</v>
      </c>
    </row>
    <row r="83" spans="1:9">
      <c r="A83" s="2997">
        <v>86</v>
      </c>
      <c r="B83" s="2997" t="s">
        <v>3301</v>
      </c>
      <c r="C83" s="2997" t="s">
        <v>3302</v>
      </c>
      <c r="D83" s="2998" t="s">
        <v>3316</v>
      </c>
      <c r="E83" s="2997" t="s">
        <v>3238</v>
      </c>
      <c r="F83" s="2997" t="s">
        <v>3219</v>
      </c>
      <c r="G83" s="2998" t="s">
        <v>3312</v>
      </c>
      <c r="H83" s="2997" t="s">
        <v>3196</v>
      </c>
      <c r="I83" s="2997">
        <v>152</v>
      </c>
    </row>
    <row r="84" spans="1:9">
      <c r="A84" s="2997">
        <v>87</v>
      </c>
      <c r="B84" s="2997" t="s">
        <v>3301</v>
      </c>
      <c r="C84" s="2997" t="s">
        <v>3302</v>
      </c>
      <c r="D84" s="2998" t="s">
        <v>3317</v>
      </c>
      <c r="E84" s="2997" t="s">
        <v>3238</v>
      </c>
      <c r="F84" s="2997" t="s">
        <v>3219</v>
      </c>
      <c r="G84" s="2998" t="s">
        <v>3312</v>
      </c>
      <c r="H84" s="2997" t="s">
        <v>3196</v>
      </c>
      <c r="I84" s="2997">
        <v>208.31</v>
      </c>
    </row>
    <row r="85" spans="1:9">
      <c r="A85" s="2997">
        <v>88</v>
      </c>
      <c r="B85" s="2997" t="s">
        <v>3301</v>
      </c>
      <c r="C85" s="2997" t="s">
        <v>3302</v>
      </c>
      <c r="D85" s="2998" t="s">
        <v>3318</v>
      </c>
      <c r="E85" s="2997" t="s">
        <v>3238</v>
      </c>
      <c r="F85" s="2997" t="s">
        <v>3219</v>
      </c>
      <c r="G85" s="2998" t="s">
        <v>3312</v>
      </c>
      <c r="H85" s="2997" t="s">
        <v>3196</v>
      </c>
      <c r="I85" s="2997">
        <v>222.93</v>
      </c>
    </row>
    <row r="86" spans="1:9">
      <c r="A86" s="2997">
        <v>89</v>
      </c>
      <c r="B86" s="2997" t="s">
        <v>3301</v>
      </c>
      <c r="C86" s="2997" t="s">
        <v>3302</v>
      </c>
      <c r="D86" s="2998" t="s">
        <v>3319</v>
      </c>
      <c r="E86" s="2997" t="s">
        <v>3238</v>
      </c>
      <c r="F86" s="2997" t="s">
        <v>3219</v>
      </c>
      <c r="G86" s="2998" t="s">
        <v>3312</v>
      </c>
      <c r="H86" s="2997" t="s">
        <v>3196</v>
      </c>
      <c r="I86" s="2997">
        <v>152.03</v>
      </c>
    </row>
    <row r="87" spans="1:9">
      <c r="A87" s="2997">
        <v>90</v>
      </c>
      <c r="B87" s="2997" t="s">
        <v>3301</v>
      </c>
      <c r="C87" s="2997" t="s">
        <v>3302</v>
      </c>
      <c r="D87" s="2998" t="s">
        <v>3320</v>
      </c>
      <c r="E87" s="2997" t="s">
        <v>3218</v>
      </c>
      <c r="F87" s="2997" t="s">
        <v>3219</v>
      </c>
      <c r="G87" s="2998" t="s">
        <v>3312</v>
      </c>
      <c r="H87" s="2997" t="s">
        <v>3221</v>
      </c>
      <c r="I87" s="2997">
        <v>116.9</v>
      </c>
    </row>
    <row r="88" spans="1:9">
      <c r="A88" s="2997">
        <v>92</v>
      </c>
      <c r="B88" s="2997" t="s">
        <v>3222</v>
      </c>
      <c r="C88" s="2997" t="s">
        <v>3223</v>
      </c>
      <c r="D88" s="2998" t="s">
        <v>3324</v>
      </c>
      <c r="E88" s="2997" t="s">
        <v>3218</v>
      </c>
      <c r="F88" s="2997" t="s">
        <v>3219</v>
      </c>
      <c r="G88" s="2998" t="s">
        <v>3325</v>
      </c>
      <c r="H88" s="2997" t="s">
        <v>3221</v>
      </c>
      <c r="I88" s="2997">
        <v>160.65</v>
      </c>
    </row>
    <row r="89" spans="1:9">
      <c r="A89" s="2997">
        <v>93</v>
      </c>
      <c r="B89" s="2997" t="s">
        <v>3222</v>
      </c>
      <c r="C89" s="2997" t="s">
        <v>3223</v>
      </c>
      <c r="D89" s="2998" t="s">
        <v>3326</v>
      </c>
      <c r="E89" s="2997" t="s">
        <v>3218</v>
      </c>
      <c r="F89" s="2997" t="s">
        <v>3219</v>
      </c>
      <c r="G89" s="2998" t="s">
        <v>3325</v>
      </c>
      <c r="H89" s="2997" t="s">
        <v>3221</v>
      </c>
      <c r="I89" s="2997">
        <v>152</v>
      </c>
    </row>
    <row r="90" spans="1:9">
      <c r="A90" s="2997">
        <v>94</v>
      </c>
      <c r="B90" s="2997" t="s">
        <v>3222</v>
      </c>
      <c r="C90" s="2997" t="s">
        <v>3223</v>
      </c>
      <c r="D90" s="2998" t="s">
        <v>3327</v>
      </c>
      <c r="E90" s="2997" t="s">
        <v>3218</v>
      </c>
      <c r="F90" s="2997" t="s">
        <v>3219</v>
      </c>
      <c r="G90" s="2998" t="s">
        <v>3325</v>
      </c>
      <c r="H90" s="2997" t="s">
        <v>3221</v>
      </c>
      <c r="I90" s="2997">
        <v>152</v>
      </c>
    </row>
    <row r="91" spans="1:9">
      <c r="A91" s="2997">
        <v>95</v>
      </c>
      <c r="B91" s="2997" t="s">
        <v>3222</v>
      </c>
      <c r="C91" s="2997" t="s">
        <v>3223</v>
      </c>
      <c r="D91" s="2998" t="s">
        <v>3328</v>
      </c>
      <c r="E91" s="2997" t="s">
        <v>3218</v>
      </c>
      <c r="F91" s="2997" t="s">
        <v>3219</v>
      </c>
      <c r="G91" s="2998" t="s">
        <v>3325</v>
      </c>
      <c r="H91" s="2997" t="s">
        <v>3221</v>
      </c>
      <c r="I91" s="2997">
        <v>152</v>
      </c>
    </row>
    <row r="92" spans="1:9">
      <c r="A92" s="2997">
        <v>96</v>
      </c>
      <c r="B92" s="2997" t="s">
        <v>3222</v>
      </c>
      <c r="C92" s="2997" t="s">
        <v>3223</v>
      </c>
      <c r="D92" s="2998" t="s">
        <v>3329</v>
      </c>
      <c r="E92" s="2997" t="s">
        <v>3218</v>
      </c>
      <c r="F92" s="2997" t="s">
        <v>3219</v>
      </c>
      <c r="G92" s="2998" t="s">
        <v>3325</v>
      </c>
      <c r="H92" s="2997" t="s">
        <v>3221</v>
      </c>
      <c r="I92" s="2997">
        <v>152</v>
      </c>
    </row>
    <row r="93" spans="1:9">
      <c r="A93" s="2997">
        <v>97</v>
      </c>
      <c r="B93" s="2997" t="s">
        <v>3222</v>
      </c>
      <c r="C93" s="2997" t="s">
        <v>3223</v>
      </c>
      <c r="D93" s="2998" t="s">
        <v>3330</v>
      </c>
      <c r="E93" s="2997" t="s">
        <v>3218</v>
      </c>
      <c r="F93" s="2997" t="s">
        <v>3219</v>
      </c>
      <c r="G93" s="2998" t="s">
        <v>3325</v>
      </c>
      <c r="H93" s="2997" t="s">
        <v>3221</v>
      </c>
      <c r="I93" s="2997">
        <v>208.31</v>
      </c>
    </row>
    <row r="94" spans="1:9">
      <c r="A94" s="2997">
        <v>98</v>
      </c>
      <c r="B94" s="2997" t="s">
        <v>3222</v>
      </c>
      <c r="C94" s="2997" t="s">
        <v>3223</v>
      </c>
      <c r="D94" s="2998" t="s">
        <v>3331</v>
      </c>
      <c r="E94" s="2997" t="s">
        <v>3218</v>
      </c>
      <c r="F94" s="2997" t="s">
        <v>3219</v>
      </c>
      <c r="G94" s="2998" t="s">
        <v>3325</v>
      </c>
      <c r="H94" s="2997" t="s">
        <v>3221</v>
      </c>
      <c r="I94" s="2997">
        <v>222.93</v>
      </c>
    </row>
    <row r="95" spans="1:9">
      <c r="A95" s="2997">
        <v>99</v>
      </c>
      <c r="B95" s="2997" t="s">
        <v>3222</v>
      </c>
      <c r="C95" s="2997" t="s">
        <v>3223</v>
      </c>
      <c r="D95" s="2998" t="s">
        <v>3332</v>
      </c>
      <c r="E95" s="2997" t="s">
        <v>3218</v>
      </c>
      <c r="F95" s="2997" t="s">
        <v>3219</v>
      </c>
      <c r="G95" s="2998" t="s">
        <v>3325</v>
      </c>
      <c r="H95" s="2997" t="s">
        <v>3221</v>
      </c>
      <c r="I95" s="2997">
        <v>152.03</v>
      </c>
    </row>
    <row r="96" spans="1:9">
      <c r="A96" s="2997">
        <v>100</v>
      </c>
      <c r="B96" s="2997" t="s">
        <v>3222</v>
      </c>
      <c r="C96" s="2997" t="s">
        <v>3223</v>
      </c>
      <c r="D96" s="2998" t="s">
        <v>3333</v>
      </c>
      <c r="E96" s="2997" t="s">
        <v>3218</v>
      </c>
      <c r="F96" s="2997" t="s">
        <v>3219</v>
      </c>
      <c r="G96" s="2998" t="s">
        <v>3325</v>
      </c>
      <c r="H96" s="2997" t="s">
        <v>3221</v>
      </c>
      <c r="I96" s="2997">
        <v>116.9</v>
      </c>
    </row>
    <row r="97" spans="1:9">
      <c r="A97" s="2997">
        <v>102</v>
      </c>
      <c r="B97" s="2997" t="s">
        <v>3222</v>
      </c>
      <c r="C97" s="2997" t="s">
        <v>3223</v>
      </c>
      <c r="D97" s="2998" t="s">
        <v>3336</v>
      </c>
      <c r="E97" s="2997" t="s">
        <v>3218</v>
      </c>
      <c r="F97" s="2997" t="s">
        <v>3219</v>
      </c>
      <c r="G97" s="2998" t="s">
        <v>3337</v>
      </c>
      <c r="H97" s="2997" t="s">
        <v>3221</v>
      </c>
      <c r="I97" s="2997">
        <v>160.65</v>
      </c>
    </row>
    <row r="98" spans="1:9">
      <c r="A98" s="2997">
        <v>103</v>
      </c>
      <c r="B98" s="2997" t="s">
        <v>3222</v>
      </c>
      <c r="C98" s="2997" t="s">
        <v>3223</v>
      </c>
      <c r="D98" s="2998" t="s">
        <v>3338</v>
      </c>
      <c r="E98" s="2997" t="s">
        <v>3218</v>
      </c>
      <c r="F98" s="2997" t="s">
        <v>3219</v>
      </c>
      <c r="G98" s="2998" t="s">
        <v>3337</v>
      </c>
      <c r="H98" s="2997" t="s">
        <v>3221</v>
      </c>
      <c r="I98" s="2997">
        <v>152</v>
      </c>
    </row>
    <row r="99" spans="1:9">
      <c r="A99" s="2997">
        <v>104</v>
      </c>
      <c r="B99" s="2997" t="s">
        <v>3222</v>
      </c>
      <c r="C99" s="2997" t="s">
        <v>3223</v>
      </c>
      <c r="D99" s="2998" t="s">
        <v>3339</v>
      </c>
      <c r="E99" s="2997" t="s">
        <v>3218</v>
      </c>
      <c r="F99" s="2997" t="s">
        <v>3219</v>
      </c>
      <c r="G99" s="2998" t="s">
        <v>3337</v>
      </c>
      <c r="H99" s="2997" t="s">
        <v>3221</v>
      </c>
      <c r="I99" s="2997">
        <v>152</v>
      </c>
    </row>
    <row r="100" spans="1:9">
      <c r="A100" s="2997">
        <v>105</v>
      </c>
      <c r="B100" s="2997" t="s">
        <v>3222</v>
      </c>
      <c r="C100" s="2997" t="s">
        <v>3223</v>
      </c>
      <c r="D100" s="2998" t="s">
        <v>3340</v>
      </c>
      <c r="E100" s="2997" t="s">
        <v>3218</v>
      </c>
      <c r="F100" s="2997" t="s">
        <v>3219</v>
      </c>
      <c r="G100" s="2998" t="s">
        <v>3337</v>
      </c>
      <c r="H100" s="2997" t="s">
        <v>3221</v>
      </c>
      <c r="I100" s="2997">
        <v>152</v>
      </c>
    </row>
    <row r="101" spans="1:9">
      <c r="A101" s="2997">
        <v>106</v>
      </c>
      <c r="B101" s="2997" t="s">
        <v>3222</v>
      </c>
      <c r="C101" s="2997" t="s">
        <v>3223</v>
      </c>
      <c r="D101" s="2998" t="s">
        <v>3341</v>
      </c>
      <c r="E101" s="2997" t="s">
        <v>3218</v>
      </c>
      <c r="F101" s="2997" t="s">
        <v>3219</v>
      </c>
      <c r="G101" s="2998" t="s">
        <v>3337</v>
      </c>
      <c r="H101" s="2997" t="s">
        <v>3221</v>
      </c>
      <c r="I101" s="2997">
        <v>152</v>
      </c>
    </row>
    <row r="102" spans="1:9">
      <c r="A102" s="2997">
        <v>107</v>
      </c>
      <c r="B102" s="2997" t="s">
        <v>3222</v>
      </c>
      <c r="C102" s="2997" t="s">
        <v>3223</v>
      </c>
      <c r="D102" s="2998" t="s">
        <v>3342</v>
      </c>
      <c r="E102" s="2997" t="s">
        <v>3218</v>
      </c>
      <c r="F102" s="2997" t="s">
        <v>3219</v>
      </c>
      <c r="G102" s="2998" t="s">
        <v>3337</v>
      </c>
      <c r="H102" s="2997" t="s">
        <v>3221</v>
      </c>
      <c r="I102" s="2997">
        <v>208.31</v>
      </c>
    </row>
    <row r="103" spans="1:9">
      <c r="A103" s="2997">
        <v>108</v>
      </c>
      <c r="B103" s="2997" t="s">
        <v>3222</v>
      </c>
      <c r="C103" s="2997" t="s">
        <v>3223</v>
      </c>
      <c r="D103" s="2998" t="s">
        <v>3343</v>
      </c>
      <c r="E103" s="2997" t="s">
        <v>3218</v>
      </c>
      <c r="F103" s="2997" t="s">
        <v>3219</v>
      </c>
      <c r="G103" s="2998" t="s">
        <v>3337</v>
      </c>
      <c r="H103" s="2997" t="s">
        <v>3221</v>
      </c>
      <c r="I103" s="2997">
        <v>222.93</v>
      </c>
    </row>
    <row r="104" spans="1:9">
      <c r="A104" s="2997">
        <v>109</v>
      </c>
      <c r="B104" s="2997" t="s">
        <v>3222</v>
      </c>
      <c r="C104" s="2997" t="s">
        <v>3223</v>
      </c>
      <c r="D104" s="2998" t="s">
        <v>3344</v>
      </c>
      <c r="E104" s="2997" t="s">
        <v>3218</v>
      </c>
      <c r="F104" s="2997" t="s">
        <v>3219</v>
      </c>
      <c r="G104" s="2998" t="s">
        <v>3337</v>
      </c>
      <c r="H104" s="2997" t="s">
        <v>3221</v>
      </c>
      <c r="I104" s="2997">
        <v>152.03</v>
      </c>
    </row>
    <row r="105" spans="1:9">
      <c r="A105" s="2997">
        <v>110</v>
      </c>
      <c r="B105" s="2997" t="s">
        <v>3222</v>
      </c>
      <c r="C105" s="2997" t="s">
        <v>3223</v>
      </c>
      <c r="D105" s="2998" t="s">
        <v>3345</v>
      </c>
      <c r="E105" s="2997" t="s">
        <v>3218</v>
      </c>
      <c r="F105" s="2997" t="s">
        <v>3219</v>
      </c>
      <c r="G105" s="2998" t="s">
        <v>3337</v>
      </c>
      <c r="H105" s="2997" t="s">
        <v>3221</v>
      </c>
      <c r="I105" s="2997">
        <v>116.9</v>
      </c>
    </row>
    <row r="106" spans="1:9">
      <c r="A106" s="2997">
        <v>112</v>
      </c>
      <c r="B106" s="2997" t="s">
        <v>3222</v>
      </c>
      <c r="C106" s="2997" t="s">
        <v>3223</v>
      </c>
      <c r="D106" s="2998" t="s">
        <v>3348</v>
      </c>
      <c r="E106" s="2997" t="s">
        <v>3218</v>
      </c>
      <c r="F106" s="2997" t="s">
        <v>3219</v>
      </c>
      <c r="G106" s="2998" t="s">
        <v>3349</v>
      </c>
      <c r="H106" s="2997" t="s">
        <v>3221</v>
      </c>
      <c r="I106" s="2997">
        <v>160.65</v>
      </c>
    </row>
    <row r="107" spans="1:9">
      <c r="A107" s="2997">
        <v>113</v>
      </c>
      <c r="B107" s="2997" t="s">
        <v>3222</v>
      </c>
      <c r="C107" s="2997" t="s">
        <v>3223</v>
      </c>
      <c r="D107" s="2998" t="s">
        <v>3350</v>
      </c>
      <c r="E107" s="2997" t="s">
        <v>3218</v>
      </c>
      <c r="F107" s="2997" t="s">
        <v>3219</v>
      </c>
      <c r="G107" s="2998" t="s">
        <v>3349</v>
      </c>
      <c r="H107" s="2997" t="s">
        <v>3221</v>
      </c>
      <c r="I107" s="2997">
        <v>152</v>
      </c>
    </row>
    <row r="108" spans="1:9">
      <c r="A108" s="2997">
        <v>114</v>
      </c>
      <c r="B108" s="2997" t="s">
        <v>3222</v>
      </c>
      <c r="C108" s="2997" t="s">
        <v>3223</v>
      </c>
      <c r="D108" s="2998" t="s">
        <v>3351</v>
      </c>
      <c r="E108" s="2997" t="s">
        <v>3218</v>
      </c>
      <c r="F108" s="2997" t="s">
        <v>3219</v>
      </c>
      <c r="G108" s="2998" t="s">
        <v>3349</v>
      </c>
      <c r="H108" s="2997" t="s">
        <v>3221</v>
      </c>
      <c r="I108" s="2997">
        <v>152</v>
      </c>
    </row>
    <row r="109" spans="1:9">
      <c r="A109" s="2997">
        <v>115</v>
      </c>
      <c r="B109" s="2997" t="s">
        <v>3222</v>
      </c>
      <c r="C109" s="2997" t="s">
        <v>3223</v>
      </c>
      <c r="D109" s="2998" t="s">
        <v>3352</v>
      </c>
      <c r="E109" s="2997" t="s">
        <v>3218</v>
      </c>
      <c r="F109" s="2997" t="s">
        <v>3219</v>
      </c>
      <c r="G109" s="2998" t="s">
        <v>3349</v>
      </c>
      <c r="H109" s="2997" t="s">
        <v>3221</v>
      </c>
      <c r="I109" s="2997">
        <v>152</v>
      </c>
    </row>
    <row r="110" spans="1:9">
      <c r="A110" s="2997">
        <v>116</v>
      </c>
      <c r="B110" s="2997" t="s">
        <v>3222</v>
      </c>
      <c r="C110" s="2997" t="s">
        <v>3223</v>
      </c>
      <c r="D110" s="2998" t="s">
        <v>3353</v>
      </c>
      <c r="E110" s="2997" t="s">
        <v>3218</v>
      </c>
      <c r="F110" s="2997" t="s">
        <v>3219</v>
      </c>
      <c r="G110" s="2998" t="s">
        <v>3349</v>
      </c>
      <c r="H110" s="2997" t="s">
        <v>3221</v>
      </c>
      <c r="I110" s="2997">
        <v>152</v>
      </c>
    </row>
    <row r="111" spans="1:9">
      <c r="A111" s="2997">
        <v>117</v>
      </c>
      <c r="B111" s="2997" t="s">
        <v>3222</v>
      </c>
      <c r="C111" s="2997" t="s">
        <v>3223</v>
      </c>
      <c r="D111" s="2998" t="s">
        <v>3354</v>
      </c>
      <c r="E111" s="2997" t="s">
        <v>3218</v>
      </c>
      <c r="F111" s="2997" t="s">
        <v>3219</v>
      </c>
      <c r="G111" s="2998" t="s">
        <v>3349</v>
      </c>
      <c r="H111" s="2997" t="s">
        <v>3221</v>
      </c>
      <c r="I111" s="2997">
        <v>208.31</v>
      </c>
    </row>
    <row r="112" spans="1:9">
      <c r="A112" s="2997">
        <v>118</v>
      </c>
      <c r="B112" s="2997" t="s">
        <v>3222</v>
      </c>
      <c r="C112" s="2997" t="s">
        <v>3223</v>
      </c>
      <c r="D112" s="2998" t="s">
        <v>3355</v>
      </c>
      <c r="E112" s="2997" t="s">
        <v>3218</v>
      </c>
      <c r="F112" s="2997" t="s">
        <v>3219</v>
      </c>
      <c r="G112" s="2998" t="s">
        <v>3349</v>
      </c>
      <c r="H112" s="2997" t="s">
        <v>3221</v>
      </c>
      <c r="I112" s="2997">
        <v>222.93</v>
      </c>
    </row>
    <row r="113" spans="1:9">
      <c r="A113" s="2997">
        <v>119</v>
      </c>
      <c r="B113" s="2997" t="s">
        <v>3222</v>
      </c>
      <c r="C113" s="2997" t="s">
        <v>3223</v>
      </c>
      <c r="D113" s="2998" t="s">
        <v>3356</v>
      </c>
      <c r="E113" s="2997" t="s">
        <v>3218</v>
      </c>
      <c r="F113" s="2997" t="s">
        <v>3219</v>
      </c>
      <c r="G113" s="2998" t="s">
        <v>3349</v>
      </c>
      <c r="H113" s="2997" t="s">
        <v>3221</v>
      </c>
      <c r="I113" s="2997">
        <v>152.03</v>
      </c>
    </row>
    <row r="114" spans="1:9">
      <c r="A114" s="2997">
        <v>120</v>
      </c>
      <c r="B114" s="2997" t="s">
        <v>3222</v>
      </c>
      <c r="C114" s="2997" t="s">
        <v>3223</v>
      </c>
      <c r="D114" s="2998" t="s">
        <v>3357</v>
      </c>
      <c r="E114" s="2997" t="s">
        <v>3218</v>
      </c>
      <c r="F114" s="2997" t="s">
        <v>3219</v>
      </c>
      <c r="G114" s="2998" t="s">
        <v>3349</v>
      </c>
      <c r="H114" s="2997" t="s">
        <v>3221</v>
      </c>
      <c r="I114" s="2997">
        <v>116.9</v>
      </c>
    </row>
    <row r="115" spans="1:9" s="3439" customFormat="1">
      <c r="A115" s="3437">
        <v>1</v>
      </c>
      <c r="B115" s="3437" t="s">
        <v>3183</v>
      </c>
      <c r="C115" s="3437" t="s">
        <v>3184</v>
      </c>
      <c r="D115" s="3438" t="s">
        <v>3185</v>
      </c>
      <c r="E115" s="3437" t="s">
        <v>3123</v>
      </c>
      <c r="F115" s="3437" t="s">
        <v>3187</v>
      </c>
      <c r="G115" s="3438" t="s">
        <v>3188</v>
      </c>
      <c r="H115" s="3437" t="s">
        <v>3189</v>
      </c>
      <c r="I115" s="3437">
        <v>5960.53</v>
      </c>
    </row>
    <row r="116" spans="1:9" s="3439" customFormat="1">
      <c r="A116" s="3437">
        <v>2</v>
      </c>
      <c r="B116" s="3437" t="s">
        <v>3183</v>
      </c>
      <c r="C116" s="3437" t="s">
        <v>3184</v>
      </c>
      <c r="D116" s="3438" t="s">
        <v>3190</v>
      </c>
      <c r="E116" s="3437" t="s">
        <v>3123</v>
      </c>
      <c r="F116" s="3437" t="s">
        <v>3187</v>
      </c>
      <c r="G116" s="3438" t="s">
        <v>3188</v>
      </c>
      <c r="H116" s="3437" t="s">
        <v>3189</v>
      </c>
      <c r="I116" s="3437">
        <v>2831.2</v>
      </c>
    </row>
    <row r="117" spans="1:9" s="3439" customFormat="1">
      <c r="A117" s="3437">
        <v>3</v>
      </c>
      <c r="B117" s="3437" t="s">
        <v>3183</v>
      </c>
      <c r="C117" s="3437" t="s">
        <v>3184</v>
      </c>
      <c r="D117" s="3438" t="s">
        <v>3191</v>
      </c>
      <c r="E117" s="3437" t="s">
        <v>3123</v>
      </c>
      <c r="F117" s="3437" t="s">
        <v>3187</v>
      </c>
      <c r="G117" s="3438" t="s">
        <v>3188</v>
      </c>
      <c r="H117" s="3437" t="s">
        <v>3189</v>
      </c>
      <c r="I117" s="3437">
        <v>973.41</v>
      </c>
    </row>
    <row r="118" spans="1:9" s="3439" customFormat="1">
      <c r="A118" s="3437">
        <v>5</v>
      </c>
      <c r="B118" s="3437" t="s">
        <v>3183</v>
      </c>
      <c r="C118" s="3437" t="s">
        <v>3184</v>
      </c>
      <c r="D118" s="3438" t="s">
        <v>3197</v>
      </c>
      <c r="E118" s="3437" t="s">
        <v>3123</v>
      </c>
      <c r="F118" s="3437" t="s">
        <v>3198</v>
      </c>
      <c r="G118" s="3438" t="s">
        <v>3199</v>
      </c>
      <c r="H118" s="3437" t="s">
        <v>3189</v>
      </c>
      <c r="I118" s="3437">
        <v>8925.85</v>
      </c>
    </row>
    <row r="119" spans="1:9" s="3439" customFormat="1">
      <c r="A119" s="3437">
        <v>6</v>
      </c>
      <c r="B119" s="3437" t="s">
        <v>3183</v>
      </c>
      <c r="C119" s="3437" t="s">
        <v>3184</v>
      </c>
      <c r="D119" s="3438" t="s">
        <v>3200</v>
      </c>
      <c r="E119" s="3437" t="s">
        <v>3123</v>
      </c>
      <c r="F119" s="3437" t="s">
        <v>3187</v>
      </c>
      <c r="G119" s="3438" t="s">
        <v>3199</v>
      </c>
      <c r="H119" s="3437" t="s">
        <v>3189</v>
      </c>
      <c r="I119" s="3437">
        <v>1999.18</v>
      </c>
    </row>
    <row r="120" spans="1:9" s="3439" customFormat="1">
      <c r="A120" s="3437">
        <v>7</v>
      </c>
      <c r="B120" s="3437" t="s">
        <v>3183</v>
      </c>
      <c r="C120" s="3437" t="s">
        <v>3184</v>
      </c>
      <c r="D120" s="3438" t="s">
        <v>3201</v>
      </c>
      <c r="E120" s="3437" t="s">
        <v>3123</v>
      </c>
      <c r="F120" s="3437" t="s">
        <v>3187</v>
      </c>
      <c r="G120" s="3438" t="s">
        <v>1027</v>
      </c>
      <c r="H120" s="3437" t="s">
        <v>3189</v>
      </c>
      <c r="I120" s="3437">
        <v>8965.7800000000007</v>
      </c>
    </row>
    <row r="121" spans="1:9" s="3439" customFormat="1">
      <c r="A121" s="3437">
        <v>8</v>
      </c>
      <c r="B121" s="3437" t="s">
        <v>3183</v>
      </c>
      <c r="C121" s="3437" t="s">
        <v>3203</v>
      </c>
      <c r="D121" s="3438" t="s">
        <v>3204</v>
      </c>
      <c r="E121" s="3437" t="s">
        <v>3123</v>
      </c>
      <c r="F121" s="3437" t="s">
        <v>3187</v>
      </c>
      <c r="G121" s="3438" t="s">
        <v>1027</v>
      </c>
      <c r="H121" s="3437" t="s">
        <v>3189</v>
      </c>
      <c r="I121" s="3437">
        <v>1991.5</v>
      </c>
    </row>
    <row r="122" spans="1:9" s="3439" customFormat="1">
      <c r="A122" s="3437">
        <v>10</v>
      </c>
      <c r="B122" s="3437" t="s">
        <v>3183</v>
      </c>
      <c r="C122" s="3437" t="s">
        <v>3184</v>
      </c>
      <c r="D122" s="3438" t="s">
        <v>3209</v>
      </c>
      <c r="E122" s="3437" t="s">
        <v>3123</v>
      </c>
      <c r="F122" s="3437" t="s">
        <v>3187</v>
      </c>
      <c r="G122" s="3438" t="s">
        <v>1028</v>
      </c>
      <c r="H122" s="3437" t="s">
        <v>3189</v>
      </c>
      <c r="I122" s="3437">
        <v>10095.84</v>
      </c>
    </row>
    <row r="123" spans="1:9">
      <c r="A123" s="2997">
        <v>122</v>
      </c>
      <c r="B123" s="2997" t="s">
        <v>3183</v>
      </c>
      <c r="C123" s="2997" t="s">
        <v>3203</v>
      </c>
      <c r="D123" s="2998" t="s">
        <v>3363</v>
      </c>
      <c r="E123" s="2997" t="s">
        <v>3218</v>
      </c>
      <c r="F123" s="2997" t="s">
        <v>3187</v>
      </c>
      <c r="G123" s="2998" t="s">
        <v>3359</v>
      </c>
      <c r="H123" s="2997" t="s">
        <v>3360</v>
      </c>
      <c r="I123" s="2997">
        <v>21.37</v>
      </c>
    </row>
    <row r="124" spans="1:9">
      <c r="A124" s="2997">
        <v>123</v>
      </c>
      <c r="B124" s="2997" t="s">
        <v>3183</v>
      </c>
      <c r="C124" s="2997" t="s">
        <v>3203</v>
      </c>
      <c r="D124" s="2998" t="s">
        <v>3365</v>
      </c>
      <c r="E124" s="2997" t="s">
        <v>3218</v>
      </c>
      <c r="F124" s="2997" t="s">
        <v>3187</v>
      </c>
      <c r="G124" s="2998" t="s">
        <v>3359</v>
      </c>
      <c r="H124" s="2997" t="s">
        <v>3360</v>
      </c>
      <c r="I124" s="2997">
        <v>7.56</v>
      </c>
    </row>
    <row r="125" spans="1:9">
      <c r="A125" s="2997">
        <v>124</v>
      </c>
      <c r="B125" s="2997" t="s">
        <v>3183</v>
      </c>
      <c r="C125" s="2997" t="s">
        <v>3203</v>
      </c>
      <c r="D125" s="2998" t="s">
        <v>3366</v>
      </c>
      <c r="E125" s="2997" t="s">
        <v>3218</v>
      </c>
      <c r="F125" s="2997" t="s">
        <v>3187</v>
      </c>
      <c r="G125" s="2998" t="s">
        <v>3359</v>
      </c>
      <c r="H125" s="2997" t="s">
        <v>3360</v>
      </c>
      <c r="I125" s="2997">
        <v>36.07</v>
      </c>
    </row>
    <row r="126" spans="1:9">
      <c r="A126" s="2997">
        <v>125</v>
      </c>
      <c r="B126" s="2997" t="s">
        <v>3183</v>
      </c>
      <c r="C126" s="2997" t="s">
        <v>3203</v>
      </c>
      <c r="D126" s="2998" t="s">
        <v>3367</v>
      </c>
      <c r="E126" s="2997" t="s">
        <v>3218</v>
      </c>
      <c r="F126" s="2997" t="s">
        <v>3187</v>
      </c>
      <c r="G126" s="2998" t="s">
        <v>3359</v>
      </c>
      <c r="H126" s="2997" t="s">
        <v>3360</v>
      </c>
      <c r="I126" s="2997">
        <v>21.25</v>
      </c>
    </row>
    <row r="127" spans="1:9">
      <c r="A127" s="2997">
        <v>126</v>
      </c>
      <c r="B127" s="2997" t="s">
        <v>3183</v>
      </c>
      <c r="C127" s="2997" t="s">
        <v>3203</v>
      </c>
      <c r="D127" s="2998" t="s">
        <v>3368</v>
      </c>
      <c r="E127" s="2997" t="s">
        <v>3218</v>
      </c>
      <c r="F127" s="2997" t="s">
        <v>3187</v>
      </c>
      <c r="G127" s="2998" t="s">
        <v>3359</v>
      </c>
      <c r="H127" s="2997" t="s">
        <v>3360</v>
      </c>
      <c r="I127" s="2997">
        <v>57.48</v>
      </c>
    </row>
    <row r="128" spans="1:9">
      <c r="A128" s="2997">
        <v>127</v>
      </c>
      <c r="B128" s="2997" t="s">
        <v>3183</v>
      </c>
      <c r="C128" s="2997" t="s">
        <v>3203</v>
      </c>
      <c r="D128" s="2998" t="s">
        <v>3369</v>
      </c>
      <c r="E128" s="2997" t="s">
        <v>3218</v>
      </c>
      <c r="F128" s="2997" t="s">
        <v>3187</v>
      </c>
      <c r="G128" s="2998" t="s">
        <v>3359</v>
      </c>
      <c r="H128" s="2997" t="s">
        <v>3360</v>
      </c>
      <c r="I128" s="2997">
        <v>50.19</v>
      </c>
    </row>
    <row r="129" spans="1:9">
      <c r="A129" s="2997">
        <v>128</v>
      </c>
      <c r="B129" s="2997" t="s">
        <v>3183</v>
      </c>
      <c r="C129" s="2997" t="s">
        <v>3203</v>
      </c>
      <c r="D129" s="2998" t="s">
        <v>3370</v>
      </c>
      <c r="E129" s="2997" t="s">
        <v>3218</v>
      </c>
      <c r="F129" s="2997" t="s">
        <v>3187</v>
      </c>
      <c r="G129" s="2998" t="s">
        <v>3359</v>
      </c>
      <c r="H129" s="2997" t="s">
        <v>3360</v>
      </c>
      <c r="I129" s="2997">
        <v>6828.51</v>
      </c>
    </row>
    <row r="130" spans="1:9">
      <c r="A130" s="2997">
        <v>129</v>
      </c>
      <c r="B130" s="2997" t="s">
        <v>3183</v>
      </c>
      <c r="C130" s="2997" t="s">
        <v>3203</v>
      </c>
      <c r="D130" s="2998" t="s">
        <v>3371</v>
      </c>
      <c r="E130" s="2997" t="s">
        <v>3218</v>
      </c>
      <c r="F130" s="2997" t="s">
        <v>3187</v>
      </c>
      <c r="G130" s="2998" t="s">
        <v>3359</v>
      </c>
      <c r="H130" s="2997" t="s">
        <v>3372</v>
      </c>
      <c r="I130" s="2997">
        <v>1940.16</v>
      </c>
    </row>
    <row r="131" spans="1:9">
      <c r="A131" s="2997">
        <v>130</v>
      </c>
      <c r="B131" s="2997" t="s">
        <v>3183</v>
      </c>
      <c r="C131" s="2997" t="s">
        <v>3203</v>
      </c>
      <c r="D131" s="2998" t="s">
        <v>3373</v>
      </c>
      <c r="E131" s="2997" t="s">
        <v>3218</v>
      </c>
      <c r="F131" s="2997" t="s">
        <v>3187</v>
      </c>
      <c r="G131" s="2998" t="s">
        <v>3359</v>
      </c>
      <c r="H131" s="2997" t="s">
        <v>3360</v>
      </c>
      <c r="I131" s="2997">
        <v>69.25</v>
      </c>
    </row>
    <row r="132" spans="1:9">
      <c r="A132" s="2997">
        <v>131</v>
      </c>
      <c r="B132" s="2997" t="s">
        <v>3183</v>
      </c>
      <c r="C132" s="2997" t="s">
        <v>3203</v>
      </c>
      <c r="D132" s="2998" t="s">
        <v>3374</v>
      </c>
      <c r="E132" s="2997" t="s">
        <v>3218</v>
      </c>
      <c r="F132" s="2997" t="s">
        <v>3187</v>
      </c>
      <c r="G132" s="2998" t="s">
        <v>3359</v>
      </c>
      <c r="H132" s="2997" t="s">
        <v>3360</v>
      </c>
      <c r="I132" s="2997">
        <v>48.56</v>
      </c>
    </row>
    <row r="133" spans="1:9">
      <c r="A133" s="2997">
        <v>132</v>
      </c>
      <c r="B133" s="2997" t="s">
        <v>3183</v>
      </c>
      <c r="C133" s="2997" t="s">
        <v>3203</v>
      </c>
      <c r="D133" s="2998" t="s">
        <v>3375</v>
      </c>
      <c r="E133" s="2997" t="s">
        <v>3218</v>
      </c>
      <c r="F133" s="2997" t="s">
        <v>3187</v>
      </c>
      <c r="G133" s="2998" t="s">
        <v>3359</v>
      </c>
      <c r="H133" s="2997" t="s">
        <v>3360</v>
      </c>
      <c r="I133" s="2997">
        <v>48.56</v>
      </c>
    </row>
    <row r="134" spans="1:9">
      <c r="A134" s="2997">
        <v>133</v>
      </c>
      <c r="B134" s="2997" t="s">
        <v>3183</v>
      </c>
      <c r="C134" s="2997" t="s">
        <v>3203</v>
      </c>
      <c r="D134" s="2998" t="s">
        <v>3376</v>
      </c>
      <c r="E134" s="2997" t="s">
        <v>3218</v>
      </c>
      <c r="F134" s="2997" t="s">
        <v>3187</v>
      </c>
      <c r="G134" s="2998" t="s">
        <v>3359</v>
      </c>
      <c r="H134" s="2997" t="s">
        <v>3360</v>
      </c>
      <c r="I134" s="2997">
        <v>47.76</v>
      </c>
    </row>
    <row r="135" spans="1:9">
      <c r="A135" s="2997">
        <v>134</v>
      </c>
      <c r="B135" s="2997" t="s">
        <v>3183</v>
      </c>
      <c r="C135" s="2997" t="s">
        <v>3203</v>
      </c>
      <c r="D135" s="2998" t="s">
        <v>3377</v>
      </c>
      <c r="E135" s="2997" t="s">
        <v>3218</v>
      </c>
      <c r="F135" s="2997" t="s">
        <v>3187</v>
      </c>
      <c r="G135" s="2998" t="s">
        <v>3359</v>
      </c>
      <c r="H135" s="2997" t="s">
        <v>3360</v>
      </c>
      <c r="I135" s="2997">
        <v>53.68</v>
      </c>
    </row>
    <row r="136" spans="1:9">
      <c r="A136" s="2997">
        <v>135</v>
      </c>
      <c r="B136" s="2997" t="s">
        <v>3183</v>
      </c>
      <c r="C136" s="2997" t="s">
        <v>3203</v>
      </c>
      <c r="D136" s="2998" t="s">
        <v>3378</v>
      </c>
      <c r="E136" s="2997" t="s">
        <v>3218</v>
      </c>
      <c r="F136" s="2997" t="s">
        <v>3187</v>
      </c>
      <c r="G136" s="2998" t="s">
        <v>3359</v>
      </c>
      <c r="H136" s="2997" t="s">
        <v>3360</v>
      </c>
      <c r="I136" s="2997">
        <v>53.68</v>
      </c>
    </row>
    <row r="137" spans="1:9">
      <c r="A137" s="2997">
        <v>136</v>
      </c>
      <c r="B137" s="2997" t="s">
        <v>3183</v>
      </c>
      <c r="C137" s="2997" t="s">
        <v>3203</v>
      </c>
      <c r="D137" s="2998" t="s">
        <v>3379</v>
      </c>
      <c r="E137" s="2997" t="s">
        <v>3218</v>
      </c>
      <c r="F137" s="2997" t="s">
        <v>3187</v>
      </c>
      <c r="G137" s="2998" t="s">
        <v>3359</v>
      </c>
      <c r="H137" s="2997" t="s">
        <v>3360</v>
      </c>
      <c r="I137" s="2997">
        <v>53.68</v>
      </c>
    </row>
    <row r="138" spans="1:9">
      <c r="A138" s="2997">
        <v>137</v>
      </c>
      <c r="B138" s="2997" t="s">
        <v>3183</v>
      </c>
      <c r="C138" s="2997" t="s">
        <v>3203</v>
      </c>
      <c r="D138" s="2998" t="s">
        <v>3380</v>
      </c>
      <c r="E138" s="2997" t="s">
        <v>3218</v>
      </c>
      <c r="F138" s="2997" t="s">
        <v>3187</v>
      </c>
      <c r="G138" s="2998" t="s">
        <v>3359</v>
      </c>
      <c r="H138" s="2997" t="s">
        <v>3360</v>
      </c>
      <c r="I138" s="2997">
        <v>53.68</v>
      </c>
    </row>
    <row r="139" spans="1:9">
      <c r="A139" s="2997">
        <v>138</v>
      </c>
      <c r="B139" s="2997" t="s">
        <v>3183</v>
      </c>
      <c r="C139" s="2997" t="s">
        <v>3203</v>
      </c>
      <c r="D139" s="2998" t="s">
        <v>3381</v>
      </c>
      <c r="E139" s="2997" t="s">
        <v>3218</v>
      </c>
      <c r="F139" s="2997" t="s">
        <v>3187</v>
      </c>
      <c r="G139" s="2998" t="s">
        <v>3359</v>
      </c>
      <c r="H139" s="2997" t="s">
        <v>3360</v>
      </c>
      <c r="I139" s="2997">
        <v>47.55</v>
      </c>
    </row>
    <row r="140" spans="1:9">
      <c r="A140" s="2997">
        <v>139</v>
      </c>
      <c r="B140" s="2997" t="s">
        <v>3183</v>
      </c>
      <c r="C140" s="2997" t="s">
        <v>3203</v>
      </c>
      <c r="D140" s="2998" t="s">
        <v>3382</v>
      </c>
      <c r="E140" s="2997" t="s">
        <v>3218</v>
      </c>
      <c r="F140" s="2997" t="s">
        <v>3187</v>
      </c>
      <c r="G140" s="2998" t="s">
        <v>3359</v>
      </c>
      <c r="H140" s="2997" t="s">
        <v>3360</v>
      </c>
      <c r="I140" s="2997">
        <v>54.7</v>
      </c>
    </row>
    <row r="141" spans="1:9">
      <c r="A141" s="2997">
        <v>140</v>
      </c>
      <c r="B141" s="2997" t="s">
        <v>3183</v>
      </c>
      <c r="C141" s="2997" t="s">
        <v>3203</v>
      </c>
      <c r="D141" s="2998" t="s">
        <v>3383</v>
      </c>
      <c r="E141" s="2997" t="s">
        <v>3218</v>
      </c>
      <c r="F141" s="2997" t="s">
        <v>3187</v>
      </c>
      <c r="G141" s="2998" t="s">
        <v>3384</v>
      </c>
      <c r="H141" s="2997" t="s">
        <v>3360</v>
      </c>
      <c r="I141" s="2997">
        <v>21.21</v>
      </c>
    </row>
    <row r="142" spans="1:9">
      <c r="A142" s="2997">
        <v>141</v>
      </c>
      <c r="B142" s="2997" t="s">
        <v>3183</v>
      </c>
      <c r="C142" s="2997" t="s">
        <v>3203</v>
      </c>
      <c r="D142" s="2998" t="s">
        <v>3385</v>
      </c>
      <c r="E142" s="2997" t="s">
        <v>3218</v>
      </c>
      <c r="F142" s="2997" t="s">
        <v>3187</v>
      </c>
      <c r="G142" s="2998" t="s">
        <v>3384</v>
      </c>
      <c r="H142" s="2997" t="s">
        <v>3360</v>
      </c>
      <c r="I142" s="2997">
        <v>46.3</v>
      </c>
    </row>
    <row r="143" spans="1:9">
      <c r="A143" s="2997">
        <v>142</v>
      </c>
      <c r="B143" s="2997" t="s">
        <v>3183</v>
      </c>
      <c r="C143" s="2997" t="s">
        <v>3203</v>
      </c>
      <c r="D143" s="2998" t="s">
        <v>3386</v>
      </c>
      <c r="E143" s="2997" t="s">
        <v>3218</v>
      </c>
      <c r="F143" s="2997" t="s">
        <v>3187</v>
      </c>
      <c r="G143" s="2998" t="s">
        <v>3384</v>
      </c>
      <c r="H143" s="2997" t="s">
        <v>3360</v>
      </c>
      <c r="I143" s="2997">
        <v>37.840000000000003</v>
      </c>
    </row>
    <row r="144" spans="1:9">
      <c r="A144" s="2997">
        <v>143</v>
      </c>
      <c r="B144" s="2997" t="s">
        <v>3183</v>
      </c>
      <c r="C144" s="2997" t="s">
        <v>3203</v>
      </c>
      <c r="D144" s="2998" t="s">
        <v>3387</v>
      </c>
      <c r="E144" s="2997" t="s">
        <v>3218</v>
      </c>
      <c r="F144" s="2997" t="s">
        <v>3187</v>
      </c>
      <c r="G144" s="2998" t="s">
        <v>3384</v>
      </c>
      <c r="H144" s="2997" t="s">
        <v>3360</v>
      </c>
      <c r="I144" s="2997">
        <v>50.82</v>
      </c>
    </row>
    <row r="145" spans="1:9">
      <c r="A145" s="2997">
        <v>144</v>
      </c>
      <c r="B145" s="2997" t="s">
        <v>3183</v>
      </c>
      <c r="C145" s="2997" t="s">
        <v>3203</v>
      </c>
      <c r="D145" s="2998" t="s">
        <v>3388</v>
      </c>
      <c r="E145" s="2997" t="s">
        <v>3218</v>
      </c>
      <c r="F145" s="2997" t="s">
        <v>3187</v>
      </c>
      <c r="G145" s="2998" t="s">
        <v>3384</v>
      </c>
      <c r="H145" s="2997" t="s">
        <v>3360</v>
      </c>
      <c r="I145" s="2997">
        <v>1951.24</v>
      </c>
    </row>
    <row r="146" spans="1:9">
      <c r="A146" s="2997">
        <v>145</v>
      </c>
      <c r="B146" s="2997" t="s">
        <v>3183</v>
      </c>
      <c r="C146" s="2997" t="s">
        <v>3203</v>
      </c>
      <c r="D146" s="2998" t="s">
        <v>3389</v>
      </c>
      <c r="E146" s="2997" t="s">
        <v>3218</v>
      </c>
      <c r="F146" s="2997" t="s">
        <v>3187</v>
      </c>
      <c r="G146" s="2998" t="s">
        <v>3390</v>
      </c>
      <c r="H146" s="2997" t="s">
        <v>3360</v>
      </c>
      <c r="I146" s="2997">
        <v>179.13</v>
      </c>
    </row>
    <row r="147" spans="1:9">
      <c r="A147" s="2997">
        <v>146</v>
      </c>
      <c r="B147" s="2997" t="s">
        <v>3183</v>
      </c>
      <c r="C147" s="2997" t="s">
        <v>3203</v>
      </c>
      <c r="D147" s="2998" t="s">
        <v>3391</v>
      </c>
      <c r="E147" s="2997" t="s">
        <v>3218</v>
      </c>
      <c r="F147" s="2997" t="s">
        <v>3187</v>
      </c>
      <c r="G147" s="2998" t="s">
        <v>3390</v>
      </c>
      <c r="H147" s="2997" t="s">
        <v>3360</v>
      </c>
      <c r="I147" s="2997">
        <v>21.21</v>
      </c>
    </row>
    <row r="148" spans="1:9">
      <c r="A148" s="2997">
        <v>147</v>
      </c>
      <c r="B148" s="2997" t="s">
        <v>3183</v>
      </c>
      <c r="C148" s="2997" t="s">
        <v>3203</v>
      </c>
      <c r="D148" s="2998" t="s">
        <v>3392</v>
      </c>
      <c r="E148" s="2997" t="s">
        <v>3218</v>
      </c>
      <c r="F148" s="2997" t="s">
        <v>3187</v>
      </c>
      <c r="G148" s="2998" t="s">
        <v>3390</v>
      </c>
      <c r="H148" s="2997" t="s">
        <v>3360</v>
      </c>
      <c r="I148" s="2997">
        <v>49.91</v>
      </c>
    </row>
    <row r="149" spans="1:9">
      <c r="A149" s="2997">
        <v>148</v>
      </c>
      <c r="B149" s="2997" t="s">
        <v>3183</v>
      </c>
      <c r="C149" s="2997" t="s">
        <v>3203</v>
      </c>
      <c r="D149" s="2998" t="s">
        <v>3393</v>
      </c>
      <c r="E149" s="2997" t="s">
        <v>3218</v>
      </c>
      <c r="F149" s="2997" t="s">
        <v>3187</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9">
      <c r="A161" s="2997" t="s">
        <v>3432</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3412</v>
      </c>
      <c r="C164" s="3000" t="s">
        <v>3413</v>
      </c>
      <c r="D164" s="3000" t="s">
        <v>3414</v>
      </c>
      <c r="E164" s="3000" t="s">
        <v>3418</v>
      </c>
      <c r="F164" s="3000" t="s">
        <v>3415</v>
      </c>
      <c r="G164" s="3000" t="s">
        <v>3416</v>
      </c>
      <c r="H164" s="3000" t="s">
        <v>3426</v>
      </c>
      <c r="I164" s="3000" t="s">
        <v>3430</v>
      </c>
    </row>
    <row r="165" spans="1:9">
      <c r="A165" s="3000" t="s">
        <v>3417</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3409</v>
      </c>
      <c r="B166" s="3000">
        <v>0.6</v>
      </c>
      <c r="C166" s="3000">
        <f>B154</f>
        <v>10925.03</v>
      </c>
      <c r="D166" s="3001">
        <v>11050</v>
      </c>
      <c r="E166" s="3001">
        <v>0</v>
      </c>
      <c r="F166" s="3003">
        <v>731009.43125000002</v>
      </c>
      <c r="G166" s="3003">
        <v>2.2051566553544495</v>
      </c>
      <c r="H166" s="3003"/>
      <c r="I166" s="3003">
        <f>$I$165*B166</f>
        <v>8.4</v>
      </c>
    </row>
    <row r="167" spans="1:9">
      <c r="A167" s="3000" t="s">
        <v>3410</v>
      </c>
      <c r="B167" s="3000">
        <v>0.5</v>
      </c>
      <c r="C167" s="3000">
        <f>B155</f>
        <v>10957.28</v>
      </c>
      <c r="D167" s="3001">
        <v>10989.5</v>
      </c>
      <c r="E167" s="3001">
        <v>0</v>
      </c>
      <c r="F167" s="3003">
        <v>663600.43124999991</v>
      </c>
      <c r="G167" s="3003">
        <v>2.0128317371126982</v>
      </c>
      <c r="H167" s="3003"/>
      <c r="I167" s="3003">
        <f>$I$165*B167</f>
        <v>7</v>
      </c>
    </row>
    <row r="168" spans="1:9">
      <c r="A168" s="3000" t="s">
        <v>3411</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f ca="1">结果表!G20</f>
        <v>39724</v>
      </c>
      <c r="D170" s="2999"/>
      <c r="G170" s="2999"/>
    </row>
    <row r="171" spans="1:9">
      <c r="C171" s="2999">
        <f ca="1">C170/B170</f>
        <v>63053.968253968254</v>
      </c>
      <c r="D171" s="2999"/>
      <c r="G171" s="2999"/>
    </row>
    <row r="172" spans="1:9">
      <c r="D172" s="2999"/>
      <c r="G172" s="2999"/>
    </row>
  </sheetData>
  <autoFilter ref="A1:S1" xr:uid="{00000000-0009-0000-0000-000009000000}">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178"/>
  <sheetViews>
    <sheetView topLeftCell="A157" workbookViewId="0">
      <selection activeCell="I172" sqref="I172"/>
    </sheetView>
  </sheetViews>
  <sheetFormatPr defaultColWidth="9" defaultRowHeight="12"/>
  <cols>
    <col min="1" max="1" width="9" style="2999" customWidth="1"/>
    <col min="2" max="2" width="22.77734375" style="2999" bestFit="1" customWidth="1"/>
    <col min="3" max="3" width="13.88671875" style="2999" customWidth="1"/>
    <col min="4" max="4" width="12.6640625" style="3005" customWidth="1"/>
    <col min="5" max="5" width="13.33203125" style="2999" customWidth="1"/>
    <col min="6" max="6" width="16.77734375" style="2999" customWidth="1"/>
    <col min="7" max="7" width="14.109375" style="3005" bestFit="1" customWidth="1"/>
    <col min="8" max="8" width="16.5546875" style="2999" bestFit="1" customWidth="1"/>
    <col min="9" max="10" width="9" style="2999"/>
    <col min="11" max="11" width="19.6640625" style="2999" customWidth="1"/>
    <col min="12" max="12" width="20.109375" style="2999" customWidth="1"/>
    <col min="13" max="13" width="11.33203125" style="2999" bestFit="1" customWidth="1"/>
    <col min="14" max="15" width="14.109375" style="2999" bestFit="1" customWidth="1"/>
    <col min="16" max="16384" width="9" style="2999"/>
  </cols>
  <sheetData>
    <row r="1" spans="1:11">
      <c r="A1" s="2997" t="s">
        <v>3174</v>
      </c>
      <c r="B1" s="2997" t="s">
        <v>3675</v>
      </c>
      <c r="C1" s="2997" t="s">
        <v>3176</v>
      </c>
      <c r="D1" s="2998" t="s">
        <v>3177</v>
      </c>
      <c r="E1" s="2997" t="s">
        <v>3178</v>
      </c>
      <c r="F1" s="2997" t="s">
        <v>3179</v>
      </c>
      <c r="G1" s="2998" t="s">
        <v>3180</v>
      </c>
      <c r="H1" s="2997" t="s">
        <v>3181</v>
      </c>
      <c r="I1" s="2997" t="s">
        <v>3182</v>
      </c>
    </row>
    <row r="2" spans="1:11" s="3439" customFormat="1">
      <c r="A2" s="3437">
        <v>9</v>
      </c>
      <c r="B2" s="3437" t="s">
        <v>3205</v>
      </c>
      <c r="C2" s="3437" t="s">
        <v>3206</v>
      </c>
      <c r="D2" s="3438" t="s">
        <v>3207</v>
      </c>
      <c r="E2" s="3437" t="s">
        <v>3079</v>
      </c>
      <c r="F2" s="3437" t="s">
        <v>3195</v>
      </c>
      <c r="G2" s="3438" t="s">
        <v>1028</v>
      </c>
      <c r="H2" s="3437" t="s">
        <v>3196</v>
      </c>
      <c r="I2" s="3437">
        <v>1078.23</v>
      </c>
    </row>
    <row r="3" spans="1:11">
      <c r="A3" s="2997">
        <v>11</v>
      </c>
      <c r="B3" s="2997" t="s">
        <v>3205</v>
      </c>
      <c r="C3" s="2997" t="s">
        <v>3206</v>
      </c>
      <c r="D3" s="2998" t="s">
        <v>3210</v>
      </c>
      <c r="E3" s="2997" t="s">
        <v>3079</v>
      </c>
      <c r="F3" s="2997" t="s">
        <v>3195</v>
      </c>
      <c r="G3" s="2998" t="s">
        <v>3211</v>
      </c>
      <c r="H3" s="2997" t="s">
        <v>3196</v>
      </c>
      <c r="I3" s="2997">
        <v>1443.69</v>
      </c>
    </row>
    <row r="4" spans="1:11">
      <c r="A4" s="2997">
        <v>21</v>
      </c>
      <c r="B4" s="2997" t="s">
        <v>3205</v>
      </c>
      <c r="C4" s="2997" t="s">
        <v>3206</v>
      </c>
      <c r="D4" s="2998" t="s">
        <v>3228</v>
      </c>
      <c r="E4" s="2997" t="s">
        <v>3079</v>
      </c>
      <c r="F4" s="2997" t="s">
        <v>3195</v>
      </c>
      <c r="G4" s="2998" t="s">
        <v>3229</v>
      </c>
      <c r="H4" s="2997" t="s">
        <v>3196</v>
      </c>
      <c r="I4" s="2997">
        <v>1443.69</v>
      </c>
    </row>
    <row r="5" spans="1:11">
      <c r="A5" s="2997">
        <v>31</v>
      </c>
      <c r="B5" s="2997" t="s">
        <v>3205</v>
      </c>
      <c r="C5" s="2997" t="s">
        <v>3206</v>
      </c>
      <c r="D5" s="2998" t="s">
        <v>3244</v>
      </c>
      <c r="E5" s="2997" t="s">
        <v>3079</v>
      </c>
      <c r="F5" s="2997" t="s">
        <v>3195</v>
      </c>
      <c r="G5" s="2998" t="s">
        <v>3247</v>
      </c>
      <c r="H5" s="2997" t="s">
        <v>3196</v>
      </c>
      <c r="I5" s="2997">
        <v>1443.69</v>
      </c>
    </row>
    <row r="6" spans="1:11">
      <c r="A6" s="2997">
        <v>41</v>
      </c>
      <c r="B6" s="2997" t="s">
        <v>3205</v>
      </c>
      <c r="C6" s="2997" t="s">
        <v>3206</v>
      </c>
      <c r="D6" s="2998" t="s">
        <v>3260</v>
      </c>
      <c r="E6" s="2997" t="s">
        <v>3079</v>
      </c>
      <c r="F6" s="2997" t="s">
        <v>3195</v>
      </c>
      <c r="G6" s="2998" t="s">
        <v>3261</v>
      </c>
      <c r="H6" s="2997" t="s">
        <v>3196</v>
      </c>
      <c r="I6" s="2997">
        <v>1443.69</v>
      </c>
    </row>
    <row r="7" spans="1:11">
      <c r="A7" s="2997">
        <v>51</v>
      </c>
      <c r="B7" s="2997" t="s">
        <v>3205</v>
      </c>
      <c r="C7" s="2997" t="s">
        <v>3206</v>
      </c>
      <c r="D7" s="2998" t="s">
        <v>3271</v>
      </c>
      <c r="E7" s="2997" t="s">
        <v>3079</v>
      </c>
      <c r="F7" s="2997" t="s">
        <v>3195</v>
      </c>
      <c r="G7" s="2998" t="s">
        <v>3272</v>
      </c>
      <c r="H7" s="2997" t="s">
        <v>3196</v>
      </c>
      <c r="I7" s="2997">
        <v>1443.69</v>
      </c>
    </row>
    <row r="8" spans="1:11">
      <c r="A8" s="2997">
        <v>61</v>
      </c>
      <c r="B8" s="2997" t="s">
        <v>3205</v>
      </c>
      <c r="C8" s="2997" t="s">
        <v>3206</v>
      </c>
      <c r="D8" s="2998" t="s">
        <v>3284</v>
      </c>
      <c r="E8" s="2997" t="s">
        <v>3079</v>
      </c>
      <c r="F8" s="2997" t="s">
        <v>3195</v>
      </c>
      <c r="G8" s="2998" t="s">
        <v>3285</v>
      </c>
      <c r="H8" s="2997" t="s">
        <v>3196</v>
      </c>
      <c r="I8" s="2997">
        <v>1443.69</v>
      </c>
      <c r="J8" s="3004"/>
      <c r="K8" s="3004"/>
    </row>
    <row r="9" spans="1:11">
      <c r="A9" s="2997">
        <v>71</v>
      </c>
      <c r="B9" s="2997" t="s">
        <v>3205</v>
      </c>
      <c r="C9" s="2997" t="s">
        <v>3206</v>
      </c>
      <c r="D9" s="2998" t="s">
        <v>3295</v>
      </c>
      <c r="E9" s="2997" t="s">
        <v>3079</v>
      </c>
      <c r="F9" s="2997" t="s">
        <v>3195</v>
      </c>
      <c r="G9" s="2998" t="s">
        <v>3296</v>
      </c>
      <c r="H9" s="2997" t="s">
        <v>3196</v>
      </c>
      <c r="I9" s="2997">
        <v>1443.69</v>
      </c>
    </row>
    <row r="10" spans="1:11">
      <c r="A10" s="2997">
        <v>81</v>
      </c>
      <c r="B10" s="2997" t="s">
        <v>3205</v>
      </c>
      <c r="C10" s="2997" t="s">
        <v>3206</v>
      </c>
      <c r="D10" s="2998" t="s">
        <v>3309</v>
      </c>
      <c r="E10" s="2997" t="s">
        <v>3079</v>
      </c>
      <c r="F10" s="2997" t="s">
        <v>3195</v>
      </c>
      <c r="G10" s="2998" t="s">
        <v>3310</v>
      </c>
      <c r="H10" s="2997" t="s">
        <v>3196</v>
      </c>
      <c r="I10" s="2997">
        <v>1443.69</v>
      </c>
    </row>
    <row r="11" spans="1:11">
      <c r="A11" s="2997">
        <v>91</v>
      </c>
      <c r="B11" s="2997" t="s">
        <v>3205</v>
      </c>
      <c r="C11" s="2997" t="s">
        <v>3206</v>
      </c>
      <c r="D11" s="2998" t="s">
        <v>3322</v>
      </c>
      <c r="E11" s="2997" t="s">
        <v>3079</v>
      </c>
      <c r="F11" s="2997" t="s">
        <v>3195</v>
      </c>
      <c r="G11" s="2998" t="s">
        <v>3323</v>
      </c>
      <c r="H11" s="2997" t="s">
        <v>3196</v>
      </c>
      <c r="I11" s="2997">
        <v>1443.69</v>
      </c>
    </row>
    <row r="12" spans="1:11">
      <c r="A12" s="2997">
        <v>101</v>
      </c>
      <c r="B12" s="2997" t="s">
        <v>3205</v>
      </c>
      <c r="C12" s="2997" t="s">
        <v>3206</v>
      </c>
      <c r="D12" s="2998" t="s">
        <v>3334</v>
      </c>
      <c r="E12" s="2997" t="s">
        <v>3079</v>
      </c>
      <c r="F12" s="2997" t="s">
        <v>3195</v>
      </c>
      <c r="G12" s="2998" t="s">
        <v>3335</v>
      </c>
      <c r="H12" s="2997" t="s">
        <v>3196</v>
      </c>
      <c r="I12" s="2997">
        <v>1443.69</v>
      </c>
    </row>
    <row r="13" spans="1:11">
      <c r="A13" s="2997">
        <v>111</v>
      </c>
      <c r="B13" s="2997" t="s">
        <v>3205</v>
      </c>
      <c r="C13" s="2997" t="s">
        <v>3206</v>
      </c>
      <c r="D13" s="2998" t="s">
        <v>3346</v>
      </c>
      <c r="E13" s="2997" t="s">
        <v>3079</v>
      </c>
      <c r="F13" s="2997" t="s">
        <v>3195</v>
      </c>
      <c r="G13" s="2998" t="s">
        <v>3347</v>
      </c>
      <c r="H13" s="2997" t="s">
        <v>3196</v>
      </c>
      <c r="I13" s="2997">
        <v>1443.69</v>
      </c>
    </row>
    <row r="14" spans="1:11">
      <c r="A14" s="2997">
        <v>121</v>
      </c>
      <c r="B14" s="2997" t="s">
        <v>3205</v>
      </c>
      <c r="C14" s="2997" t="s">
        <v>3206</v>
      </c>
      <c r="D14" s="2998" t="s">
        <v>3358</v>
      </c>
      <c r="E14" s="2997" t="s">
        <v>3079</v>
      </c>
      <c r="F14" s="2997" t="s">
        <v>3195</v>
      </c>
      <c r="G14" s="2998" t="s">
        <v>3359</v>
      </c>
      <c r="H14" s="2997" t="s">
        <v>3360</v>
      </c>
      <c r="I14" s="2997">
        <v>701.01</v>
      </c>
    </row>
    <row r="15" spans="1:11">
      <c r="A15" s="2997"/>
      <c r="B15" s="2997" t="s">
        <v>3702</v>
      </c>
      <c r="C15" s="2997"/>
      <c r="D15" s="2998"/>
      <c r="E15" s="2997"/>
      <c r="F15" s="2997"/>
      <c r="G15" s="2998"/>
      <c r="H15" s="2997"/>
      <c r="I15" s="2997">
        <f>SUM(I2:I14)</f>
        <v>17659.830000000002</v>
      </c>
    </row>
    <row r="16" spans="1:11" s="3439" customFormat="1">
      <c r="A16" s="3437">
        <v>4</v>
      </c>
      <c r="B16" s="3437" t="s">
        <v>3192</v>
      </c>
      <c r="C16" s="3437" t="s">
        <v>3193</v>
      </c>
      <c r="D16" s="3438" t="s">
        <v>3194</v>
      </c>
      <c r="E16" s="3437" t="s">
        <v>3079</v>
      </c>
      <c r="F16" s="3437" t="s">
        <v>3195</v>
      </c>
      <c r="G16" s="3438" t="s">
        <v>3188</v>
      </c>
      <c r="H16" s="3437" t="s">
        <v>3196</v>
      </c>
      <c r="I16" s="3437">
        <v>31.96</v>
      </c>
    </row>
    <row r="17" spans="1:17">
      <c r="A17" s="2997">
        <v>12</v>
      </c>
      <c r="B17" s="2997" t="s">
        <v>3192</v>
      </c>
      <c r="C17" s="2997" t="s">
        <v>3193</v>
      </c>
      <c r="D17" s="2998" t="s">
        <v>3210</v>
      </c>
      <c r="E17" s="2997" t="s">
        <v>3079</v>
      </c>
      <c r="F17" s="2997" t="s">
        <v>3195</v>
      </c>
      <c r="G17" s="2998" t="s">
        <v>3211</v>
      </c>
      <c r="H17" s="2997" t="s">
        <v>3196</v>
      </c>
      <c r="I17" s="2997">
        <v>160.65</v>
      </c>
    </row>
    <row r="18" spans="1:17">
      <c r="A18" s="2997">
        <v>13</v>
      </c>
      <c r="B18" s="2997" t="s">
        <v>3192</v>
      </c>
      <c r="C18" s="2997" t="s">
        <v>3193</v>
      </c>
      <c r="D18" s="2998" t="s">
        <v>3212</v>
      </c>
      <c r="E18" s="2997" t="s">
        <v>3079</v>
      </c>
      <c r="F18" s="2997" t="s">
        <v>3195</v>
      </c>
      <c r="G18" s="2998" t="s">
        <v>3211</v>
      </c>
      <c r="H18" s="2997" t="s">
        <v>3196</v>
      </c>
      <c r="I18" s="2997">
        <v>152</v>
      </c>
    </row>
    <row r="19" spans="1:17">
      <c r="A19" s="2997">
        <v>14</v>
      </c>
      <c r="B19" s="2997" t="s">
        <v>3192</v>
      </c>
      <c r="C19" s="2997" t="s">
        <v>3193</v>
      </c>
      <c r="D19" s="2998" t="s">
        <v>3213</v>
      </c>
      <c r="E19" s="2997" t="s">
        <v>3079</v>
      </c>
      <c r="F19" s="2997" t="s">
        <v>3195</v>
      </c>
      <c r="G19" s="2998" t="s">
        <v>3211</v>
      </c>
      <c r="H19" s="2997" t="s">
        <v>3196</v>
      </c>
      <c r="I19" s="2997">
        <v>152</v>
      </c>
    </row>
    <row r="20" spans="1:17">
      <c r="A20" s="2997">
        <v>15</v>
      </c>
      <c r="B20" s="2997" t="s">
        <v>3192</v>
      </c>
      <c r="C20" s="2997" t="s">
        <v>3193</v>
      </c>
      <c r="D20" s="2998" t="s">
        <v>3214</v>
      </c>
      <c r="E20" s="2997" t="s">
        <v>3079</v>
      </c>
      <c r="F20" s="2997" t="s">
        <v>3195</v>
      </c>
      <c r="G20" s="2998" t="s">
        <v>3211</v>
      </c>
      <c r="H20" s="2997" t="s">
        <v>3196</v>
      </c>
      <c r="I20" s="2997">
        <v>152</v>
      </c>
    </row>
    <row r="21" spans="1:17">
      <c r="A21" s="2997">
        <v>16</v>
      </c>
      <c r="B21" s="2997" t="s">
        <v>3192</v>
      </c>
      <c r="C21" s="2997" t="s">
        <v>3193</v>
      </c>
      <c r="D21" s="2998" t="s">
        <v>3215</v>
      </c>
      <c r="E21" s="2997" t="s">
        <v>3079</v>
      </c>
      <c r="F21" s="2997" t="s">
        <v>3195</v>
      </c>
      <c r="G21" s="2998" t="s">
        <v>3211</v>
      </c>
      <c r="H21" s="2997" t="s">
        <v>3196</v>
      </c>
      <c r="I21" s="2997">
        <v>152</v>
      </c>
    </row>
    <row r="22" spans="1:17">
      <c r="A22" s="2997">
        <v>17</v>
      </c>
      <c r="B22" s="2997" t="s">
        <v>3192</v>
      </c>
      <c r="C22" s="2997" t="s">
        <v>3193</v>
      </c>
      <c r="D22" s="2998" t="s">
        <v>3216</v>
      </c>
      <c r="E22" s="2997" t="s">
        <v>3079</v>
      </c>
      <c r="F22" s="2997" t="s">
        <v>3195</v>
      </c>
      <c r="G22" s="2998" t="s">
        <v>3211</v>
      </c>
      <c r="H22" s="2997" t="s">
        <v>3196</v>
      </c>
      <c r="I22" s="2997">
        <v>208.31</v>
      </c>
    </row>
    <row r="23" spans="1:17">
      <c r="A23" s="2997">
        <v>18</v>
      </c>
      <c r="B23" s="2997" t="s">
        <v>3192</v>
      </c>
      <c r="C23" s="2997" t="s">
        <v>3193</v>
      </c>
      <c r="D23" s="2998" t="s">
        <v>3217</v>
      </c>
      <c r="E23" s="2997" t="s">
        <v>3079</v>
      </c>
      <c r="F23" s="2997" t="s">
        <v>3195</v>
      </c>
      <c r="G23" s="2998" t="s">
        <v>1029</v>
      </c>
      <c r="H23" s="2997" t="s">
        <v>3196</v>
      </c>
      <c r="I23" s="2997">
        <v>222.93</v>
      </c>
    </row>
    <row r="24" spans="1:17">
      <c r="A24" s="2997">
        <v>19</v>
      </c>
      <c r="B24" s="2997" t="s">
        <v>3192</v>
      </c>
      <c r="C24" s="2997" t="s">
        <v>3193</v>
      </c>
      <c r="D24" s="2998" t="s">
        <v>3224</v>
      </c>
      <c r="E24" s="2997" t="s">
        <v>3079</v>
      </c>
      <c r="F24" s="2997" t="s">
        <v>3195</v>
      </c>
      <c r="G24" s="2998" t="s">
        <v>1029</v>
      </c>
      <c r="H24" s="2997" t="s">
        <v>3196</v>
      </c>
      <c r="I24" s="2997">
        <v>152.03</v>
      </c>
    </row>
    <row r="25" spans="1:17">
      <c r="A25" s="2997">
        <v>20</v>
      </c>
      <c r="B25" s="2997" t="s">
        <v>3192</v>
      </c>
      <c r="C25" s="2997" t="s">
        <v>3193</v>
      </c>
      <c r="D25" s="2998" t="s">
        <v>3225</v>
      </c>
      <c r="E25" s="2997" t="s">
        <v>3079</v>
      </c>
      <c r="F25" s="2997" t="s">
        <v>3195</v>
      </c>
      <c r="G25" s="2998" t="s">
        <v>1029</v>
      </c>
      <c r="H25" s="2997" t="s">
        <v>3196</v>
      </c>
      <c r="I25" s="2997">
        <v>116.9</v>
      </c>
    </row>
    <row r="26" spans="1:17">
      <c r="A26" s="2997">
        <v>22</v>
      </c>
      <c r="B26" s="2997" t="s">
        <v>3192</v>
      </c>
      <c r="C26" s="2997" t="s">
        <v>3193</v>
      </c>
      <c r="D26" s="2998" t="s">
        <v>3228</v>
      </c>
      <c r="E26" s="2997" t="s">
        <v>3079</v>
      </c>
      <c r="F26" s="2997" t="s">
        <v>3195</v>
      </c>
      <c r="G26" s="2998" t="s">
        <v>3229</v>
      </c>
      <c r="H26" s="2997" t="s">
        <v>3196</v>
      </c>
      <c r="I26" s="2997">
        <v>160.65</v>
      </c>
    </row>
    <row r="27" spans="1:17">
      <c r="A27" s="2997">
        <v>23</v>
      </c>
      <c r="B27" s="2997" t="s">
        <v>3192</v>
      </c>
      <c r="C27" s="2997" t="s">
        <v>3193</v>
      </c>
      <c r="D27" s="2998" t="s">
        <v>3230</v>
      </c>
      <c r="E27" s="2997" t="s">
        <v>3079</v>
      </c>
      <c r="F27" s="2997" t="s">
        <v>3195</v>
      </c>
      <c r="G27" s="2998" t="s">
        <v>3229</v>
      </c>
      <c r="H27" s="2997" t="s">
        <v>3196</v>
      </c>
      <c r="I27" s="2997">
        <v>152</v>
      </c>
    </row>
    <row r="28" spans="1:17">
      <c r="A28" s="2997">
        <v>24</v>
      </c>
      <c r="B28" s="2997" t="s">
        <v>3192</v>
      </c>
      <c r="C28" s="2997" t="s">
        <v>3193</v>
      </c>
      <c r="D28" s="2998" t="s">
        <v>3231</v>
      </c>
      <c r="E28" s="2997" t="s">
        <v>3079</v>
      </c>
      <c r="F28" s="2997" t="s">
        <v>3195</v>
      </c>
      <c r="G28" s="2998" t="s">
        <v>3229</v>
      </c>
      <c r="H28" s="2997" t="s">
        <v>3196</v>
      </c>
      <c r="I28" s="2997">
        <v>152</v>
      </c>
    </row>
    <row r="29" spans="1:17">
      <c r="A29" s="2997">
        <v>25</v>
      </c>
      <c r="B29" s="2997" t="s">
        <v>3192</v>
      </c>
      <c r="C29" s="2997" t="s">
        <v>3193</v>
      </c>
      <c r="D29" s="2998" t="s">
        <v>3232</v>
      </c>
      <c r="E29" s="2997" t="s">
        <v>3079</v>
      </c>
      <c r="F29" s="2997" t="s">
        <v>3195</v>
      </c>
      <c r="G29" s="2998" t="s">
        <v>3229</v>
      </c>
      <c r="H29" s="2997" t="s">
        <v>3196</v>
      </c>
      <c r="I29" s="2997">
        <v>152</v>
      </c>
    </row>
    <row r="30" spans="1:17">
      <c r="A30" s="2997">
        <v>26</v>
      </c>
      <c r="B30" s="2997" t="s">
        <v>3192</v>
      </c>
      <c r="C30" s="2997" t="s">
        <v>3193</v>
      </c>
      <c r="D30" s="2998" t="s">
        <v>3233</v>
      </c>
      <c r="E30" s="2997" t="s">
        <v>3079</v>
      </c>
      <c r="F30" s="2997" t="s">
        <v>3195</v>
      </c>
      <c r="G30" s="2998" t="s">
        <v>3229</v>
      </c>
      <c r="H30" s="2997" t="s">
        <v>3196</v>
      </c>
      <c r="I30" s="2997">
        <v>152</v>
      </c>
    </row>
    <row r="31" spans="1:17">
      <c r="A31" s="2997">
        <v>27</v>
      </c>
      <c r="B31" s="2997" t="s">
        <v>3192</v>
      </c>
      <c r="C31" s="2997" t="s">
        <v>3193</v>
      </c>
      <c r="D31" s="2998" t="s">
        <v>3234</v>
      </c>
      <c r="E31" s="2997" t="s">
        <v>3079</v>
      </c>
      <c r="F31" s="2997" t="s">
        <v>3195</v>
      </c>
      <c r="G31" s="2998" t="s">
        <v>3229</v>
      </c>
      <c r="H31" s="2997" t="s">
        <v>3196</v>
      </c>
      <c r="I31" s="2997">
        <v>208.31</v>
      </c>
    </row>
    <row r="32" spans="1:17">
      <c r="A32" s="2997">
        <v>28</v>
      </c>
      <c r="B32" s="2997" t="s">
        <v>3192</v>
      </c>
      <c r="C32" s="2997" t="s">
        <v>3193</v>
      </c>
      <c r="D32" s="2998" t="s">
        <v>3235</v>
      </c>
      <c r="E32" s="2997" t="s">
        <v>3079</v>
      </c>
      <c r="F32" s="2997" t="s">
        <v>3195</v>
      </c>
      <c r="G32" s="2998" t="s">
        <v>3229</v>
      </c>
      <c r="H32" s="2997" t="s">
        <v>3196</v>
      </c>
      <c r="I32" s="2997">
        <v>222.93</v>
      </c>
      <c r="Q32" s="2999" t="s">
        <v>3429</v>
      </c>
    </row>
    <row r="33" spans="1:9">
      <c r="A33" s="2997">
        <v>29</v>
      </c>
      <c r="B33" s="2997" t="s">
        <v>3192</v>
      </c>
      <c r="C33" s="2997" t="s">
        <v>3193</v>
      </c>
      <c r="D33" s="2998" t="s">
        <v>3236</v>
      </c>
      <c r="E33" s="2997" t="s">
        <v>3079</v>
      </c>
      <c r="F33" s="2997" t="s">
        <v>3195</v>
      </c>
      <c r="G33" s="2998" t="s">
        <v>3229</v>
      </c>
      <c r="H33" s="2997" t="s">
        <v>3196</v>
      </c>
      <c r="I33" s="2997">
        <v>152.03</v>
      </c>
    </row>
    <row r="34" spans="1:9">
      <c r="A34" s="2997">
        <v>30</v>
      </c>
      <c r="B34" s="2997" t="s">
        <v>3192</v>
      </c>
      <c r="C34" s="2997" t="s">
        <v>3193</v>
      </c>
      <c r="D34" s="2998" t="s">
        <v>3237</v>
      </c>
      <c r="E34" s="2997" t="s">
        <v>3079</v>
      </c>
      <c r="F34" s="2997" t="s">
        <v>3195</v>
      </c>
      <c r="G34" s="2998" t="s">
        <v>1030</v>
      </c>
      <c r="H34" s="2997" t="s">
        <v>3196</v>
      </c>
      <c r="I34" s="2997">
        <v>116.9</v>
      </c>
    </row>
    <row r="35" spans="1:9">
      <c r="A35" s="2997">
        <v>32</v>
      </c>
      <c r="B35" s="2997" t="s">
        <v>3192</v>
      </c>
      <c r="C35" s="2997" t="s">
        <v>3193</v>
      </c>
      <c r="D35" s="2998" t="s">
        <v>3244</v>
      </c>
      <c r="E35" s="2997" t="s">
        <v>3079</v>
      </c>
      <c r="F35" s="2997" t="s">
        <v>3195</v>
      </c>
      <c r="G35" s="2998" t="s">
        <v>3247</v>
      </c>
      <c r="H35" s="2997" t="s">
        <v>3196</v>
      </c>
      <c r="I35" s="2997">
        <v>160.65</v>
      </c>
    </row>
    <row r="36" spans="1:9">
      <c r="A36" s="2997">
        <v>33</v>
      </c>
      <c r="B36" s="2997" t="s">
        <v>3192</v>
      </c>
      <c r="C36" s="2997" t="s">
        <v>3193</v>
      </c>
      <c r="D36" s="2998" t="s">
        <v>3251</v>
      </c>
      <c r="E36" s="2997" t="s">
        <v>3079</v>
      </c>
      <c r="F36" s="2997" t="s">
        <v>3195</v>
      </c>
      <c r="G36" s="2998" t="s">
        <v>3247</v>
      </c>
      <c r="H36" s="2997" t="s">
        <v>3196</v>
      </c>
      <c r="I36" s="2997">
        <v>152</v>
      </c>
    </row>
    <row r="37" spans="1:9">
      <c r="A37" s="2997">
        <v>34</v>
      </c>
      <c r="B37" s="2997" t="s">
        <v>3192</v>
      </c>
      <c r="C37" s="2997" t="s">
        <v>3193</v>
      </c>
      <c r="D37" s="2998" t="s">
        <v>3252</v>
      </c>
      <c r="E37" s="2997" t="s">
        <v>3079</v>
      </c>
      <c r="F37" s="2997" t="s">
        <v>3195</v>
      </c>
      <c r="G37" s="2998" t="s">
        <v>3247</v>
      </c>
      <c r="H37" s="2997" t="s">
        <v>3196</v>
      </c>
      <c r="I37" s="2997">
        <v>152</v>
      </c>
    </row>
    <row r="38" spans="1:9">
      <c r="A38" s="2997">
        <v>35</v>
      </c>
      <c r="B38" s="2997" t="s">
        <v>3192</v>
      </c>
      <c r="C38" s="2997" t="s">
        <v>3193</v>
      </c>
      <c r="D38" s="2998" t="s">
        <v>3253</v>
      </c>
      <c r="E38" s="2997" t="s">
        <v>3079</v>
      </c>
      <c r="F38" s="2997" t="s">
        <v>3195</v>
      </c>
      <c r="G38" s="2998" t="s">
        <v>3247</v>
      </c>
      <c r="H38" s="2997" t="s">
        <v>3196</v>
      </c>
      <c r="I38" s="2997">
        <v>152</v>
      </c>
    </row>
    <row r="39" spans="1:9">
      <c r="A39" s="2997">
        <v>36</v>
      </c>
      <c r="B39" s="2997" t="s">
        <v>3192</v>
      </c>
      <c r="C39" s="2997" t="s">
        <v>3193</v>
      </c>
      <c r="D39" s="2998" t="s">
        <v>3254</v>
      </c>
      <c r="E39" s="2997" t="s">
        <v>3079</v>
      </c>
      <c r="F39" s="2997" t="s">
        <v>3195</v>
      </c>
      <c r="G39" s="2998" t="s">
        <v>3247</v>
      </c>
      <c r="H39" s="2997" t="s">
        <v>3196</v>
      </c>
      <c r="I39" s="2997">
        <v>152</v>
      </c>
    </row>
    <row r="40" spans="1:9">
      <c r="A40" s="2997">
        <v>37</v>
      </c>
      <c r="B40" s="2997" t="s">
        <v>3192</v>
      </c>
      <c r="C40" s="2997" t="s">
        <v>3193</v>
      </c>
      <c r="D40" s="2998" t="s">
        <v>3255</v>
      </c>
      <c r="E40" s="2997" t="s">
        <v>3079</v>
      </c>
      <c r="F40" s="2997" t="s">
        <v>3195</v>
      </c>
      <c r="G40" s="2998" t="s">
        <v>3247</v>
      </c>
      <c r="H40" s="2997" t="s">
        <v>3196</v>
      </c>
      <c r="I40" s="2997">
        <v>208.31</v>
      </c>
    </row>
    <row r="41" spans="1:9">
      <c r="A41" s="2997">
        <v>38</v>
      </c>
      <c r="B41" s="2997" t="s">
        <v>3192</v>
      </c>
      <c r="C41" s="2997" t="s">
        <v>3193</v>
      </c>
      <c r="D41" s="2998" t="s">
        <v>3257</v>
      </c>
      <c r="E41" s="2997" t="s">
        <v>3079</v>
      </c>
      <c r="F41" s="2997" t="s">
        <v>3195</v>
      </c>
      <c r="G41" s="2998" t="s">
        <v>3247</v>
      </c>
      <c r="H41" s="2997" t="s">
        <v>3196</v>
      </c>
      <c r="I41" s="2997">
        <v>222.93</v>
      </c>
    </row>
    <row r="42" spans="1:9">
      <c r="A42" s="2997">
        <v>39</v>
      </c>
      <c r="B42" s="2997" t="s">
        <v>3192</v>
      </c>
      <c r="C42" s="2997" t="s">
        <v>3193</v>
      </c>
      <c r="D42" s="2998" t="s">
        <v>3258</v>
      </c>
      <c r="E42" s="2997" t="s">
        <v>3079</v>
      </c>
      <c r="F42" s="2997" t="s">
        <v>3195</v>
      </c>
      <c r="G42" s="2998" t="s">
        <v>3247</v>
      </c>
      <c r="H42" s="2997" t="s">
        <v>3196</v>
      </c>
      <c r="I42" s="2997">
        <v>152.03</v>
      </c>
    </row>
    <row r="43" spans="1:9">
      <c r="A43" s="2997">
        <v>40</v>
      </c>
      <c r="B43" s="2997" t="s">
        <v>3192</v>
      </c>
      <c r="C43" s="2997" t="s">
        <v>3193</v>
      </c>
      <c r="D43" s="2998" t="s">
        <v>3259</v>
      </c>
      <c r="E43" s="2997" t="s">
        <v>3079</v>
      </c>
      <c r="F43" s="2997" t="s">
        <v>3195</v>
      </c>
      <c r="G43" s="2998" t="s">
        <v>3247</v>
      </c>
      <c r="H43" s="2997" t="s">
        <v>3196</v>
      </c>
      <c r="I43" s="2997">
        <v>116.9</v>
      </c>
    </row>
    <row r="44" spans="1:9">
      <c r="A44" s="2997">
        <v>42</v>
      </c>
      <c r="B44" s="2997" t="s">
        <v>3192</v>
      </c>
      <c r="C44" s="2997" t="s">
        <v>3193</v>
      </c>
      <c r="D44" s="2998" t="s">
        <v>3260</v>
      </c>
      <c r="E44" s="2997" t="s">
        <v>3079</v>
      </c>
      <c r="F44" s="2997" t="s">
        <v>3195</v>
      </c>
      <c r="G44" s="2998" t="s">
        <v>3262</v>
      </c>
      <c r="H44" s="2997" t="s">
        <v>3196</v>
      </c>
      <c r="I44" s="2997">
        <v>160.65</v>
      </c>
    </row>
    <row r="45" spans="1:9">
      <c r="A45" s="2997">
        <v>43</v>
      </c>
      <c r="B45" s="2997" t="s">
        <v>3192</v>
      </c>
      <c r="C45" s="2997" t="s">
        <v>3193</v>
      </c>
      <c r="D45" s="2998" t="s">
        <v>3263</v>
      </c>
      <c r="E45" s="2997" t="s">
        <v>3079</v>
      </c>
      <c r="F45" s="2997" t="s">
        <v>3195</v>
      </c>
      <c r="G45" s="2998" t="s">
        <v>3262</v>
      </c>
      <c r="H45" s="2997" t="s">
        <v>3196</v>
      </c>
      <c r="I45" s="2997">
        <v>152</v>
      </c>
    </row>
    <row r="46" spans="1:9">
      <c r="A46" s="2997">
        <v>44</v>
      </c>
      <c r="B46" s="2997" t="s">
        <v>3192</v>
      </c>
      <c r="C46" s="2997" t="s">
        <v>3193</v>
      </c>
      <c r="D46" s="2998" t="s">
        <v>3264</v>
      </c>
      <c r="E46" s="2997" t="s">
        <v>3079</v>
      </c>
      <c r="F46" s="2997" t="s">
        <v>3195</v>
      </c>
      <c r="G46" s="2998" t="s">
        <v>3262</v>
      </c>
      <c r="H46" s="2997" t="s">
        <v>3196</v>
      </c>
      <c r="I46" s="2997">
        <v>152</v>
      </c>
    </row>
    <row r="47" spans="1:9">
      <c r="A47" s="2997">
        <v>45</v>
      </c>
      <c r="B47" s="2997" t="s">
        <v>3192</v>
      </c>
      <c r="C47" s="2997" t="s">
        <v>3193</v>
      </c>
      <c r="D47" s="2998" t="s">
        <v>3265</v>
      </c>
      <c r="E47" s="2997" t="s">
        <v>3079</v>
      </c>
      <c r="F47" s="2997" t="s">
        <v>3195</v>
      </c>
      <c r="G47" s="2998" t="s">
        <v>3262</v>
      </c>
      <c r="H47" s="2997" t="s">
        <v>3196</v>
      </c>
      <c r="I47" s="2997">
        <v>152</v>
      </c>
    </row>
    <row r="48" spans="1:9">
      <c r="A48" s="2997">
        <v>46</v>
      </c>
      <c r="B48" s="2997" t="s">
        <v>3192</v>
      </c>
      <c r="C48" s="2997" t="s">
        <v>3193</v>
      </c>
      <c r="D48" s="2998" t="s">
        <v>3266</v>
      </c>
      <c r="E48" s="2997" t="s">
        <v>3079</v>
      </c>
      <c r="F48" s="2997" t="s">
        <v>3195</v>
      </c>
      <c r="G48" s="2998" t="s">
        <v>3262</v>
      </c>
      <c r="H48" s="2997" t="s">
        <v>3196</v>
      </c>
      <c r="I48" s="2997">
        <v>152</v>
      </c>
    </row>
    <row r="49" spans="1:9">
      <c r="A49" s="2997">
        <v>47</v>
      </c>
      <c r="B49" s="2997" t="s">
        <v>3192</v>
      </c>
      <c r="C49" s="2997" t="s">
        <v>3193</v>
      </c>
      <c r="D49" s="2998" t="s">
        <v>3267</v>
      </c>
      <c r="E49" s="2997" t="s">
        <v>3079</v>
      </c>
      <c r="F49" s="2997" t="s">
        <v>3195</v>
      </c>
      <c r="G49" s="2998" t="s">
        <v>3262</v>
      </c>
      <c r="H49" s="2997" t="s">
        <v>3196</v>
      </c>
      <c r="I49" s="2997">
        <v>208.31</v>
      </c>
    </row>
    <row r="50" spans="1:9">
      <c r="A50" s="2997">
        <v>48</v>
      </c>
      <c r="B50" s="2997" t="s">
        <v>3192</v>
      </c>
      <c r="C50" s="2997" t="s">
        <v>3193</v>
      </c>
      <c r="D50" s="2998" t="s">
        <v>3268</v>
      </c>
      <c r="E50" s="2997" t="s">
        <v>3079</v>
      </c>
      <c r="F50" s="2997" t="s">
        <v>3195</v>
      </c>
      <c r="G50" s="2998" t="s">
        <v>3262</v>
      </c>
      <c r="H50" s="2997" t="s">
        <v>3196</v>
      </c>
      <c r="I50" s="2997">
        <v>222.93</v>
      </c>
    </row>
    <row r="51" spans="1:9">
      <c r="A51" s="2997">
        <v>49</v>
      </c>
      <c r="B51" s="2997" t="s">
        <v>3192</v>
      </c>
      <c r="C51" s="2997" t="s">
        <v>3193</v>
      </c>
      <c r="D51" s="2998" t="s">
        <v>3269</v>
      </c>
      <c r="E51" s="2997" t="s">
        <v>3079</v>
      </c>
      <c r="F51" s="2997" t="s">
        <v>3195</v>
      </c>
      <c r="G51" s="2998" t="s">
        <v>3262</v>
      </c>
      <c r="H51" s="2997" t="s">
        <v>3196</v>
      </c>
      <c r="I51" s="2997">
        <v>152.03</v>
      </c>
    </row>
    <row r="52" spans="1:9">
      <c r="A52" s="2997">
        <v>50</v>
      </c>
      <c r="B52" s="2997" t="s">
        <v>3192</v>
      </c>
      <c r="C52" s="2997" t="s">
        <v>3193</v>
      </c>
      <c r="D52" s="2998" t="s">
        <v>3270</v>
      </c>
      <c r="E52" s="2997" t="s">
        <v>3079</v>
      </c>
      <c r="F52" s="2997" t="s">
        <v>3195</v>
      </c>
      <c r="G52" s="2998" t="s">
        <v>3262</v>
      </c>
      <c r="H52" s="2997" t="s">
        <v>3196</v>
      </c>
      <c r="I52" s="2997">
        <v>116.9</v>
      </c>
    </row>
    <row r="53" spans="1:9">
      <c r="A53" s="2997">
        <v>52</v>
      </c>
      <c r="B53" s="2997" t="s">
        <v>3192</v>
      </c>
      <c r="C53" s="2997" t="s">
        <v>3193</v>
      </c>
      <c r="D53" s="2998" t="s">
        <v>3271</v>
      </c>
      <c r="E53" s="2997" t="s">
        <v>3079</v>
      </c>
      <c r="F53" s="2997" t="s">
        <v>3195</v>
      </c>
      <c r="G53" s="2998" t="s">
        <v>3273</v>
      </c>
      <c r="H53" s="2997" t="s">
        <v>3196</v>
      </c>
      <c r="I53" s="2997">
        <v>160.65</v>
      </c>
    </row>
    <row r="54" spans="1:9">
      <c r="A54" s="2997">
        <v>53</v>
      </c>
      <c r="B54" s="2997" t="s">
        <v>3192</v>
      </c>
      <c r="C54" s="2997" t="s">
        <v>3193</v>
      </c>
      <c r="D54" s="2998" t="s">
        <v>3274</v>
      </c>
      <c r="E54" s="2997" t="s">
        <v>3079</v>
      </c>
      <c r="F54" s="2997" t="s">
        <v>3195</v>
      </c>
      <c r="G54" s="2998" t="s">
        <v>3273</v>
      </c>
      <c r="H54" s="2997" t="s">
        <v>3196</v>
      </c>
      <c r="I54" s="2997">
        <v>152</v>
      </c>
    </row>
    <row r="55" spans="1:9">
      <c r="A55" s="2997">
        <v>54</v>
      </c>
      <c r="B55" s="2997" t="s">
        <v>3192</v>
      </c>
      <c r="C55" s="2997" t="s">
        <v>3193</v>
      </c>
      <c r="D55" s="2998" t="s">
        <v>3275</v>
      </c>
      <c r="E55" s="2997" t="s">
        <v>3079</v>
      </c>
      <c r="F55" s="2997" t="s">
        <v>3195</v>
      </c>
      <c r="G55" s="2998" t="s">
        <v>3273</v>
      </c>
      <c r="H55" s="2997" t="s">
        <v>3196</v>
      </c>
      <c r="I55" s="2997">
        <v>152</v>
      </c>
    </row>
    <row r="56" spans="1:9">
      <c r="A56" s="2997">
        <v>55</v>
      </c>
      <c r="B56" s="2997" t="s">
        <v>3192</v>
      </c>
      <c r="C56" s="2997" t="s">
        <v>3193</v>
      </c>
      <c r="D56" s="2998" t="s">
        <v>3276</v>
      </c>
      <c r="E56" s="2997" t="s">
        <v>3079</v>
      </c>
      <c r="F56" s="2997" t="s">
        <v>3195</v>
      </c>
      <c r="G56" s="2998" t="s">
        <v>3273</v>
      </c>
      <c r="H56" s="2997" t="s">
        <v>3196</v>
      </c>
      <c r="I56" s="2997">
        <v>152</v>
      </c>
    </row>
    <row r="57" spans="1:9">
      <c r="A57" s="2997">
        <v>56</v>
      </c>
      <c r="B57" s="2997" t="s">
        <v>3192</v>
      </c>
      <c r="C57" s="2997" t="s">
        <v>3193</v>
      </c>
      <c r="D57" s="2998" t="s">
        <v>3277</v>
      </c>
      <c r="E57" s="2997" t="s">
        <v>3079</v>
      </c>
      <c r="F57" s="2997" t="s">
        <v>3195</v>
      </c>
      <c r="G57" s="2998" t="s">
        <v>3273</v>
      </c>
      <c r="H57" s="2997" t="s">
        <v>3196</v>
      </c>
      <c r="I57" s="2997">
        <v>152</v>
      </c>
    </row>
    <row r="58" spans="1:9">
      <c r="A58" s="2997">
        <v>57</v>
      </c>
      <c r="B58" s="2997" t="s">
        <v>3192</v>
      </c>
      <c r="C58" s="2997" t="s">
        <v>3193</v>
      </c>
      <c r="D58" s="2998" t="s">
        <v>3278</v>
      </c>
      <c r="E58" s="2997" t="s">
        <v>3079</v>
      </c>
      <c r="F58" s="2997" t="s">
        <v>3195</v>
      </c>
      <c r="G58" s="2998" t="s">
        <v>3273</v>
      </c>
      <c r="H58" s="2997" t="s">
        <v>3196</v>
      </c>
      <c r="I58" s="2997">
        <v>208.31</v>
      </c>
    </row>
    <row r="59" spans="1:9">
      <c r="A59" s="2997">
        <v>58</v>
      </c>
      <c r="B59" s="2997" t="s">
        <v>3192</v>
      </c>
      <c r="C59" s="2997" t="s">
        <v>3193</v>
      </c>
      <c r="D59" s="2998" t="s">
        <v>3279</v>
      </c>
      <c r="E59" s="2997" t="s">
        <v>3079</v>
      </c>
      <c r="F59" s="2997" t="s">
        <v>3195</v>
      </c>
      <c r="G59" s="2998" t="s">
        <v>3273</v>
      </c>
      <c r="H59" s="2997" t="s">
        <v>3196</v>
      </c>
      <c r="I59" s="2997">
        <v>222.93</v>
      </c>
    </row>
    <row r="60" spans="1:9">
      <c r="A60" s="2997">
        <v>59</v>
      </c>
      <c r="B60" s="2997" t="s">
        <v>3192</v>
      </c>
      <c r="C60" s="2997" t="s">
        <v>3193</v>
      </c>
      <c r="D60" s="2998" t="s">
        <v>3280</v>
      </c>
      <c r="E60" s="2997" t="s">
        <v>3079</v>
      </c>
      <c r="F60" s="2997" t="s">
        <v>3195</v>
      </c>
      <c r="G60" s="2998" t="s">
        <v>3273</v>
      </c>
      <c r="H60" s="2997" t="s">
        <v>3196</v>
      </c>
      <c r="I60" s="2997">
        <v>152.03</v>
      </c>
    </row>
    <row r="61" spans="1:9">
      <c r="A61" s="2997">
        <v>60</v>
      </c>
      <c r="B61" s="2997" t="s">
        <v>3192</v>
      </c>
      <c r="C61" s="2997" t="s">
        <v>3193</v>
      </c>
      <c r="D61" s="2998" t="s">
        <v>3281</v>
      </c>
      <c r="E61" s="2997" t="s">
        <v>3079</v>
      </c>
      <c r="F61" s="2997" t="s">
        <v>3195</v>
      </c>
      <c r="G61" s="2998" t="s">
        <v>3273</v>
      </c>
      <c r="H61" s="2997" t="s">
        <v>3196</v>
      </c>
      <c r="I61" s="2997">
        <v>116.9</v>
      </c>
    </row>
    <row r="62" spans="1:9">
      <c r="A62" s="2997">
        <v>62</v>
      </c>
      <c r="B62" s="2997" t="s">
        <v>3192</v>
      </c>
      <c r="C62" s="2997" t="s">
        <v>3193</v>
      </c>
      <c r="D62" s="2998" t="s">
        <v>3284</v>
      </c>
      <c r="E62" s="2997" t="s">
        <v>3079</v>
      </c>
      <c r="F62" s="2997" t="s">
        <v>3195</v>
      </c>
      <c r="G62" s="2998" t="s">
        <v>3286</v>
      </c>
      <c r="H62" s="2997" t="s">
        <v>3196</v>
      </c>
      <c r="I62" s="2997">
        <v>160.65</v>
      </c>
    </row>
    <row r="63" spans="1:9">
      <c r="A63" s="2997">
        <v>63</v>
      </c>
      <c r="B63" s="2997" t="s">
        <v>3192</v>
      </c>
      <c r="C63" s="2997" t="s">
        <v>3193</v>
      </c>
      <c r="D63" s="2998" t="s">
        <v>3287</v>
      </c>
      <c r="E63" s="2997" t="s">
        <v>3079</v>
      </c>
      <c r="F63" s="2997" t="s">
        <v>3195</v>
      </c>
      <c r="G63" s="2998" t="s">
        <v>3286</v>
      </c>
      <c r="H63" s="2997" t="s">
        <v>3196</v>
      </c>
      <c r="I63" s="2997">
        <v>152</v>
      </c>
    </row>
    <row r="64" spans="1:9">
      <c r="A64" s="2997">
        <v>64</v>
      </c>
      <c r="B64" s="2997" t="s">
        <v>3192</v>
      </c>
      <c r="C64" s="2997" t="s">
        <v>3193</v>
      </c>
      <c r="D64" s="2998" t="s">
        <v>3288</v>
      </c>
      <c r="E64" s="2997" t="s">
        <v>3079</v>
      </c>
      <c r="F64" s="2997" t="s">
        <v>3195</v>
      </c>
      <c r="G64" s="2998" t="s">
        <v>3286</v>
      </c>
      <c r="H64" s="2997" t="s">
        <v>3196</v>
      </c>
      <c r="I64" s="2997">
        <v>152</v>
      </c>
    </row>
    <row r="65" spans="1:9">
      <c r="A65" s="2997">
        <v>65</v>
      </c>
      <c r="B65" s="2997" t="s">
        <v>3192</v>
      </c>
      <c r="C65" s="2997" t="s">
        <v>3193</v>
      </c>
      <c r="D65" s="2998" t="s">
        <v>3289</v>
      </c>
      <c r="E65" s="2997" t="s">
        <v>3079</v>
      </c>
      <c r="F65" s="2997" t="s">
        <v>3195</v>
      </c>
      <c r="G65" s="2998" t="s">
        <v>3286</v>
      </c>
      <c r="H65" s="2997" t="s">
        <v>3196</v>
      </c>
      <c r="I65" s="2997">
        <v>152</v>
      </c>
    </row>
    <row r="66" spans="1:9">
      <c r="A66" s="2997">
        <v>66</v>
      </c>
      <c r="B66" s="2997" t="s">
        <v>3192</v>
      </c>
      <c r="C66" s="2997" t="s">
        <v>3193</v>
      </c>
      <c r="D66" s="2998" t="s">
        <v>3290</v>
      </c>
      <c r="E66" s="2997" t="s">
        <v>3079</v>
      </c>
      <c r="F66" s="2997" t="s">
        <v>3195</v>
      </c>
      <c r="G66" s="2998" t="s">
        <v>3286</v>
      </c>
      <c r="H66" s="2997" t="s">
        <v>3196</v>
      </c>
      <c r="I66" s="2997">
        <v>152</v>
      </c>
    </row>
    <row r="67" spans="1:9">
      <c r="A67" s="2997">
        <v>67</v>
      </c>
      <c r="B67" s="2997" t="s">
        <v>3192</v>
      </c>
      <c r="C67" s="2997" t="s">
        <v>3193</v>
      </c>
      <c r="D67" s="2998" t="s">
        <v>3291</v>
      </c>
      <c r="E67" s="2997" t="s">
        <v>3079</v>
      </c>
      <c r="F67" s="2997" t="s">
        <v>3195</v>
      </c>
      <c r="G67" s="2998" t="s">
        <v>3286</v>
      </c>
      <c r="H67" s="2997" t="s">
        <v>3196</v>
      </c>
      <c r="I67" s="2997">
        <v>208.31</v>
      </c>
    </row>
    <row r="68" spans="1:9">
      <c r="A68" s="2997">
        <v>68</v>
      </c>
      <c r="B68" s="2997" t="s">
        <v>3192</v>
      </c>
      <c r="C68" s="2997" t="s">
        <v>3193</v>
      </c>
      <c r="D68" s="2998" t="s">
        <v>3292</v>
      </c>
      <c r="E68" s="2997" t="s">
        <v>3079</v>
      </c>
      <c r="F68" s="2997" t="s">
        <v>3195</v>
      </c>
      <c r="G68" s="2998" t="s">
        <v>3286</v>
      </c>
      <c r="H68" s="2997" t="s">
        <v>3196</v>
      </c>
      <c r="I68" s="2997">
        <v>222.93</v>
      </c>
    </row>
    <row r="69" spans="1:9">
      <c r="A69" s="2997">
        <v>69</v>
      </c>
      <c r="B69" s="2997" t="s">
        <v>3192</v>
      </c>
      <c r="C69" s="2997" t="s">
        <v>3193</v>
      </c>
      <c r="D69" s="2998" t="s">
        <v>3293</v>
      </c>
      <c r="E69" s="2997" t="s">
        <v>3079</v>
      </c>
      <c r="F69" s="2997" t="s">
        <v>3195</v>
      </c>
      <c r="G69" s="2998" t="s">
        <v>3286</v>
      </c>
      <c r="H69" s="2997" t="s">
        <v>3196</v>
      </c>
      <c r="I69" s="2997">
        <v>152.03</v>
      </c>
    </row>
    <row r="70" spans="1:9">
      <c r="A70" s="2997">
        <v>70</v>
      </c>
      <c r="B70" s="2997" t="s">
        <v>3192</v>
      </c>
      <c r="C70" s="2997" t="s">
        <v>3193</v>
      </c>
      <c r="D70" s="2998" t="s">
        <v>3294</v>
      </c>
      <c r="E70" s="2997" t="s">
        <v>3079</v>
      </c>
      <c r="F70" s="2997" t="s">
        <v>3195</v>
      </c>
      <c r="G70" s="2998" t="s">
        <v>3286</v>
      </c>
      <c r="H70" s="2997" t="s">
        <v>3196</v>
      </c>
      <c r="I70" s="2997">
        <v>116.9</v>
      </c>
    </row>
    <row r="71" spans="1:9">
      <c r="A71" s="2997">
        <v>72</v>
      </c>
      <c r="B71" s="2997" t="s">
        <v>3192</v>
      </c>
      <c r="C71" s="2997" t="s">
        <v>3193</v>
      </c>
      <c r="D71" s="2998" t="s">
        <v>3295</v>
      </c>
      <c r="E71" s="2997" t="s">
        <v>3079</v>
      </c>
      <c r="F71" s="2997" t="s">
        <v>3195</v>
      </c>
      <c r="G71" s="2998" t="s">
        <v>3297</v>
      </c>
      <c r="H71" s="2997" t="s">
        <v>3196</v>
      </c>
      <c r="I71" s="2997">
        <v>160.65</v>
      </c>
    </row>
    <row r="72" spans="1:9">
      <c r="A72" s="2997">
        <v>73</v>
      </c>
      <c r="B72" s="2997" t="s">
        <v>3192</v>
      </c>
      <c r="C72" s="2997" t="s">
        <v>3193</v>
      </c>
      <c r="D72" s="2998" t="s">
        <v>3298</v>
      </c>
      <c r="E72" s="2997" t="s">
        <v>3079</v>
      </c>
      <c r="F72" s="2997" t="s">
        <v>3195</v>
      </c>
      <c r="G72" s="2998" t="s">
        <v>3297</v>
      </c>
      <c r="H72" s="2997" t="s">
        <v>3196</v>
      </c>
      <c r="I72" s="2997">
        <v>152</v>
      </c>
    </row>
    <row r="73" spans="1:9">
      <c r="A73" s="2997">
        <v>74</v>
      </c>
      <c r="B73" s="2997" t="s">
        <v>3192</v>
      </c>
      <c r="C73" s="2997" t="s">
        <v>3193</v>
      </c>
      <c r="D73" s="2998" t="s">
        <v>3299</v>
      </c>
      <c r="E73" s="2997" t="s">
        <v>3079</v>
      </c>
      <c r="F73" s="2997" t="s">
        <v>3195</v>
      </c>
      <c r="G73" s="2998" t="s">
        <v>3297</v>
      </c>
      <c r="H73" s="2997" t="s">
        <v>3196</v>
      </c>
      <c r="I73" s="2997">
        <v>152</v>
      </c>
    </row>
    <row r="74" spans="1:9">
      <c r="A74" s="2997">
        <v>75</v>
      </c>
      <c r="B74" s="2997" t="s">
        <v>3192</v>
      </c>
      <c r="C74" s="2997" t="s">
        <v>3193</v>
      </c>
      <c r="D74" s="2998" t="s">
        <v>3303</v>
      </c>
      <c r="E74" s="2997" t="s">
        <v>3079</v>
      </c>
      <c r="F74" s="2997" t="s">
        <v>3195</v>
      </c>
      <c r="G74" s="2998" t="s">
        <v>3297</v>
      </c>
      <c r="H74" s="2997" t="s">
        <v>3196</v>
      </c>
      <c r="I74" s="2997">
        <v>152</v>
      </c>
    </row>
    <row r="75" spans="1:9">
      <c r="A75" s="2997">
        <v>76</v>
      </c>
      <c r="B75" s="2997" t="s">
        <v>3192</v>
      </c>
      <c r="C75" s="2997" t="s">
        <v>3193</v>
      </c>
      <c r="D75" s="2998" t="s">
        <v>3304</v>
      </c>
      <c r="E75" s="2997" t="s">
        <v>3079</v>
      </c>
      <c r="F75" s="2997" t="s">
        <v>3195</v>
      </c>
      <c r="G75" s="2998" t="s">
        <v>3297</v>
      </c>
      <c r="H75" s="2997" t="s">
        <v>3196</v>
      </c>
      <c r="I75" s="2997">
        <v>152</v>
      </c>
    </row>
    <row r="76" spans="1:9">
      <c r="A76" s="2997">
        <v>77</v>
      </c>
      <c r="B76" s="2997" t="s">
        <v>3192</v>
      </c>
      <c r="C76" s="2997" t="s">
        <v>3193</v>
      </c>
      <c r="D76" s="2998" t="s">
        <v>3305</v>
      </c>
      <c r="E76" s="2997" t="s">
        <v>3079</v>
      </c>
      <c r="F76" s="2997" t="s">
        <v>3195</v>
      </c>
      <c r="G76" s="2998" t="s">
        <v>3297</v>
      </c>
      <c r="H76" s="2997" t="s">
        <v>3196</v>
      </c>
      <c r="I76" s="2997">
        <v>208.31</v>
      </c>
    </row>
    <row r="77" spans="1:9">
      <c r="A77" s="2997">
        <v>78</v>
      </c>
      <c r="B77" s="2997" t="s">
        <v>3192</v>
      </c>
      <c r="C77" s="2997" t="s">
        <v>3193</v>
      </c>
      <c r="D77" s="2998" t="s">
        <v>3306</v>
      </c>
      <c r="E77" s="2997" t="s">
        <v>3079</v>
      </c>
      <c r="F77" s="2997" t="s">
        <v>3195</v>
      </c>
      <c r="G77" s="2998" t="s">
        <v>3297</v>
      </c>
      <c r="H77" s="2997" t="s">
        <v>3196</v>
      </c>
      <c r="I77" s="2997">
        <v>222.93</v>
      </c>
    </row>
    <row r="78" spans="1:9">
      <c r="A78" s="2997">
        <v>79</v>
      </c>
      <c r="B78" s="2997" t="s">
        <v>3192</v>
      </c>
      <c r="C78" s="2997" t="s">
        <v>3193</v>
      </c>
      <c r="D78" s="2998" t="s">
        <v>3307</v>
      </c>
      <c r="E78" s="2997" t="s">
        <v>3079</v>
      </c>
      <c r="F78" s="2997" t="s">
        <v>3195</v>
      </c>
      <c r="G78" s="2998" t="s">
        <v>3297</v>
      </c>
      <c r="H78" s="2997" t="s">
        <v>3196</v>
      </c>
      <c r="I78" s="2997">
        <v>152.03</v>
      </c>
    </row>
    <row r="79" spans="1:9">
      <c r="A79" s="2997">
        <v>80</v>
      </c>
      <c r="B79" s="2997" t="s">
        <v>3192</v>
      </c>
      <c r="C79" s="2997" t="s">
        <v>3193</v>
      </c>
      <c r="D79" s="2998" t="s">
        <v>3308</v>
      </c>
      <c r="E79" s="2997" t="s">
        <v>3079</v>
      </c>
      <c r="F79" s="2997" t="s">
        <v>3195</v>
      </c>
      <c r="G79" s="2998" t="s">
        <v>3297</v>
      </c>
      <c r="H79" s="2997" t="s">
        <v>3196</v>
      </c>
      <c r="I79" s="2997">
        <v>116.9</v>
      </c>
    </row>
    <row r="80" spans="1:9">
      <c r="A80" s="2997">
        <v>82</v>
      </c>
      <c r="B80" s="2997" t="s">
        <v>3192</v>
      </c>
      <c r="C80" s="2997" t="s">
        <v>3193</v>
      </c>
      <c r="D80" s="2998" t="s">
        <v>3311</v>
      </c>
      <c r="E80" s="2997" t="s">
        <v>3079</v>
      </c>
      <c r="F80" s="2997" t="s">
        <v>3195</v>
      </c>
      <c r="G80" s="2998" t="s">
        <v>3312</v>
      </c>
      <c r="H80" s="2997" t="s">
        <v>3196</v>
      </c>
      <c r="I80" s="2997">
        <v>160.65</v>
      </c>
    </row>
    <row r="81" spans="1:9">
      <c r="A81" s="2997">
        <v>83</v>
      </c>
      <c r="B81" s="2997" t="s">
        <v>3192</v>
      </c>
      <c r="C81" s="2997" t="s">
        <v>3193</v>
      </c>
      <c r="D81" s="2998" t="s">
        <v>3313</v>
      </c>
      <c r="E81" s="2997" t="s">
        <v>3079</v>
      </c>
      <c r="F81" s="2997" t="s">
        <v>3195</v>
      </c>
      <c r="G81" s="2998" t="s">
        <v>3312</v>
      </c>
      <c r="H81" s="2997" t="s">
        <v>3196</v>
      </c>
      <c r="I81" s="2997">
        <v>152</v>
      </c>
    </row>
    <row r="82" spans="1:9">
      <c r="A82" s="2997">
        <v>84</v>
      </c>
      <c r="B82" s="2997" t="s">
        <v>3192</v>
      </c>
      <c r="C82" s="2997" t="s">
        <v>3193</v>
      </c>
      <c r="D82" s="2998" t="s">
        <v>3314</v>
      </c>
      <c r="E82" s="2997" t="s">
        <v>3079</v>
      </c>
      <c r="F82" s="2997" t="s">
        <v>3195</v>
      </c>
      <c r="G82" s="2998" t="s">
        <v>3312</v>
      </c>
      <c r="H82" s="2997" t="s">
        <v>3196</v>
      </c>
      <c r="I82" s="2997">
        <v>152</v>
      </c>
    </row>
    <row r="83" spans="1:9">
      <c r="A83" s="2997">
        <v>85</v>
      </c>
      <c r="B83" s="2997" t="s">
        <v>3192</v>
      </c>
      <c r="C83" s="2997" t="s">
        <v>3193</v>
      </c>
      <c r="D83" s="2998" t="s">
        <v>3315</v>
      </c>
      <c r="E83" s="2997" t="s">
        <v>3079</v>
      </c>
      <c r="F83" s="2997" t="s">
        <v>3195</v>
      </c>
      <c r="G83" s="2998" t="s">
        <v>3312</v>
      </c>
      <c r="H83" s="2997" t="s">
        <v>3196</v>
      </c>
      <c r="I83" s="2997">
        <v>152</v>
      </c>
    </row>
    <row r="84" spans="1:9">
      <c r="A84" s="2997">
        <v>86</v>
      </c>
      <c r="B84" s="2997" t="s">
        <v>3192</v>
      </c>
      <c r="C84" s="2997" t="s">
        <v>3193</v>
      </c>
      <c r="D84" s="2998" t="s">
        <v>3316</v>
      </c>
      <c r="E84" s="2997" t="s">
        <v>3079</v>
      </c>
      <c r="F84" s="2997" t="s">
        <v>3195</v>
      </c>
      <c r="G84" s="2998" t="s">
        <v>3312</v>
      </c>
      <c r="H84" s="2997" t="s">
        <v>3196</v>
      </c>
      <c r="I84" s="2997">
        <v>152</v>
      </c>
    </row>
    <row r="85" spans="1:9">
      <c r="A85" s="2997">
        <v>87</v>
      </c>
      <c r="B85" s="2997" t="s">
        <v>3192</v>
      </c>
      <c r="C85" s="2997" t="s">
        <v>3193</v>
      </c>
      <c r="D85" s="2998" t="s">
        <v>3317</v>
      </c>
      <c r="E85" s="2997" t="s">
        <v>3079</v>
      </c>
      <c r="F85" s="2997" t="s">
        <v>3195</v>
      </c>
      <c r="G85" s="2998" t="s">
        <v>3312</v>
      </c>
      <c r="H85" s="2997" t="s">
        <v>3196</v>
      </c>
      <c r="I85" s="2997">
        <v>208.31</v>
      </c>
    </row>
    <row r="86" spans="1:9">
      <c r="A86" s="2997">
        <v>88</v>
      </c>
      <c r="B86" s="2997" t="s">
        <v>3192</v>
      </c>
      <c r="C86" s="2997" t="s">
        <v>3193</v>
      </c>
      <c r="D86" s="2998" t="s">
        <v>3318</v>
      </c>
      <c r="E86" s="2997" t="s">
        <v>3079</v>
      </c>
      <c r="F86" s="2997" t="s">
        <v>3195</v>
      </c>
      <c r="G86" s="2998" t="s">
        <v>3312</v>
      </c>
      <c r="H86" s="2997" t="s">
        <v>3196</v>
      </c>
      <c r="I86" s="2997">
        <v>222.93</v>
      </c>
    </row>
    <row r="87" spans="1:9">
      <c r="A87" s="2997">
        <v>89</v>
      </c>
      <c r="B87" s="2997" t="s">
        <v>3192</v>
      </c>
      <c r="C87" s="2997" t="s">
        <v>3193</v>
      </c>
      <c r="D87" s="2998" t="s">
        <v>3319</v>
      </c>
      <c r="E87" s="2997" t="s">
        <v>3079</v>
      </c>
      <c r="F87" s="2997" t="s">
        <v>3195</v>
      </c>
      <c r="G87" s="2998" t="s">
        <v>3312</v>
      </c>
      <c r="H87" s="2997" t="s">
        <v>3196</v>
      </c>
      <c r="I87" s="2997">
        <v>152.03</v>
      </c>
    </row>
    <row r="88" spans="1:9">
      <c r="A88" s="2997">
        <v>90</v>
      </c>
      <c r="B88" s="2997" t="s">
        <v>3192</v>
      </c>
      <c r="C88" s="2997" t="s">
        <v>3193</v>
      </c>
      <c r="D88" s="2998" t="s">
        <v>3320</v>
      </c>
      <c r="E88" s="2997" t="s">
        <v>3079</v>
      </c>
      <c r="F88" s="2997" t="s">
        <v>3195</v>
      </c>
      <c r="G88" s="2998" t="s">
        <v>3312</v>
      </c>
      <c r="H88" s="2997" t="s">
        <v>3196</v>
      </c>
      <c r="I88" s="2997">
        <v>116.9</v>
      </c>
    </row>
    <row r="89" spans="1:9">
      <c r="A89" s="2997">
        <v>92</v>
      </c>
      <c r="B89" s="2997" t="s">
        <v>3192</v>
      </c>
      <c r="C89" s="2997" t="s">
        <v>3193</v>
      </c>
      <c r="D89" s="2998" t="s">
        <v>3324</v>
      </c>
      <c r="E89" s="2997" t="s">
        <v>3079</v>
      </c>
      <c r="F89" s="2997" t="s">
        <v>3195</v>
      </c>
      <c r="G89" s="2998" t="s">
        <v>3325</v>
      </c>
      <c r="H89" s="2997" t="s">
        <v>3196</v>
      </c>
      <c r="I89" s="2997">
        <v>160.65</v>
      </c>
    </row>
    <row r="90" spans="1:9">
      <c r="A90" s="2997">
        <v>93</v>
      </c>
      <c r="B90" s="2997" t="s">
        <v>3192</v>
      </c>
      <c r="C90" s="2997" t="s">
        <v>3193</v>
      </c>
      <c r="D90" s="2998" t="s">
        <v>3326</v>
      </c>
      <c r="E90" s="2997" t="s">
        <v>3079</v>
      </c>
      <c r="F90" s="2997" t="s">
        <v>3195</v>
      </c>
      <c r="G90" s="2998" t="s">
        <v>3325</v>
      </c>
      <c r="H90" s="2997" t="s">
        <v>3196</v>
      </c>
      <c r="I90" s="2997">
        <v>152</v>
      </c>
    </row>
    <row r="91" spans="1:9">
      <c r="A91" s="2997">
        <v>94</v>
      </c>
      <c r="B91" s="2997" t="s">
        <v>3192</v>
      </c>
      <c r="C91" s="2997" t="s">
        <v>3193</v>
      </c>
      <c r="D91" s="2998" t="s">
        <v>3327</v>
      </c>
      <c r="E91" s="2997" t="s">
        <v>3079</v>
      </c>
      <c r="F91" s="2997" t="s">
        <v>3195</v>
      </c>
      <c r="G91" s="2998" t="s">
        <v>3325</v>
      </c>
      <c r="H91" s="2997" t="s">
        <v>3196</v>
      </c>
      <c r="I91" s="2997">
        <v>152</v>
      </c>
    </row>
    <row r="92" spans="1:9">
      <c r="A92" s="2997">
        <v>95</v>
      </c>
      <c r="B92" s="2997" t="s">
        <v>3192</v>
      </c>
      <c r="C92" s="2997" t="s">
        <v>3193</v>
      </c>
      <c r="D92" s="2998" t="s">
        <v>3328</v>
      </c>
      <c r="E92" s="2997" t="s">
        <v>3079</v>
      </c>
      <c r="F92" s="2997" t="s">
        <v>3195</v>
      </c>
      <c r="G92" s="2998" t="s">
        <v>3325</v>
      </c>
      <c r="H92" s="2997" t="s">
        <v>3196</v>
      </c>
      <c r="I92" s="2997">
        <v>152</v>
      </c>
    </row>
    <row r="93" spans="1:9">
      <c r="A93" s="2997">
        <v>96</v>
      </c>
      <c r="B93" s="2997" t="s">
        <v>3192</v>
      </c>
      <c r="C93" s="2997" t="s">
        <v>3193</v>
      </c>
      <c r="D93" s="2998" t="s">
        <v>3329</v>
      </c>
      <c r="E93" s="2997" t="s">
        <v>3079</v>
      </c>
      <c r="F93" s="2997" t="s">
        <v>3195</v>
      </c>
      <c r="G93" s="2998" t="s">
        <v>3325</v>
      </c>
      <c r="H93" s="2997" t="s">
        <v>3196</v>
      </c>
      <c r="I93" s="2997">
        <v>152</v>
      </c>
    </row>
    <row r="94" spans="1:9">
      <c r="A94" s="2997">
        <v>97</v>
      </c>
      <c r="B94" s="2997" t="s">
        <v>3192</v>
      </c>
      <c r="C94" s="2997" t="s">
        <v>3193</v>
      </c>
      <c r="D94" s="2998" t="s">
        <v>3330</v>
      </c>
      <c r="E94" s="2997" t="s">
        <v>3079</v>
      </c>
      <c r="F94" s="2997" t="s">
        <v>3195</v>
      </c>
      <c r="G94" s="2998" t="s">
        <v>3325</v>
      </c>
      <c r="H94" s="2997" t="s">
        <v>3196</v>
      </c>
      <c r="I94" s="2997">
        <v>208.31</v>
      </c>
    </row>
    <row r="95" spans="1:9">
      <c r="A95" s="2997">
        <v>98</v>
      </c>
      <c r="B95" s="2997" t="s">
        <v>3192</v>
      </c>
      <c r="C95" s="2997" t="s">
        <v>3193</v>
      </c>
      <c r="D95" s="2998" t="s">
        <v>3331</v>
      </c>
      <c r="E95" s="2997" t="s">
        <v>3079</v>
      </c>
      <c r="F95" s="2997" t="s">
        <v>3195</v>
      </c>
      <c r="G95" s="2998" t="s">
        <v>3325</v>
      </c>
      <c r="H95" s="2997" t="s">
        <v>3196</v>
      </c>
      <c r="I95" s="2997">
        <v>222.93</v>
      </c>
    </row>
    <row r="96" spans="1:9">
      <c r="A96" s="2997">
        <v>99</v>
      </c>
      <c r="B96" s="2997" t="s">
        <v>3192</v>
      </c>
      <c r="C96" s="2997" t="s">
        <v>3193</v>
      </c>
      <c r="D96" s="2998" t="s">
        <v>3332</v>
      </c>
      <c r="E96" s="2997" t="s">
        <v>3079</v>
      </c>
      <c r="F96" s="2997" t="s">
        <v>3195</v>
      </c>
      <c r="G96" s="2998" t="s">
        <v>3325</v>
      </c>
      <c r="H96" s="2997" t="s">
        <v>3196</v>
      </c>
      <c r="I96" s="2997">
        <v>152.03</v>
      </c>
    </row>
    <row r="97" spans="1:9">
      <c r="A97" s="2997">
        <v>100</v>
      </c>
      <c r="B97" s="2997" t="s">
        <v>3192</v>
      </c>
      <c r="C97" s="2997" t="s">
        <v>3193</v>
      </c>
      <c r="D97" s="2998" t="s">
        <v>3333</v>
      </c>
      <c r="E97" s="2997" t="s">
        <v>3079</v>
      </c>
      <c r="F97" s="2997" t="s">
        <v>3195</v>
      </c>
      <c r="G97" s="2998" t="s">
        <v>3325</v>
      </c>
      <c r="H97" s="2997" t="s">
        <v>3196</v>
      </c>
      <c r="I97" s="2997">
        <v>116.9</v>
      </c>
    </row>
    <row r="98" spans="1:9">
      <c r="A98" s="2997">
        <v>102</v>
      </c>
      <c r="B98" s="2997" t="s">
        <v>3192</v>
      </c>
      <c r="C98" s="2997" t="s">
        <v>3193</v>
      </c>
      <c r="D98" s="2998" t="s">
        <v>3336</v>
      </c>
      <c r="E98" s="2997" t="s">
        <v>3079</v>
      </c>
      <c r="F98" s="2997" t="s">
        <v>3195</v>
      </c>
      <c r="G98" s="2998" t="s">
        <v>3337</v>
      </c>
      <c r="H98" s="2997" t="s">
        <v>3196</v>
      </c>
      <c r="I98" s="2997">
        <v>160.65</v>
      </c>
    </row>
    <row r="99" spans="1:9">
      <c r="A99" s="2997">
        <v>103</v>
      </c>
      <c r="B99" s="2997" t="s">
        <v>3192</v>
      </c>
      <c r="C99" s="2997" t="s">
        <v>3193</v>
      </c>
      <c r="D99" s="2998" t="s">
        <v>3338</v>
      </c>
      <c r="E99" s="2997" t="s">
        <v>3079</v>
      </c>
      <c r="F99" s="2997" t="s">
        <v>3195</v>
      </c>
      <c r="G99" s="2998" t="s">
        <v>3337</v>
      </c>
      <c r="H99" s="2997" t="s">
        <v>3196</v>
      </c>
      <c r="I99" s="2997">
        <v>152</v>
      </c>
    </row>
    <row r="100" spans="1:9">
      <c r="A100" s="2997">
        <v>104</v>
      </c>
      <c r="B100" s="2997" t="s">
        <v>3192</v>
      </c>
      <c r="C100" s="2997" t="s">
        <v>3193</v>
      </c>
      <c r="D100" s="2998" t="s">
        <v>3339</v>
      </c>
      <c r="E100" s="2997" t="s">
        <v>3079</v>
      </c>
      <c r="F100" s="2997" t="s">
        <v>3195</v>
      </c>
      <c r="G100" s="2998" t="s">
        <v>3337</v>
      </c>
      <c r="H100" s="2997" t="s">
        <v>3196</v>
      </c>
      <c r="I100" s="2997">
        <v>152</v>
      </c>
    </row>
    <row r="101" spans="1:9">
      <c r="A101" s="2997">
        <v>105</v>
      </c>
      <c r="B101" s="2997" t="s">
        <v>3192</v>
      </c>
      <c r="C101" s="2997" t="s">
        <v>3193</v>
      </c>
      <c r="D101" s="2998" t="s">
        <v>3340</v>
      </c>
      <c r="E101" s="2997" t="s">
        <v>3079</v>
      </c>
      <c r="F101" s="2997" t="s">
        <v>3195</v>
      </c>
      <c r="G101" s="2998" t="s">
        <v>3337</v>
      </c>
      <c r="H101" s="2997" t="s">
        <v>3196</v>
      </c>
      <c r="I101" s="2997">
        <v>152</v>
      </c>
    </row>
    <row r="102" spans="1:9">
      <c r="A102" s="2997">
        <v>106</v>
      </c>
      <c r="B102" s="2997" t="s">
        <v>3192</v>
      </c>
      <c r="C102" s="2997" t="s">
        <v>3193</v>
      </c>
      <c r="D102" s="2998" t="s">
        <v>3341</v>
      </c>
      <c r="E102" s="2997" t="s">
        <v>3079</v>
      </c>
      <c r="F102" s="2997" t="s">
        <v>3195</v>
      </c>
      <c r="G102" s="2998" t="s">
        <v>3337</v>
      </c>
      <c r="H102" s="2997" t="s">
        <v>3196</v>
      </c>
      <c r="I102" s="2997">
        <v>152</v>
      </c>
    </row>
    <row r="103" spans="1:9">
      <c r="A103" s="2997">
        <v>107</v>
      </c>
      <c r="B103" s="2997" t="s">
        <v>3192</v>
      </c>
      <c r="C103" s="2997" t="s">
        <v>3193</v>
      </c>
      <c r="D103" s="2998" t="s">
        <v>3342</v>
      </c>
      <c r="E103" s="2997" t="s">
        <v>3079</v>
      </c>
      <c r="F103" s="2997" t="s">
        <v>3195</v>
      </c>
      <c r="G103" s="2998" t="s">
        <v>3337</v>
      </c>
      <c r="H103" s="2997" t="s">
        <v>3196</v>
      </c>
      <c r="I103" s="2997">
        <v>208.31</v>
      </c>
    </row>
    <row r="104" spans="1:9">
      <c r="A104" s="2997">
        <v>108</v>
      </c>
      <c r="B104" s="2997" t="s">
        <v>3192</v>
      </c>
      <c r="C104" s="2997" t="s">
        <v>3193</v>
      </c>
      <c r="D104" s="2998" t="s">
        <v>3343</v>
      </c>
      <c r="E104" s="2997" t="s">
        <v>3079</v>
      </c>
      <c r="F104" s="2997" t="s">
        <v>3195</v>
      </c>
      <c r="G104" s="2998" t="s">
        <v>3337</v>
      </c>
      <c r="H104" s="2997" t="s">
        <v>3196</v>
      </c>
      <c r="I104" s="2997">
        <v>222.93</v>
      </c>
    </row>
    <row r="105" spans="1:9">
      <c r="A105" s="2997">
        <v>109</v>
      </c>
      <c r="B105" s="2997" t="s">
        <v>3192</v>
      </c>
      <c r="C105" s="2997" t="s">
        <v>3193</v>
      </c>
      <c r="D105" s="2998" t="s">
        <v>3344</v>
      </c>
      <c r="E105" s="2997" t="s">
        <v>3079</v>
      </c>
      <c r="F105" s="2997" t="s">
        <v>3195</v>
      </c>
      <c r="G105" s="2998" t="s">
        <v>3337</v>
      </c>
      <c r="H105" s="2997" t="s">
        <v>3196</v>
      </c>
      <c r="I105" s="2997">
        <v>152.03</v>
      </c>
    </row>
    <row r="106" spans="1:9">
      <c r="A106" s="2997">
        <v>110</v>
      </c>
      <c r="B106" s="2997" t="s">
        <v>3192</v>
      </c>
      <c r="C106" s="2997" t="s">
        <v>3193</v>
      </c>
      <c r="D106" s="2998" t="s">
        <v>3345</v>
      </c>
      <c r="E106" s="2997" t="s">
        <v>3079</v>
      </c>
      <c r="F106" s="2997" t="s">
        <v>3195</v>
      </c>
      <c r="G106" s="2998" t="s">
        <v>3337</v>
      </c>
      <c r="H106" s="2997" t="s">
        <v>3196</v>
      </c>
      <c r="I106" s="2997">
        <v>116.9</v>
      </c>
    </row>
    <row r="107" spans="1:9">
      <c r="A107" s="2997">
        <v>112</v>
      </c>
      <c r="B107" s="2997" t="s">
        <v>3192</v>
      </c>
      <c r="C107" s="2997" t="s">
        <v>3193</v>
      </c>
      <c r="D107" s="2998" t="s">
        <v>3348</v>
      </c>
      <c r="E107" s="2997" t="s">
        <v>3079</v>
      </c>
      <c r="F107" s="2997" t="s">
        <v>3195</v>
      </c>
      <c r="G107" s="2998" t="s">
        <v>3349</v>
      </c>
      <c r="H107" s="2997" t="s">
        <v>3196</v>
      </c>
      <c r="I107" s="2997">
        <v>160.65</v>
      </c>
    </row>
    <row r="108" spans="1:9">
      <c r="A108" s="2997">
        <v>113</v>
      </c>
      <c r="B108" s="2997" t="s">
        <v>3192</v>
      </c>
      <c r="C108" s="2997" t="s">
        <v>3193</v>
      </c>
      <c r="D108" s="2998" t="s">
        <v>3350</v>
      </c>
      <c r="E108" s="2997" t="s">
        <v>3079</v>
      </c>
      <c r="F108" s="2997" t="s">
        <v>3195</v>
      </c>
      <c r="G108" s="2998" t="s">
        <v>3349</v>
      </c>
      <c r="H108" s="2997" t="s">
        <v>3196</v>
      </c>
      <c r="I108" s="2997">
        <v>152</v>
      </c>
    </row>
    <row r="109" spans="1:9">
      <c r="A109" s="2997">
        <v>114</v>
      </c>
      <c r="B109" s="2997" t="s">
        <v>3192</v>
      </c>
      <c r="C109" s="2997" t="s">
        <v>3193</v>
      </c>
      <c r="D109" s="2998" t="s">
        <v>3351</v>
      </c>
      <c r="E109" s="2997" t="s">
        <v>3079</v>
      </c>
      <c r="F109" s="2997" t="s">
        <v>3195</v>
      </c>
      <c r="G109" s="2998" t="s">
        <v>3349</v>
      </c>
      <c r="H109" s="2997" t="s">
        <v>3196</v>
      </c>
      <c r="I109" s="2997">
        <v>152</v>
      </c>
    </row>
    <row r="110" spans="1:9">
      <c r="A110" s="2997">
        <v>115</v>
      </c>
      <c r="B110" s="2997" t="s">
        <v>3192</v>
      </c>
      <c r="C110" s="2997" t="s">
        <v>3193</v>
      </c>
      <c r="D110" s="2998" t="s">
        <v>3352</v>
      </c>
      <c r="E110" s="2997" t="s">
        <v>3079</v>
      </c>
      <c r="F110" s="2997" t="s">
        <v>3195</v>
      </c>
      <c r="G110" s="2998" t="s">
        <v>3349</v>
      </c>
      <c r="H110" s="2997" t="s">
        <v>3196</v>
      </c>
      <c r="I110" s="2997">
        <v>152</v>
      </c>
    </row>
    <row r="111" spans="1:9">
      <c r="A111" s="2997">
        <v>116</v>
      </c>
      <c r="B111" s="2997" t="s">
        <v>3192</v>
      </c>
      <c r="C111" s="2997" t="s">
        <v>3193</v>
      </c>
      <c r="D111" s="2998" t="s">
        <v>3353</v>
      </c>
      <c r="E111" s="2997" t="s">
        <v>3079</v>
      </c>
      <c r="F111" s="2997" t="s">
        <v>3195</v>
      </c>
      <c r="G111" s="2998" t="s">
        <v>3349</v>
      </c>
      <c r="H111" s="2997" t="s">
        <v>3196</v>
      </c>
      <c r="I111" s="2997">
        <v>152</v>
      </c>
    </row>
    <row r="112" spans="1:9">
      <c r="A112" s="2997">
        <v>117</v>
      </c>
      <c r="B112" s="2997" t="s">
        <v>3192</v>
      </c>
      <c r="C112" s="2997" t="s">
        <v>3193</v>
      </c>
      <c r="D112" s="2998" t="s">
        <v>3354</v>
      </c>
      <c r="E112" s="2997" t="s">
        <v>3079</v>
      </c>
      <c r="F112" s="2997" t="s">
        <v>3195</v>
      </c>
      <c r="G112" s="2998" t="s">
        <v>3349</v>
      </c>
      <c r="H112" s="2997" t="s">
        <v>3196</v>
      </c>
      <c r="I112" s="2997">
        <v>208.31</v>
      </c>
    </row>
    <row r="113" spans="1:9">
      <c r="A113" s="2997">
        <v>118</v>
      </c>
      <c r="B113" s="2997" t="s">
        <v>3192</v>
      </c>
      <c r="C113" s="2997" t="s">
        <v>3193</v>
      </c>
      <c r="D113" s="2998" t="s">
        <v>3355</v>
      </c>
      <c r="E113" s="2997" t="s">
        <v>3079</v>
      </c>
      <c r="F113" s="2997" t="s">
        <v>3195</v>
      </c>
      <c r="G113" s="2998" t="s">
        <v>3349</v>
      </c>
      <c r="H113" s="2997" t="s">
        <v>3196</v>
      </c>
      <c r="I113" s="2997">
        <v>222.93</v>
      </c>
    </row>
    <row r="114" spans="1:9">
      <c r="A114" s="2997">
        <v>119</v>
      </c>
      <c r="B114" s="2997" t="s">
        <v>3192</v>
      </c>
      <c r="C114" s="2997" t="s">
        <v>3193</v>
      </c>
      <c r="D114" s="2998" t="s">
        <v>3356</v>
      </c>
      <c r="E114" s="2997" t="s">
        <v>3079</v>
      </c>
      <c r="F114" s="2997" t="s">
        <v>3195</v>
      </c>
      <c r="G114" s="2998" t="s">
        <v>3349</v>
      </c>
      <c r="H114" s="2997" t="s">
        <v>3196</v>
      </c>
      <c r="I114" s="2997">
        <v>152.03</v>
      </c>
    </row>
    <row r="115" spans="1:9">
      <c r="A115" s="2997">
        <v>120</v>
      </c>
      <c r="B115" s="2997" t="s">
        <v>3192</v>
      </c>
      <c r="C115" s="2997" t="s">
        <v>3193</v>
      </c>
      <c r="D115" s="2998" t="s">
        <v>3357</v>
      </c>
      <c r="E115" s="2997" t="s">
        <v>3079</v>
      </c>
      <c r="F115" s="2997" t="s">
        <v>3195</v>
      </c>
      <c r="G115" s="2998" t="s">
        <v>3349</v>
      </c>
      <c r="H115" s="2997" t="s">
        <v>3196</v>
      </c>
      <c r="I115" s="2997">
        <v>116.9</v>
      </c>
    </row>
    <row r="116" spans="1:9">
      <c r="A116" s="2997"/>
      <c r="B116" s="2997" t="s">
        <v>3703</v>
      </c>
      <c r="C116" s="2997"/>
      <c r="D116" s="2998"/>
      <c r="E116" s="2997"/>
      <c r="F116" s="2997"/>
      <c r="G116" s="2998"/>
      <c r="H116" s="2997"/>
      <c r="I116" s="2997">
        <f>SUM(I16:I115)</f>
        <v>16188.979999999998</v>
      </c>
    </row>
    <row r="117" spans="1:9" s="3439" customFormat="1">
      <c r="A117" s="3437">
        <v>1</v>
      </c>
      <c r="B117" s="3437" t="s">
        <v>3183</v>
      </c>
      <c r="C117" s="3437" t="s">
        <v>3184</v>
      </c>
      <c r="D117" s="3438" t="s">
        <v>3185</v>
      </c>
      <c r="E117" s="3437" t="s">
        <v>3079</v>
      </c>
      <c r="F117" s="3437" t="s">
        <v>3187</v>
      </c>
      <c r="G117" s="3438" t="s">
        <v>3188</v>
      </c>
      <c r="H117" s="3437" t="s">
        <v>3189</v>
      </c>
      <c r="I117" s="3437">
        <v>5960.53</v>
      </c>
    </row>
    <row r="118" spans="1:9" s="3439" customFormat="1">
      <c r="A118" s="3437">
        <v>2</v>
      </c>
      <c r="B118" s="3437" t="s">
        <v>3183</v>
      </c>
      <c r="C118" s="3437" t="s">
        <v>3184</v>
      </c>
      <c r="D118" s="3438" t="s">
        <v>3190</v>
      </c>
      <c r="E118" s="3437" t="s">
        <v>3079</v>
      </c>
      <c r="F118" s="3437" t="s">
        <v>3187</v>
      </c>
      <c r="G118" s="3438" t="s">
        <v>3188</v>
      </c>
      <c r="H118" s="3437" t="s">
        <v>3189</v>
      </c>
      <c r="I118" s="3437">
        <v>2831.2</v>
      </c>
    </row>
    <row r="119" spans="1:9" s="3439" customFormat="1">
      <c r="A119" s="3437">
        <v>3</v>
      </c>
      <c r="B119" s="3437" t="s">
        <v>3183</v>
      </c>
      <c r="C119" s="3437" t="s">
        <v>3184</v>
      </c>
      <c r="D119" s="3438" t="s">
        <v>3191</v>
      </c>
      <c r="E119" s="3437" t="s">
        <v>3079</v>
      </c>
      <c r="F119" s="3437" t="s">
        <v>3187</v>
      </c>
      <c r="G119" s="3438" t="s">
        <v>3188</v>
      </c>
      <c r="H119" s="3437" t="s">
        <v>3189</v>
      </c>
      <c r="I119" s="3437">
        <v>973.41</v>
      </c>
    </row>
    <row r="120" spans="1:9" s="3439" customFormat="1">
      <c r="A120" s="3437">
        <v>5</v>
      </c>
      <c r="B120" s="3437" t="s">
        <v>3183</v>
      </c>
      <c r="C120" s="3437" t="s">
        <v>3184</v>
      </c>
      <c r="D120" s="3438" t="s">
        <v>3197</v>
      </c>
      <c r="E120" s="3437" t="s">
        <v>3079</v>
      </c>
      <c r="F120" s="3437" t="s">
        <v>3187</v>
      </c>
      <c r="G120" s="3438" t="s">
        <v>3199</v>
      </c>
      <c r="H120" s="3437" t="s">
        <v>3189</v>
      </c>
      <c r="I120" s="3437">
        <v>8925.85</v>
      </c>
    </row>
    <row r="121" spans="1:9" s="3439" customFormat="1">
      <c r="A121" s="3437">
        <v>6</v>
      </c>
      <c r="B121" s="3437" t="s">
        <v>3183</v>
      </c>
      <c r="C121" s="3437" t="s">
        <v>3184</v>
      </c>
      <c r="D121" s="3438" t="s">
        <v>3200</v>
      </c>
      <c r="E121" s="3437" t="s">
        <v>3079</v>
      </c>
      <c r="F121" s="3437" t="s">
        <v>3187</v>
      </c>
      <c r="G121" s="3438" t="s">
        <v>3199</v>
      </c>
      <c r="H121" s="3437" t="s">
        <v>3189</v>
      </c>
      <c r="I121" s="3437">
        <v>1999.18</v>
      </c>
    </row>
    <row r="122" spans="1:9" s="3439" customFormat="1">
      <c r="A122" s="3437">
        <v>7</v>
      </c>
      <c r="B122" s="3437" t="s">
        <v>3183</v>
      </c>
      <c r="C122" s="3437" t="s">
        <v>3184</v>
      </c>
      <c r="D122" s="3438" t="s">
        <v>3201</v>
      </c>
      <c r="E122" s="3437" t="s">
        <v>3079</v>
      </c>
      <c r="F122" s="3437" t="s">
        <v>3187</v>
      </c>
      <c r="G122" s="3438" t="s">
        <v>1027</v>
      </c>
      <c r="H122" s="3437" t="s">
        <v>3189</v>
      </c>
      <c r="I122" s="3437">
        <v>8965.7800000000007</v>
      </c>
    </row>
    <row r="123" spans="1:9" s="3439" customFormat="1">
      <c r="A123" s="3437">
        <v>8</v>
      </c>
      <c r="B123" s="3437" t="s">
        <v>3183</v>
      </c>
      <c r="C123" s="3437" t="s">
        <v>3184</v>
      </c>
      <c r="D123" s="3438" t="s">
        <v>3204</v>
      </c>
      <c r="E123" s="3437" t="s">
        <v>3079</v>
      </c>
      <c r="F123" s="3437" t="s">
        <v>3187</v>
      </c>
      <c r="G123" s="3438" t="s">
        <v>1027</v>
      </c>
      <c r="H123" s="3437" t="s">
        <v>3189</v>
      </c>
      <c r="I123" s="3437">
        <v>1991.5</v>
      </c>
    </row>
    <row r="124" spans="1:9" s="3439" customFormat="1">
      <c r="A124" s="3437">
        <v>10</v>
      </c>
      <c r="B124" s="3437" t="s">
        <v>3183</v>
      </c>
      <c r="C124" s="3437" t="s">
        <v>3184</v>
      </c>
      <c r="D124" s="3438" t="s">
        <v>3209</v>
      </c>
      <c r="E124" s="3437" t="s">
        <v>3079</v>
      </c>
      <c r="F124" s="3437" t="s">
        <v>3187</v>
      </c>
      <c r="G124" s="3438" t="s">
        <v>1028</v>
      </c>
      <c r="H124" s="3437" t="s">
        <v>3189</v>
      </c>
      <c r="I124" s="3437">
        <v>10095.84</v>
      </c>
    </row>
    <row r="125" spans="1:9">
      <c r="A125" s="2997">
        <v>122</v>
      </c>
      <c r="B125" s="2997" t="s">
        <v>3183</v>
      </c>
      <c r="C125" s="2997" t="s">
        <v>3184</v>
      </c>
      <c r="D125" s="2998" t="s">
        <v>3363</v>
      </c>
      <c r="E125" s="2997" t="s">
        <v>3079</v>
      </c>
      <c r="F125" s="2997" t="s">
        <v>3187</v>
      </c>
      <c r="G125" s="2998" t="s">
        <v>3359</v>
      </c>
      <c r="H125" s="2997" t="s">
        <v>3360</v>
      </c>
      <c r="I125" s="2997">
        <v>21.37</v>
      </c>
    </row>
    <row r="126" spans="1:9">
      <c r="A126" s="2997">
        <v>123</v>
      </c>
      <c r="B126" s="2997" t="s">
        <v>3183</v>
      </c>
      <c r="C126" s="2997" t="s">
        <v>3184</v>
      </c>
      <c r="D126" s="2998" t="s">
        <v>3365</v>
      </c>
      <c r="E126" s="2997" t="s">
        <v>3079</v>
      </c>
      <c r="F126" s="2997" t="s">
        <v>3187</v>
      </c>
      <c r="G126" s="2998" t="s">
        <v>3359</v>
      </c>
      <c r="H126" s="2997" t="s">
        <v>3360</v>
      </c>
      <c r="I126" s="2997">
        <v>7.56</v>
      </c>
    </row>
    <row r="127" spans="1:9">
      <c r="A127" s="2997">
        <v>124</v>
      </c>
      <c r="B127" s="2997" t="s">
        <v>3183</v>
      </c>
      <c r="C127" s="2997" t="s">
        <v>3184</v>
      </c>
      <c r="D127" s="2998" t="s">
        <v>3366</v>
      </c>
      <c r="E127" s="2997" t="s">
        <v>3079</v>
      </c>
      <c r="F127" s="2997" t="s">
        <v>3187</v>
      </c>
      <c r="G127" s="2998" t="s">
        <v>3359</v>
      </c>
      <c r="H127" s="2997" t="s">
        <v>3360</v>
      </c>
      <c r="I127" s="2997">
        <v>36.07</v>
      </c>
    </row>
    <row r="128" spans="1:9">
      <c r="A128" s="2997">
        <v>125</v>
      </c>
      <c r="B128" s="2997" t="s">
        <v>3183</v>
      </c>
      <c r="C128" s="2997" t="s">
        <v>3184</v>
      </c>
      <c r="D128" s="2998" t="s">
        <v>3367</v>
      </c>
      <c r="E128" s="2997" t="s">
        <v>3079</v>
      </c>
      <c r="F128" s="2997" t="s">
        <v>3187</v>
      </c>
      <c r="G128" s="2998" t="s">
        <v>3359</v>
      </c>
      <c r="H128" s="2997" t="s">
        <v>3360</v>
      </c>
      <c r="I128" s="2997">
        <v>21.25</v>
      </c>
    </row>
    <row r="129" spans="1:9">
      <c r="A129" s="2997">
        <v>126</v>
      </c>
      <c r="B129" s="2997" t="s">
        <v>3183</v>
      </c>
      <c r="C129" s="2997" t="s">
        <v>3184</v>
      </c>
      <c r="D129" s="2998" t="s">
        <v>3368</v>
      </c>
      <c r="E129" s="2997" t="s">
        <v>3079</v>
      </c>
      <c r="F129" s="2997" t="s">
        <v>3187</v>
      </c>
      <c r="G129" s="2998" t="s">
        <v>3359</v>
      </c>
      <c r="H129" s="2997" t="s">
        <v>3360</v>
      </c>
      <c r="I129" s="2997">
        <v>57.48</v>
      </c>
    </row>
    <row r="130" spans="1:9">
      <c r="A130" s="2997">
        <v>127</v>
      </c>
      <c r="B130" s="2997" t="s">
        <v>3183</v>
      </c>
      <c r="C130" s="2997" t="s">
        <v>3184</v>
      </c>
      <c r="D130" s="2998" t="s">
        <v>3369</v>
      </c>
      <c r="E130" s="2997" t="s">
        <v>3079</v>
      </c>
      <c r="F130" s="2997" t="s">
        <v>3187</v>
      </c>
      <c r="G130" s="2998" t="s">
        <v>3359</v>
      </c>
      <c r="H130" s="2997" t="s">
        <v>3360</v>
      </c>
      <c r="I130" s="2997">
        <v>50.19</v>
      </c>
    </row>
    <row r="131" spans="1:9">
      <c r="A131" s="2997">
        <v>128</v>
      </c>
      <c r="B131" s="2997" t="s">
        <v>3183</v>
      </c>
      <c r="C131" s="2997" t="s">
        <v>3184</v>
      </c>
      <c r="D131" s="2998" t="s">
        <v>3370</v>
      </c>
      <c r="E131" s="2997" t="s">
        <v>3079</v>
      </c>
      <c r="F131" s="2997" t="s">
        <v>3187</v>
      </c>
      <c r="G131" s="2998" t="s">
        <v>3359</v>
      </c>
      <c r="H131" s="2997" t="s">
        <v>3360</v>
      </c>
      <c r="I131" s="2997">
        <v>6828.51</v>
      </c>
    </row>
    <row r="132" spans="1:9">
      <c r="A132" s="2997">
        <v>129</v>
      </c>
      <c r="B132" s="2997" t="s">
        <v>3183</v>
      </c>
      <c r="C132" s="2997" t="s">
        <v>3184</v>
      </c>
      <c r="D132" s="2998" t="s">
        <v>3371</v>
      </c>
      <c r="E132" s="2997" t="s">
        <v>3079</v>
      </c>
      <c r="F132" s="2997" t="s">
        <v>3187</v>
      </c>
      <c r="G132" s="2998" t="s">
        <v>3359</v>
      </c>
      <c r="H132" s="2997" t="s">
        <v>3372</v>
      </c>
      <c r="I132" s="2997">
        <v>1940.16</v>
      </c>
    </row>
    <row r="133" spans="1:9">
      <c r="A133" s="2997">
        <v>130</v>
      </c>
      <c r="B133" s="2997" t="s">
        <v>3183</v>
      </c>
      <c r="C133" s="2997" t="s">
        <v>3184</v>
      </c>
      <c r="D133" s="2998" t="s">
        <v>3373</v>
      </c>
      <c r="E133" s="2997" t="s">
        <v>3079</v>
      </c>
      <c r="F133" s="2997" t="s">
        <v>3187</v>
      </c>
      <c r="G133" s="2998" t="s">
        <v>3359</v>
      </c>
      <c r="H133" s="2997" t="s">
        <v>3360</v>
      </c>
      <c r="I133" s="2997">
        <v>69.25</v>
      </c>
    </row>
    <row r="134" spans="1:9">
      <c r="A134" s="2997">
        <v>131</v>
      </c>
      <c r="B134" s="2997" t="s">
        <v>3183</v>
      </c>
      <c r="C134" s="2997" t="s">
        <v>3184</v>
      </c>
      <c r="D134" s="2998" t="s">
        <v>3374</v>
      </c>
      <c r="E134" s="2997" t="s">
        <v>3079</v>
      </c>
      <c r="F134" s="2997" t="s">
        <v>3187</v>
      </c>
      <c r="G134" s="2998" t="s">
        <v>3359</v>
      </c>
      <c r="H134" s="2997" t="s">
        <v>3360</v>
      </c>
      <c r="I134" s="2997">
        <v>48.56</v>
      </c>
    </row>
    <row r="135" spans="1:9">
      <c r="A135" s="2997">
        <v>132</v>
      </c>
      <c r="B135" s="2997" t="s">
        <v>3183</v>
      </c>
      <c r="C135" s="2997" t="s">
        <v>3184</v>
      </c>
      <c r="D135" s="2998" t="s">
        <v>3375</v>
      </c>
      <c r="E135" s="2997" t="s">
        <v>3079</v>
      </c>
      <c r="F135" s="2997" t="s">
        <v>3187</v>
      </c>
      <c r="G135" s="2998" t="s">
        <v>3359</v>
      </c>
      <c r="H135" s="2997" t="s">
        <v>3360</v>
      </c>
      <c r="I135" s="2997">
        <v>48.56</v>
      </c>
    </row>
    <row r="136" spans="1:9">
      <c r="A136" s="2997">
        <v>133</v>
      </c>
      <c r="B136" s="2997" t="s">
        <v>3183</v>
      </c>
      <c r="C136" s="2997" t="s">
        <v>3184</v>
      </c>
      <c r="D136" s="2998" t="s">
        <v>3376</v>
      </c>
      <c r="E136" s="2997" t="s">
        <v>3079</v>
      </c>
      <c r="F136" s="2997" t="s">
        <v>3187</v>
      </c>
      <c r="G136" s="2998" t="s">
        <v>3359</v>
      </c>
      <c r="H136" s="2997" t="s">
        <v>3360</v>
      </c>
      <c r="I136" s="2997">
        <v>47.76</v>
      </c>
    </row>
    <row r="137" spans="1:9">
      <c r="A137" s="2997">
        <v>134</v>
      </c>
      <c r="B137" s="2997" t="s">
        <v>3183</v>
      </c>
      <c r="C137" s="2997" t="s">
        <v>3184</v>
      </c>
      <c r="D137" s="2998" t="s">
        <v>3377</v>
      </c>
      <c r="E137" s="2997" t="s">
        <v>3079</v>
      </c>
      <c r="F137" s="2997" t="s">
        <v>3187</v>
      </c>
      <c r="G137" s="2998" t="s">
        <v>3359</v>
      </c>
      <c r="H137" s="2997" t="s">
        <v>3360</v>
      </c>
      <c r="I137" s="2997">
        <v>53.68</v>
      </c>
    </row>
    <row r="138" spans="1:9">
      <c r="A138" s="2997">
        <v>135</v>
      </c>
      <c r="B138" s="2997" t="s">
        <v>3183</v>
      </c>
      <c r="C138" s="2997" t="s">
        <v>3184</v>
      </c>
      <c r="D138" s="2998" t="s">
        <v>3378</v>
      </c>
      <c r="E138" s="2997" t="s">
        <v>3079</v>
      </c>
      <c r="F138" s="2997" t="s">
        <v>3187</v>
      </c>
      <c r="G138" s="2998" t="s">
        <v>3359</v>
      </c>
      <c r="H138" s="2997" t="s">
        <v>3360</v>
      </c>
      <c r="I138" s="2997">
        <v>53.68</v>
      </c>
    </row>
    <row r="139" spans="1:9">
      <c r="A139" s="2997">
        <v>136</v>
      </c>
      <c r="B139" s="2997" t="s">
        <v>3183</v>
      </c>
      <c r="C139" s="2997" t="s">
        <v>3184</v>
      </c>
      <c r="D139" s="2998" t="s">
        <v>3379</v>
      </c>
      <c r="E139" s="2997" t="s">
        <v>3079</v>
      </c>
      <c r="F139" s="2997" t="s">
        <v>3187</v>
      </c>
      <c r="G139" s="2998" t="s">
        <v>3359</v>
      </c>
      <c r="H139" s="2997" t="s">
        <v>3360</v>
      </c>
      <c r="I139" s="2997">
        <v>53.68</v>
      </c>
    </row>
    <row r="140" spans="1:9">
      <c r="A140" s="2997">
        <v>137</v>
      </c>
      <c r="B140" s="2997" t="s">
        <v>3183</v>
      </c>
      <c r="C140" s="2997" t="s">
        <v>3184</v>
      </c>
      <c r="D140" s="2998" t="s">
        <v>3380</v>
      </c>
      <c r="E140" s="2997" t="s">
        <v>3079</v>
      </c>
      <c r="F140" s="2997" t="s">
        <v>3187</v>
      </c>
      <c r="G140" s="2998" t="s">
        <v>3359</v>
      </c>
      <c r="H140" s="2997" t="s">
        <v>3360</v>
      </c>
      <c r="I140" s="2997">
        <v>53.68</v>
      </c>
    </row>
    <row r="141" spans="1:9">
      <c r="A141" s="2997">
        <v>138</v>
      </c>
      <c r="B141" s="2997" t="s">
        <v>3183</v>
      </c>
      <c r="C141" s="2997" t="s">
        <v>3184</v>
      </c>
      <c r="D141" s="2998" t="s">
        <v>3381</v>
      </c>
      <c r="E141" s="2997" t="s">
        <v>3079</v>
      </c>
      <c r="F141" s="2997" t="s">
        <v>3187</v>
      </c>
      <c r="G141" s="2998" t="s">
        <v>3359</v>
      </c>
      <c r="H141" s="2997" t="s">
        <v>3360</v>
      </c>
      <c r="I141" s="2997">
        <v>47.55</v>
      </c>
    </row>
    <row r="142" spans="1:9">
      <c r="A142" s="2997">
        <v>139</v>
      </c>
      <c r="B142" s="2997" t="s">
        <v>3183</v>
      </c>
      <c r="C142" s="2997" t="s">
        <v>3184</v>
      </c>
      <c r="D142" s="2998" t="s">
        <v>3382</v>
      </c>
      <c r="E142" s="2997" t="s">
        <v>3079</v>
      </c>
      <c r="F142" s="2997" t="s">
        <v>3187</v>
      </c>
      <c r="G142" s="2998" t="s">
        <v>3359</v>
      </c>
      <c r="H142" s="2997" t="s">
        <v>3360</v>
      </c>
      <c r="I142" s="2997">
        <v>54.7</v>
      </c>
    </row>
    <row r="143" spans="1:9">
      <c r="A143" s="2997">
        <v>140</v>
      </c>
      <c r="B143" s="2997" t="s">
        <v>3183</v>
      </c>
      <c r="C143" s="2997" t="s">
        <v>3184</v>
      </c>
      <c r="D143" s="2998" t="s">
        <v>3383</v>
      </c>
      <c r="E143" s="2997" t="s">
        <v>3079</v>
      </c>
      <c r="F143" s="2997" t="s">
        <v>3187</v>
      </c>
      <c r="G143" s="2998" t="s">
        <v>3384</v>
      </c>
      <c r="H143" s="2997" t="s">
        <v>3360</v>
      </c>
      <c r="I143" s="2997">
        <v>21.21</v>
      </c>
    </row>
    <row r="144" spans="1:9">
      <c r="A144" s="2997">
        <v>141</v>
      </c>
      <c r="B144" s="2997" t="s">
        <v>3183</v>
      </c>
      <c r="C144" s="2997" t="s">
        <v>3184</v>
      </c>
      <c r="D144" s="2998" t="s">
        <v>3385</v>
      </c>
      <c r="E144" s="2997" t="s">
        <v>3079</v>
      </c>
      <c r="F144" s="2997" t="s">
        <v>3187</v>
      </c>
      <c r="G144" s="2998" t="s">
        <v>3384</v>
      </c>
      <c r="H144" s="2997" t="s">
        <v>3360</v>
      </c>
      <c r="I144" s="2997">
        <v>46.3</v>
      </c>
    </row>
    <row r="145" spans="1:10">
      <c r="A145" s="2997">
        <v>142</v>
      </c>
      <c r="B145" s="2997" t="s">
        <v>3183</v>
      </c>
      <c r="C145" s="2997" t="s">
        <v>3184</v>
      </c>
      <c r="D145" s="2998" t="s">
        <v>3386</v>
      </c>
      <c r="E145" s="2997" t="s">
        <v>3079</v>
      </c>
      <c r="F145" s="2997" t="s">
        <v>3187</v>
      </c>
      <c r="G145" s="2998" t="s">
        <v>3384</v>
      </c>
      <c r="H145" s="2997" t="s">
        <v>3360</v>
      </c>
      <c r="I145" s="2997">
        <v>37.840000000000003</v>
      </c>
    </row>
    <row r="146" spans="1:10">
      <c r="A146" s="2997">
        <v>143</v>
      </c>
      <c r="B146" s="2997" t="s">
        <v>3183</v>
      </c>
      <c r="C146" s="2997" t="s">
        <v>3184</v>
      </c>
      <c r="D146" s="2998" t="s">
        <v>3387</v>
      </c>
      <c r="E146" s="2997" t="s">
        <v>3079</v>
      </c>
      <c r="F146" s="2997" t="s">
        <v>3187</v>
      </c>
      <c r="G146" s="2998" t="s">
        <v>3384</v>
      </c>
      <c r="H146" s="2997" t="s">
        <v>3360</v>
      </c>
      <c r="I146" s="2997">
        <v>50.82</v>
      </c>
    </row>
    <row r="147" spans="1:10">
      <c r="A147" s="2997">
        <v>144</v>
      </c>
      <c r="B147" s="2997" t="s">
        <v>3183</v>
      </c>
      <c r="C147" s="2997" t="s">
        <v>3184</v>
      </c>
      <c r="D147" s="2998" t="s">
        <v>3388</v>
      </c>
      <c r="E147" s="2997" t="s">
        <v>3079</v>
      </c>
      <c r="F147" s="2997" t="s">
        <v>3187</v>
      </c>
      <c r="G147" s="2998" t="s">
        <v>3384</v>
      </c>
      <c r="H147" s="2997" t="s">
        <v>3360</v>
      </c>
      <c r="I147" s="2997">
        <v>1951.24</v>
      </c>
    </row>
    <row r="148" spans="1:10">
      <c r="A148" s="2997">
        <v>145</v>
      </c>
      <c r="B148" s="2997" t="s">
        <v>3183</v>
      </c>
      <c r="C148" s="2997" t="s">
        <v>3184</v>
      </c>
      <c r="D148" s="2998" t="s">
        <v>3389</v>
      </c>
      <c r="E148" s="2997" t="s">
        <v>3079</v>
      </c>
      <c r="F148" s="2997" t="s">
        <v>3187</v>
      </c>
      <c r="G148" s="2998" t="s">
        <v>3390</v>
      </c>
      <c r="H148" s="2997" t="s">
        <v>3360</v>
      </c>
      <c r="I148" s="2997">
        <v>179.13</v>
      </c>
    </row>
    <row r="149" spans="1:10">
      <c r="A149" s="2997">
        <v>146</v>
      </c>
      <c r="B149" s="2997" t="s">
        <v>3183</v>
      </c>
      <c r="C149" s="2997" t="s">
        <v>3184</v>
      </c>
      <c r="D149" s="2998" t="s">
        <v>3391</v>
      </c>
      <c r="E149" s="2997" t="s">
        <v>3079</v>
      </c>
      <c r="F149" s="2997" t="s">
        <v>3187</v>
      </c>
      <c r="G149" s="2998" t="s">
        <v>3390</v>
      </c>
      <c r="H149" s="2997" t="s">
        <v>3360</v>
      </c>
      <c r="I149" s="2997">
        <v>21.21</v>
      </c>
    </row>
    <row r="150" spans="1:10">
      <c r="A150" s="2997">
        <v>147</v>
      </c>
      <c r="B150" s="2997" t="s">
        <v>3183</v>
      </c>
      <c r="C150" s="2997" t="s">
        <v>3184</v>
      </c>
      <c r="D150" s="2998" t="s">
        <v>3392</v>
      </c>
      <c r="E150" s="2997" t="s">
        <v>3079</v>
      </c>
      <c r="F150" s="2997" t="s">
        <v>3187</v>
      </c>
      <c r="G150" s="2998" t="s">
        <v>3390</v>
      </c>
      <c r="H150" s="2997" t="s">
        <v>3360</v>
      </c>
      <c r="I150" s="2997">
        <v>49.91</v>
      </c>
    </row>
    <row r="151" spans="1:10">
      <c r="A151" s="2997">
        <v>148</v>
      </c>
      <c r="B151" s="2997" t="s">
        <v>3183</v>
      </c>
      <c r="C151" s="2997" t="s">
        <v>3184</v>
      </c>
      <c r="D151" s="2998" t="s">
        <v>3393</v>
      </c>
      <c r="E151" s="2997" t="s">
        <v>3079</v>
      </c>
      <c r="F151" s="2997" t="s">
        <v>3187</v>
      </c>
      <c r="G151" s="2998" t="s">
        <v>3390</v>
      </c>
      <c r="H151" s="2997" t="s">
        <v>3360</v>
      </c>
      <c r="I151" s="2997">
        <v>2544.79</v>
      </c>
    </row>
    <row r="152" spans="1:10">
      <c r="A152" s="2997"/>
      <c r="B152" s="2997" t="s">
        <v>3704</v>
      </c>
      <c r="C152" s="2997"/>
      <c r="D152" s="2998"/>
      <c r="E152" s="2997"/>
      <c r="F152" s="2997"/>
      <c r="G152" s="2998"/>
      <c r="H152" s="2997"/>
      <c r="I152" s="2997">
        <f>SUM(I117:I151)</f>
        <v>56139.43</v>
      </c>
      <c r="J152" s="2999">
        <f>I152-I132</f>
        <v>54199.27</v>
      </c>
    </row>
    <row r="153" spans="1:10">
      <c r="A153" s="2997"/>
      <c r="B153" s="2997" t="s">
        <v>3394</v>
      </c>
      <c r="C153" s="2997"/>
      <c r="D153" s="2998"/>
      <c r="E153" s="2997"/>
      <c r="F153" s="2997"/>
      <c r="G153" s="2998"/>
      <c r="H153" s="2997"/>
      <c r="I153" s="2997">
        <f>SUM(I152,I116,I15)</f>
        <v>89988.24</v>
      </c>
    </row>
    <row r="155" spans="1:10">
      <c r="D155" s="2999"/>
      <c r="G155" s="2999"/>
    </row>
    <row r="156" spans="1:10">
      <c r="A156" s="2997" t="s">
        <v>3405</v>
      </c>
      <c r="B156" s="2997">
        <f>SUM(I117,I118,I119,I16)</f>
        <v>9797.0999999999985</v>
      </c>
      <c r="C156" s="3437" t="s">
        <v>3705</v>
      </c>
      <c r="D156" s="3437">
        <f>389</f>
        <v>389</v>
      </c>
      <c r="E156" s="2997"/>
      <c r="G156" s="2999"/>
    </row>
    <row r="157" spans="1:10">
      <c r="A157" s="2997" t="s">
        <v>3406</v>
      </c>
      <c r="B157" s="2997">
        <f>SUM(I120:I121)</f>
        <v>10925.03</v>
      </c>
      <c r="C157" s="3437" t="s">
        <v>3706</v>
      </c>
      <c r="D157" s="3437">
        <f>I16</f>
        <v>31.96</v>
      </c>
      <c r="E157" s="2997"/>
      <c r="G157" s="2999"/>
    </row>
    <row r="158" spans="1:10">
      <c r="A158" s="2997" t="s">
        <v>3407</v>
      </c>
      <c r="B158" s="2997">
        <f>SUM(I122:I123)</f>
        <v>10957.28</v>
      </c>
      <c r="C158" s="3437" t="s">
        <v>3707</v>
      </c>
      <c r="D158" s="3437">
        <f>I117+I118+I119+I120+I121+I122+I123+I124</f>
        <v>41743.289999999994</v>
      </c>
      <c r="E158" s="2997"/>
      <c r="G158" s="2999"/>
    </row>
    <row r="159" spans="1:10">
      <c r="A159" s="2997" t="s">
        <v>3408</v>
      </c>
      <c r="B159" s="2997">
        <f>SUM(I124,I2)</f>
        <v>11174.07</v>
      </c>
      <c r="C159" s="3437" t="s">
        <v>3746</v>
      </c>
      <c r="D159" s="3437">
        <f>SUM(I17:I115)</f>
        <v>16157.019999999999</v>
      </c>
      <c r="E159" s="2997"/>
      <c r="G159" s="2999"/>
    </row>
    <row r="160" spans="1:10">
      <c r="A160" s="2997" t="s">
        <v>3422</v>
      </c>
      <c r="B160" s="2997">
        <f>SUM(I17:I115)</f>
        <v>16157.019999999999</v>
      </c>
      <c r="C160" s="3437" t="s">
        <v>3745</v>
      </c>
      <c r="D160" s="3437">
        <f>SUM(I2:I13)-D156</f>
        <v>16569.820000000003</v>
      </c>
      <c r="G160" s="2999"/>
    </row>
    <row r="161" spans="1:12">
      <c r="A161" s="2997" t="s">
        <v>3632</v>
      </c>
      <c r="B161" s="2997">
        <f>SUM(I3:I13)</f>
        <v>15880.590000000004</v>
      </c>
      <c r="C161" s="3437" t="s">
        <v>3747</v>
      </c>
      <c r="D161" s="3437">
        <f>I14</f>
        <v>701.01</v>
      </c>
      <c r="G161" s="2999"/>
    </row>
    <row r="162" spans="1:12">
      <c r="A162" s="2997" t="s">
        <v>3423</v>
      </c>
      <c r="B162" s="2997">
        <f>SUM(I125:I151,I14)-B163</f>
        <v>13156.989999999996</v>
      </c>
      <c r="C162" s="3437" t="s">
        <v>3748</v>
      </c>
      <c r="D162" s="3437">
        <f>SUM(I125:I151,I14)-B163-D161</f>
        <v>12455.979999999996</v>
      </c>
      <c r="G162" s="2999"/>
    </row>
    <row r="163" spans="1:12">
      <c r="A163" s="2997" t="s">
        <v>3431</v>
      </c>
      <c r="B163" s="2997">
        <f>I132</f>
        <v>1940.16</v>
      </c>
      <c r="C163" s="3437" t="s">
        <v>3431</v>
      </c>
      <c r="D163" s="3437">
        <f>I132</f>
        <v>1940.16</v>
      </c>
      <c r="G163" s="2999"/>
    </row>
    <row r="164" spans="1:12">
      <c r="A164" s="2997" t="s">
        <v>3432</v>
      </c>
      <c r="B164" s="2997">
        <f>SUM(B156:B163)</f>
        <v>89988.239999999991</v>
      </c>
      <c r="C164" s="3437" t="s">
        <v>3432</v>
      </c>
      <c r="D164" s="3437">
        <f>SUM(D156:D163)</f>
        <v>89988.239999999991</v>
      </c>
      <c r="E164" s="3004"/>
      <c r="F164" s="3004"/>
      <c r="G164" s="3004"/>
      <c r="H164" s="3004"/>
      <c r="I164" s="3004"/>
    </row>
    <row r="165" spans="1:12">
      <c r="A165" s="3004"/>
      <c r="B165" s="3004"/>
      <c r="C165" s="3004"/>
      <c r="D165" s="3004"/>
      <c r="E165" s="3004"/>
      <c r="F165" s="3004"/>
      <c r="G165" s="3004"/>
      <c r="H165" s="3004"/>
      <c r="I165" s="3004"/>
    </row>
    <row r="166" spans="1:12">
      <c r="A166" s="3004"/>
      <c r="B166" s="3004"/>
      <c r="C166" s="3004"/>
      <c r="D166" s="3004"/>
      <c r="E166" s="3004"/>
      <c r="F166" s="3004"/>
      <c r="G166" s="3004"/>
      <c r="H166" s="3004"/>
      <c r="I166" s="3004"/>
    </row>
    <row r="167" spans="1:12">
      <c r="A167" s="3444"/>
      <c r="B167" s="3444" t="s">
        <v>3412</v>
      </c>
      <c r="C167" s="3456" t="s">
        <v>3719</v>
      </c>
      <c r="D167" s="3444" t="s">
        <v>3414</v>
      </c>
      <c r="E167" s="3444" t="s">
        <v>3720</v>
      </c>
      <c r="F167" s="3444" t="s">
        <v>3721</v>
      </c>
      <c r="G167" s="3444" t="s">
        <v>3416</v>
      </c>
      <c r="H167" s="3444" t="s">
        <v>3722</v>
      </c>
      <c r="I167" s="3444" t="s">
        <v>3723</v>
      </c>
      <c r="J167" s="3445"/>
      <c r="K167" s="3445" t="s">
        <v>3724</v>
      </c>
      <c r="L167" s="3445" t="s">
        <v>3725</v>
      </c>
    </row>
    <row r="168" spans="1:12">
      <c r="A168" s="3444" t="s">
        <v>3417</v>
      </c>
      <c r="B168" s="3444">
        <v>1</v>
      </c>
      <c r="C168" s="3444">
        <v>9765.1400000000012</v>
      </c>
      <c r="D168" s="3446">
        <v>3866.38</v>
      </c>
      <c r="E168" s="3446">
        <v>5898.7600000000011</v>
      </c>
      <c r="F168" s="3447">
        <v>8.02</v>
      </c>
      <c r="G168" s="3447">
        <v>21.56</v>
      </c>
      <c r="H168" s="3448">
        <v>1</v>
      </c>
      <c r="I168" s="3444">
        <v>15</v>
      </c>
      <c r="J168" s="3445"/>
      <c r="K168" s="3445"/>
      <c r="L168" s="3445"/>
    </row>
    <row r="169" spans="1:12">
      <c r="A169" s="3444" t="s">
        <v>3409</v>
      </c>
      <c r="B169" s="3444">
        <v>0.65</v>
      </c>
      <c r="C169" s="3444">
        <v>10925.03</v>
      </c>
      <c r="D169" s="3446">
        <v>10925.03</v>
      </c>
      <c r="E169" s="3446">
        <v>0</v>
      </c>
      <c r="F169" s="3447"/>
      <c r="G169" s="3447">
        <v>2.7</v>
      </c>
      <c r="H169" s="3448">
        <v>0.17005076142131981</v>
      </c>
      <c r="I169" s="3444">
        <v>2.5499999999999998</v>
      </c>
      <c r="J169" s="3445"/>
      <c r="K169" s="3445"/>
      <c r="L169" s="3445"/>
    </row>
    <row r="170" spans="1:12">
      <c r="A170" s="3444" t="s">
        <v>3410</v>
      </c>
      <c r="B170" s="3444">
        <v>0.55000000000000004</v>
      </c>
      <c r="C170" s="3444">
        <v>10957.28</v>
      </c>
      <c r="D170" s="3446">
        <v>10957.28</v>
      </c>
      <c r="E170" s="3446">
        <v>0</v>
      </c>
      <c r="F170" s="3447"/>
      <c r="G170" s="3447">
        <v>2.5499999999999998</v>
      </c>
      <c r="H170" s="3448">
        <v>0.15736040609137056</v>
      </c>
      <c r="I170" s="3448">
        <v>2.36</v>
      </c>
      <c r="J170" s="3445"/>
      <c r="K170" s="3445"/>
      <c r="L170" s="3445"/>
    </row>
    <row r="171" spans="1:12">
      <c r="A171" s="3444" t="s">
        <v>3411</v>
      </c>
      <c r="B171" s="3444">
        <v>0.45</v>
      </c>
      <c r="C171" s="3446">
        <v>10095.84</v>
      </c>
      <c r="D171" s="3446">
        <v>3866.2</v>
      </c>
      <c r="E171" s="3446">
        <v>6229.64</v>
      </c>
      <c r="F171" s="3447"/>
      <c r="G171" s="3447">
        <v>10.26</v>
      </c>
      <c r="H171" s="3448">
        <v>0.55774111675126903</v>
      </c>
      <c r="I171" s="3444">
        <v>8.3699999999999992</v>
      </c>
      <c r="J171" s="3445"/>
      <c r="K171" s="3445"/>
      <c r="L171" s="3445"/>
    </row>
    <row r="172" spans="1:12">
      <c r="A172" s="3445"/>
      <c r="B172" s="3445"/>
      <c r="C172" s="3444">
        <v>41743.290000000008</v>
      </c>
      <c r="D172" s="3446">
        <v>29614.890000000003</v>
      </c>
      <c r="E172" s="3446">
        <v>12128.400000000001</v>
      </c>
      <c r="F172" s="3447"/>
      <c r="G172" s="3447">
        <v>6.09</v>
      </c>
      <c r="H172" s="3447"/>
      <c r="I172" s="3447">
        <v>4.8600000000000003</v>
      </c>
      <c r="J172" s="3445"/>
      <c r="K172" s="3445">
        <v>4.8600000000000003</v>
      </c>
      <c r="L172" s="3445">
        <v>11.59</v>
      </c>
    </row>
    <row r="173" spans="1:12">
      <c r="D173" s="2999"/>
      <c r="G173" s="2999"/>
    </row>
    <row r="174" spans="1:12" ht="15.6">
      <c r="A174" s="3442"/>
      <c r="B174" s="3442"/>
      <c r="C174" s="3443">
        <v>1078.23</v>
      </c>
      <c r="D174" s="3442"/>
      <c r="E174" s="3442"/>
      <c r="F174" s="3442"/>
      <c r="G174" s="3442"/>
      <c r="H174" s="3442"/>
      <c r="I174" s="3442"/>
      <c r="J174" s="3442"/>
      <c r="K174" s="3442"/>
      <c r="L174" s="3442"/>
    </row>
    <row r="175" spans="1:12">
      <c r="D175" s="2999"/>
      <c r="G175" s="2999"/>
    </row>
    <row r="177" spans="1:10">
      <c r="A177" s="3472"/>
      <c r="B177" s="3469" t="s">
        <v>3726</v>
      </c>
      <c r="C177" s="3470" t="s">
        <v>3727</v>
      </c>
      <c r="D177" s="3471" t="s">
        <v>3728</v>
      </c>
      <c r="E177" s="3465" t="s">
        <v>3729</v>
      </c>
      <c r="F177" s="3466" t="s">
        <v>3730</v>
      </c>
      <c r="G177" s="3467" t="s">
        <v>3731</v>
      </c>
      <c r="H177" s="3467" t="s">
        <v>3732</v>
      </c>
      <c r="I177" s="3468" t="s">
        <v>3733</v>
      </c>
      <c r="J177" s="3467" t="s">
        <v>3734</v>
      </c>
    </row>
    <row r="178" spans="1:10" s="3463" customFormat="1" ht="24">
      <c r="A178" s="3454" t="s">
        <v>3735</v>
      </c>
      <c r="B178" s="3451" t="s">
        <v>3736</v>
      </c>
      <c r="C178" s="3450" t="s">
        <v>3737</v>
      </c>
      <c r="D178" s="3449" t="s">
        <v>3738</v>
      </c>
      <c r="E178" s="3452" t="s">
        <v>3739</v>
      </c>
      <c r="F178" s="3461">
        <v>389</v>
      </c>
      <c r="G178" s="3464">
        <v>112404.79166666667</v>
      </c>
      <c r="H178" s="3464">
        <v>1348857.5</v>
      </c>
      <c r="I178" s="3441" t="s">
        <v>3411</v>
      </c>
      <c r="J178" s="3457">
        <v>9.5</v>
      </c>
    </row>
  </sheetData>
  <autoFilter ref="A1:S1" xr:uid="{00000000-0009-0000-0000-00000A000000}">
    <sortState ref="A2:Q150">
      <sortCondition ref="C1"/>
    </sortState>
  </autoFilter>
  <phoneticPr fontId="2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K34"/>
  <sheetViews>
    <sheetView tabSelected="1" workbookViewId="0">
      <pane xSplit="3" ySplit="1" topLeftCell="F20" activePane="bottomRight" state="frozen"/>
      <selection activeCell="F19" sqref="F19"/>
      <selection pane="topRight" activeCell="F19" sqref="F19"/>
      <selection pane="bottomLeft" activeCell="F19" sqref="F19"/>
      <selection pane="bottomRight" activeCell="J34" sqref="J34:K34"/>
    </sheetView>
  </sheetViews>
  <sheetFormatPr defaultRowHeight="14.4"/>
  <cols>
    <col min="1" max="1" width="35" customWidth="1"/>
    <col min="2" max="3" width="9.88671875" bestFit="1" customWidth="1"/>
    <col min="4" max="4" width="12.44140625" customWidth="1"/>
    <col min="5" max="5" width="13.77734375" customWidth="1"/>
    <col min="6" max="6" width="14.33203125" customWidth="1"/>
    <col min="7" max="7" width="17.77734375" customWidth="1"/>
    <col min="8" max="8" width="15" customWidth="1"/>
    <col min="9" max="9" width="15.109375" customWidth="1"/>
    <col min="10" max="11" width="12.109375" customWidth="1"/>
  </cols>
  <sheetData>
    <row r="1" spans="1:10">
      <c r="A1" s="3521" t="s">
        <v>2296</v>
      </c>
      <c r="B1" s="3522" t="s">
        <v>2297</v>
      </c>
      <c r="C1" s="3522" t="s">
        <v>2298</v>
      </c>
      <c r="D1" s="3524" t="s">
        <v>2299</v>
      </c>
      <c r="E1" s="3525"/>
      <c r="F1" s="3526" t="s">
        <v>3698</v>
      </c>
      <c r="G1" s="3527"/>
      <c r="H1" s="3521" t="s">
        <v>2301</v>
      </c>
      <c r="I1" s="3521"/>
    </row>
    <row r="2" spans="1:10">
      <c r="A2" s="3521"/>
      <c r="B2" s="3523"/>
      <c r="C2" s="3523"/>
      <c r="D2" s="3426" t="s">
        <v>2302</v>
      </c>
      <c r="E2" s="3426" t="s">
        <v>2303</v>
      </c>
      <c r="F2" s="3426" t="s">
        <v>2302</v>
      </c>
      <c r="G2" s="3426" t="s">
        <v>2304</v>
      </c>
      <c r="H2" s="3426" t="s">
        <v>2302</v>
      </c>
      <c r="I2" s="3426" t="s">
        <v>2304</v>
      </c>
    </row>
    <row r="3" spans="1:10" ht="45.6" customHeight="1">
      <c r="A3" s="2497" t="s">
        <v>3697</v>
      </c>
      <c r="B3" s="3426">
        <f>'数据-汇总表'!E3</f>
        <v>42164.249999999993</v>
      </c>
      <c r="C3" s="3426">
        <f>'数据-汇总表'!D3</f>
        <v>9680.74</v>
      </c>
      <c r="D3" s="3426">
        <f ca="1">H3-F3</f>
        <v>148329</v>
      </c>
      <c r="E3" s="3426">
        <f ca="1">I3-G3</f>
        <v>35178</v>
      </c>
      <c r="F3" s="3426">
        <f ca="1">收益法商租!C13+收益法商自!C13+收益法1号楼!C13+收益法2号楼!C13</f>
        <v>19162</v>
      </c>
      <c r="G3" s="3426">
        <f ca="1">ROUND(F3/B3*10000,0)</f>
        <v>4545</v>
      </c>
      <c r="H3" s="3426">
        <f ca="1">结果表!G19</f>
        <v>167491</v>
      </c>
      <c r="I3" s="3426">
        <f ca="1">ROUND(H3/B3*10000,0)</f>
        <v>39723</v>
      </c>
    </row>
    <row r="4" spans="1:10" ht="40.200000000000003" customHeight="1">
      <c r="A4" s="2497" t="s">
        <v>3701</v>
      </c>
      <c r="B4" s="3436">
        <v>16569.82</v>
      </c>
      <c r="C4" s="3436">
        <v>3804.36</v>
      </c>
      <c r="D4" s="3426">
        <f>H4-F4</f>
        <v>42075</v>
      </c>
      <c r="E4" s="3426">
        <f>I4-G4</f>
        <v>25393</v>
      </c>
      <c r="F4" s="3436">
        <v>10696</v>
      </c>
      <c r="G4" s="3426">
        <f>ROUND(F4/B4*10000,0)</f>
        <v>6455</v>
      </c>
      <c r="H4" s="3436">
        <v>52771</v>
      </c>
      <c r="I4" s="3426">
        <f>ROUND(H4/B4*10000,0)</f>
        <v>31848</v>
      </c>
    </row>
    <row r="5" spans="1:10" ht="33" customHeight="1">
      <c r="A5" s="2497" t="s">
        <v>3699</v>
      </c>
      <c r="B5" s="3426">
        <v>16157.019999999999</v>
      </c>
      <c r="C5" s="3426">
        <v>3709.59</v>
      </c>
      <c r="D5" s="3426">
        <f t="shared" ref="D5:D6" si="0">H5-F5</f>
        <v>52841</v>
      </c>
      <c r="E5" s="3426">
        <f t="shared" ref="E5:E6" si="1">I5-G5</f>
        <v>32705</v>
      </c>
      <c r="F5" s="3426">
        <f>1776+5278</f>
        <v>7054</v>
      </c>
      <c r="G5" s="3426">
        <f t="shared" ref="G5:G6" si="2">ROUND(F5/B5*10000,0)</f>
        <v>4366</v>
      </c>
      <c r="H5" s="3426">
        <f>[2]结果表办!$G$19</f>
        <v>59895</v>
      </c>
      <c r="I5" s="3426">
        <f t="shared" ref="I5:I6" si="3">ROUND(H5/B5*10000,0)</f>
        <v>37071</v>
      </c>
    </row>
    <row r="6" spans="1:10" ht="31.8" customHeight="1">
      <c r="A6" s="2497" t="s">
        <v>3700</v>
      </c>
      <c r="B6" s="3426">
        <v>13156.989999999996</v>
      </c>
      <c r="C6" s="3426">
        <v>3020.79</v>
      </c>
      <c r="D6" s="3426">
        <f t="shared" si="0"/>
        <v>5582</v>
      </c>
      <c r="E6" s="3426">
        <f t="shared" si="1"/>
        <v>4243</v>
      </c>
      <c r="F6" s="3426">
        <v>5039</v>
      </c>
      <c r="G6" s="3426">
        <f t="shared" si="2"/>
        <v>3830</v>
      </c>
      <c r="H6" s="3436">
        <v>10621</v>
      </c>
      <c r="I6" s="3426">
        <f t="shared" si="3"/>
        <v>8073</v>
      </c>
    </row>
    <row r="7" spans="1:10">
      <c r="A7" s="2497"/>
      <c r="B7" s="3426">
        <f>SUM(B3:B6)</f>
        <v>88048.079999999987</v>
      </c>
      <c r="C7" s="3426">
        <f>SUM(C3:C6)</f>
        <v>20215.480000000003</v>
      </c>
      <c r="D7" s="3518">
        <f ca="1">SUM(D3:D6)</f>
        <v>248827</v>
      </c>
      <c r="E7" s="3519"/>
      <c r="F7" s="3518">
        <f ca="1">SUM(F3:F6)</f>
        <v>41951</v>
      </c>
      <c r="G7" s="3519"/>
      <c r="H7" s="3518">
        <f ca="1">SUM(H3:H6)</f>
        <v>290778</v>
      </c>
      <c r="I7" s="3519"/>
    </row>
    <row r="8" spans="1:10">
      <c r="A8" s="3521" t="s">
        <v>2305</v>
      </c>
      <c r="B8" s="3521"/>
      <c r="C8" s="3521"/>
      <c r="D8" s="3516" t="str">
        <f ca="1">NUMBERSTRING(INT(D7*10000),2)&amp;"元整"</f>
        <v>贰拾肆亿捌仟捌佰贰拾柒万元整</v>
      </c>
      <c r="E8" s="3517"/>
      <c r="F8" s="3516" t="str">
        <f ca="1">NUMBERSTRING(INT(F7*10000),2)&amp;"元整"</f>
        <v>肆亿壹仟玖佰伍拾壹万元整</v>
      </c>
      <c r="G8" s="3517"/>
      <c r="H8" s="3516" t="str">
        <f ca="1">NUMBERSTRING(INT(H7*10000),2)&amp;"元整"</f>
        <v>贰拾玖亿零柒佰柒拾捌万元整</v>
      </c>
      <c r="I8" s="3517"/>
    </row>
    <row r="11" spans="1:10">
      <c r="A11" s="3455" t="s">
        <v>3744</v>
      </c>
    </row>
    <row r="12" spans="1:10">
      <c r="A12" s="3521" t="s">
        <v>2296</v>
      </c>
      <c r="B12" s="3522" t="s">
        <v>2297</v>
      </c>
      <c r="C12" s="3522" t="s">
        <v>2298</v>
      </c>
      <c r="D12" s="3524" t="s">
        <v>2299</v>
      </c>
      <c r="E12" s="3525"/>
      <c r="F12" s="3526" t="s">
        <v>3698</v>
      </c>
      <c r="G12" s="3527"/>
      <c r="H12" s="3521" t="s">
        <v>2301</v>
      </c>
      <c r="I12" s="3521"/>
    </row>
    <row r="13" spans="1:10">
      <c r="A13" s="3521"/>
      <c r="B13" s="3523"/>
      <c r="C13" s="3523"/>
      <c r="D13" s="3436" t="s">
        <v>2302</v>
      </c>
      <c r="E13" s="3436" t="s">
        <v>2303</v>
      </c>
      <c r="F13" s="3436" t="s">
        <v>2302</v>
      </c>
      <c r="G13" s="3436" t="s">
        <v>2304</v>
      </c>
      <c r="H13" s="3436" t="s">
        <v>2302</v>
      </c>
      <c r="I13" s="3436" t="s">
        <v>2304</v>
      </c>
      <c r="J13" s="3453" t="s">
        <v>3743</v>
      </c>
    </row>
    <row r="14" spans="1:10" ht="28.8">
      <c r="A14" s="3459" t="s">
        <v>3740</v>
      </c>
      <c r="B14" s="3436">
        <f>'数据-基础表'!I19</f>
        <v>389</v>
      </c>
      <c r="C14" s="3436">
        <f>'数据-汇总表'!R22</f>
        <v>7.34</v>
      </c>
      <c r="D14" s="3436">
        <f t="shared" ref="D14:E16" ca="1" si="4">H14-F14</f>
        <v>1719</v>
      </c>
      <c r="E14" s="3436">
        <f t="shared" ca="1" si="4"/>
        <v>44190</v>
      </c>
      <c r="F14" s="3436">
        <f ca="1">收益法1号楼!C13</f>
        <v>170</v>
      </c>
      <c r="G14" s="3436">
        <f ca="1">ROUND(F14/B14*10000,0)</f>
        <v>4370</v>
      </c>
      <c r="H14" s="3436">
        <f ca="1">ROUND(H3*J14/J17,0)</f>
        <v>1889</v>
      </c>
      <c r="I14" s="3436">
        <f ca="1">ROUND(H14/B14*10000,0)</f>
        <v>48560</v>
      </c>
      <c r="J14">
        <f ca="1">'收益法商（汇总）'!B8</f>
        <v>1469</v>
      </c>
    </row>
    <row r="15" spans="1:10" ht="28.8">
      <c r="A15" s="3459" t="s">
        <v>3741</v>
      </c>
      <c r="B15" s="3436">
        <f>'数据-基础表'!I20</f>
        <v>31.96</v>
      </c>
      <c r="C15" s="3436">
        <f>'数据-汇总表'!R21</f>
        <v>89.31</v>
      </c>
      <c r="D15" s="3436">
        <f t="shared" ca="1" si="4"/>
        <v>258</v>
      </c>
      <c r="E15" s="3436">
        <f t="shared" ca="1" si="4"/>
        <v>80725</v>
      </c>
      <c r="F15" s="3436">
        <f ca="1">收益法2号楼!C13</f>
        <v>13</v>
      </c>
      <c r="G15" s="3436">
        <f ca="1">ROUND(F15/B15*10000,0)</f>
        <v>4068</v>
      </c>
      <c r="H15" s="3436">
        <f ca="1">ROUND(H3*J15/J17,0)</f>
        <v>271</v>
      </c>
      <c r="I15" s="3436">
        <f ca="1">ROUND(H15/B15*10000,0)</f>
        <v>84793</v>
      </c>
      <c r="J15">
        <f ca="1">'收益法商（汇总）'!B9</f>
        <v>211</v>
      </c>
    </row>
    <row r="16" spans="1:10" ht="28.8">
      <c r="A16" s="3459" t="s">
        <v>3742</v>
      </c>
      <c r="B16" s="3436">
        <f>'数据-基础表'!I21</f>
        <v>41743.289999999994</v>
      </c>
      <c r="C16" s="3436">
        <f>'数据-汇总表'!D3-结果表汇总!C14-结果表汇总!C15</f>
        <v>9584.09</v>
      </c>
      <c r="D16" s="3436">
        <f t="shared" ca="1" si="4"/>
        <v>146352</v>
      </c>
      <c r="E16" s="3436">
        <f t="shared" ca="1" si="4"/>
        <v>35060</v>
      </c>
      <c r="F16" s="3436">
        <f ca="1">收益法商租!C13+收益法商自!C13</f>
        <v>18979</v>
      </c>
      <c r="G16" s="3436">
        <f ca="1">ROUND(F16/B16*10000,0)</f>
        <v>4547</v>
      </c>
      <c r="H16" s="3436">
        <f ca="1">H3-H14-H15</f>
        <v>165331</v>
      </c>
      <c r="I16" s="3436">
        <f ca="1">ROUND(H16/B16*10000,0)</f>
        <v>39607</v>
      </c>
      <c r="J16">
        <f ca="1">'收益法商（汇总）'!B6+'收益法商（汇总）'!B7</f>
        <v>128548</v>
      </c>
    </row>
    <row r="17" spans="1:11">
      <c r="J17">
        <f ca="1">SUM(J14:J16)</f>
        <v>130228</v>
      </c>
    </row>
    <row r="19" spans="1:11">
      <c r="A19" s="3455" t="s">
        <v>3749</v>
      </c>
    </row>
    <row r="20" spans="1:11">
      <c r="A20" s="3521" t="s">
        <v>2296</v>
      </c>
      <c r="B20" s="3522" t="s">
        <v>2297</v>
      </c>
      <c r="C20" s="3522" t="s">
        <v>2298</v>
      </c>
      <c r="D20" s="3524" t="s">
        <v>2299</v>
      </c>
      <c r="E20" s="3525"/>
      <c r="F20" s="3526" t="s">
        <v>3698</v>
      </c>
      <c r="G20" s="3527"/>
      <c r="H20" s="3521" t="s">
        <v>2301</v>
      </c>
      <c r="I20" s="3521"/>
    </row>
    <row r="21" spans="1:11">
      <c r="A21" s="3521"/>
      <c r="B21" s="3523"/>
      <c r="C21" s="3523"/>
      <c r="D21" s="3436" t="s">
        <v>2302</v>
      </c>
      <c r="E21" s="3436" t="s">
        <v>2303</v>
      </c>
      <c r="F21" s="3436" t="s">
        <v>2302</v>
      </c>
      <c r="G21" s="3436" t="s">
        <v>2304</v>
      </c>
      <c r="H21" s="3436" t="s">
        <v>2302</v>
      </c>
      <c r="I21" s="3436" t="s">
        <v>2304</v>
      </c>
    </row>
    <row r="22" spans="1:11" ht="28.8">
      <c r="A22" s="3459" t="s">
        <v>3740</v>
      </c>
      <c r="B22" s="3436">
        <f>按楼清单!D161</f>
        <v>701.01</v>
      </c>
      <c r="C22" s="3436">
        <f>ROUND(B22/B6*C6,2)</f>
        <v>160.94999999999999</v>
      </c>
      <c r="D22" s="3436">
        <f>H22-F22</f>
        <v>298</v>
      </c>
      <c r="E22" s="3436">
        <f>I22-G22</f>
        <v>4243</v>
      </c>
      <c r="F22" s="3436">
        <f>ROUND(G22*B22/10000,0)</f>
        <v>268</v>
      </c>
      <c r="G22" s="3436">
        <f>G6</f>
        <v>3830</v>
      </c>
      <c r="H22" s="3436">
        <f>ROUND(I22*B22/10000,0)</f>
        <v>566</v>
      </c>
      <c r="I22" s="3436">
        <f>I6</f>
        <v>8073</v>
      </c>
    </row>
    <row r="23" spans="1:11" ht="28.8">
      <c r="A23" s="3459" t="s">
        <v>3742</v>
      </c>
      <c r="B23" s="3436">
        <f>B6-B22</f>
        <v>12455.979999999996</v>
      </c>
      <c r="C23" s="3436">
        <f>C6-C22</f>
        <v>2859.84</v>
      </c>
      <c r="D23" s="3436">
        <f>H23-F23</f>
        <v>5284</v>
      </c>
      <c r="E23" s="3436">
        <f>I23-G23</f>
        <v>4242</v>
      </c>
      <c r="F23" s="3436">
        <f>F6-F22</f>
        <v>4771</v>
      </c>
      <c r="G23" s="3436">
        <f>ROUND(F23/B23*10000,0)</f>
        <v>3830</v>
      </c>
      <c r="H23" s="3436">
        <f>H6-H22</f>
        <v>10055</v>
      </c>
      <c r="I23" s="3436">
        <f>ROUND(H23/B23*10000,0)</f>
        <v>8072</v>
      </c>
    </row>
    <row r="27" spans="1:11">
      <c r="A27" s="3455" t="s">
        <v>3750</v>
      </c>
    </row>
    <row r="28" spans="1:11">
      <c r="A28" s="3521" t="s">
        <v>2296</v>
      </c>
      <c r="B28" s="3522" t="s">
        <v>2297</v>
      </c>
      <c r="C28" s="3522" t="s">
        <v>2298</v>
      </c>
      <c r="D28" s="3524" t="s">
        <v>2299</v>
      </c>
      <c r="E28" s="3525"/>
      <c r="F28" s="3526" t="s">
        <v>3698</v>
      </c>
      <c r="G28" s="3527"/>
      <c r="H28" s="3521" t="s">
        <v>2301</v>
      </c>
      <c r="I28" s="3521"/>
      <c r="J28" s="3520" t="s">
        <v>3762</v>
      </c>
      <c r="K28" s="3521"/>
    </row>
    <row r="29" spans="1:11">
      <c r="A29" s="3521"/>
      <c r="B29" s="3523"/>
      <c r="C29" s="3523"/>
      <c r="D29" s="3436" t="s">
        <v>2302</v>
      </c>
      <c r="E29" s="3436" t="s">
        <v>2303</v>
      </c>
      <c r="F29" s="3436" t="s">
        <v>2302</v>
      </c>
      <c r="G29" s="3436" t="s">
        <v>2304</v>
      </c>
      <c r="H29" s="3436" t="s">
        <v>2302</v>
      </c>
      <c r="I29" s="3436" t="s">
        <v>2304</v>
      </c>
      <c r="J29" s="3440" t="s">
        <v>2302</v>
      </c>
      <c r="K29" s="3440" t="s">
        <v>2304</v>
      </c>
    </row>
    <row r="30" spans="1:11">
      <c r="A30" s="3459" t="s">
        <v>3751</v>
      </c>
      <c r="B30" s="3436">
        <f>B14+B22+B4</f>
        <v>17659.829999999998</v>
      </c>
      <c r="C30" s="3436">
        <f>C14+C22+C4</f>
        <v>3972.65</v>
      </c>
      <c r="D30" s="3436">
        <f ca="1">H30-F30</f>
        <v>44092</v>
      </c>
      <c r="E30" s="3436">
        <f ca="1">I30-G30</f>
        <v>24967</v>
      </c>
      <c r="F30" s="3436">
        <f t="shared" ref="F30:H30" ca="1" si="5">F14+F22+F4</f>
        <v>11134</v>
      </c>
      <c r="G30" s="3436">
        <f ca="1">ROUND(F30/B30*10000,0)</f>
        <v>6305</v>
      </c>
      <c r="H30" s="3436">
        <f t="shared" ca="1" si="5"/>
        <v>55226</v>
      </c>
      <c r="I30" s="3436">
        <f ca="1">ROUND(H30/B30*10000,0)</f>
        <v>31272</v>
      </c>
      <c r="J30" s="3436">
        <v>43205</v>
      </c>
      <c r="K30" s="3440">
        <f>ROUND(J30/B30*10000,0)</f>
        <v>24465</v>
      </c>
    </row>
    <row r="31" spans="1:11">
      <c r="A31" s="3459" t="s">
        <v>3752</v>
      </c>
      <c r="B31" s="3436">
        <f>B15+B5</f>
        <v>16188.979999999998</v>
      </c>
      <c r="C31" s="3436">
        <f>C15+C5</f>
        <v>3798.9</v>
      </c>
      <c r="D31" s="3436">
        <f t="shared" ref="D31:D32" ca="1" si="6">H31-F31</f>
        <v>53099</v>
      </c>
      <c r="E31" s="3436">
        <f ca="1">I31-G31</f>
        <v>32800</v>
      </c>
      <c r="F31" s="3436">
        <f ca="1">F15+F5</f>
        <v>7067</v>
      </c>
      <c r="G31" s="3436">
        <f ca="1">ROUND(F31/B31*10000,0)</f>
        <v>4365</v>
      </c>
      <c r="H31" s="3436">
        <f ca="1">H15+H5</f>
        <v>60166</v>
      </c>
      <c r="I31" s="3436">
        <f ca="1">ROUND(H31/B31*10000,0)</f>
        <v>37165</v>
      </c>
      <c r="J31" s="3436">
        <v>44189</v>
      </c>
      <c r="K31" s="3440">
        <f t="shared" ref="K31:K32" si="7">ROUND(J31/B31*10000,0)</f>
        <v>27296</v>
      </c>
    </row>
    <row r="32" spans="1:11">
      <c r="A32" s="3459" t="s">
        <v>3753</v>
      </c>
      <c r="B32" s="3436">
        <f>B23+B16</f>
        <v>54199.26999999999</v>
      </c>
      <c r="C32" s="3436">
        <f>C23+C16</f>
        <v>12443.93</v>
      </c>
      <c r="D32" s="3436">
        <f t="shared" ca="1" si="6"/>
        <v>151636</v>
      </c>
      <c r="E32" s="3436">
        <f ca="1">I32-G32</f>
        <v>27977</v>
      </c>
      <c r="F32" s="3436">
        <f ca="1">F23+F16</f>
        <v>23750</v>
      </c>
      <c r="G32" s="3436">
        <f ca="1">ROUND(F32/B32*10000,0)</f>
        <v>4382</v>
      </c>
      <c r="H32" s="3436">
        <f ca="1">H23+H16</f>
        <v>175386</v>
      </c>
      <c r="I32" s="3436">
        <f ca="1">ROUND(H32/B32*10000,0)</f>
        <v>32359</v>
      </c>
      <c r="J32" s="3436">
        <v>135603</v>
      </c>
      <c r="K32" s="3440">
        <f t="shared" si="7"/>
        <v>25019</v>
      </c>
    </row>
    <row r="33" spans="1:11">
      <c r="A33" s="2497"/>
      <c r="B33" s="3436">
        <f>SUM(B30:B32)</f>
        <v>88048.079999999987</v>
      </c>
      <c r="C33" s="3440">
        <f>SUM(C30:C32)</f>
        <v>20215.48</v>
      </c>
      <c r="D33" s="3518">
        <f ca="1">SUM(D29:D32)</f>
        <v>248827</v>
      </c>
      <c r="E33" s="3519"/>
      <c r="F33" s="3518">
        <f ca="1">SUM(F29:F32)</f>
        <v>41951</v>
      </c>
      <c r="G33" s="3519"/>
      <c r="H33" s="3518">
        <f ca="1">SUM(H29:H32)</f>
        <v>290778</v>
      </c>
      <c r="I33" s="3519"/>
      <c r="J33" s="3518">
        <f>SUM(J29:J32)</f>
        <v>222997</v>
      </c>
      <c r="K33" s="3519"/>
    </row>
    <row r="34" spans="1:11">
      <c r="A34" s="3521" t="s">
        <v>2305</v>
      </c>
      <c r="B34" s="3521"/>
      <c r="C34" s="3521"/>
      <c r="D34" s="3516" t="str">
        <f ca="1">NUMBERSTRING(INT(D33*10000),2)&amp;"元整"</f>
        <v>贰拾肆亿捌仟捌佰贰拾柒万元整</v>
      </c>
      <c r="E34" s="3517"/>
      <c r="F34" s="3516" t="str">
        <f ca="1">NUMBERSTRING(INT(F33*10000),2)&amp;"元整"</f>
        <v>肆亿壹仟玖佰伍拾壹万元整</v>
      </c>
      <c r="G34" s="3517"/>
      <c r="H34" s="3516" t="str">
        <f ca="1">NUMBERSTRING(INT(H33*10000),2)&amp;"元整"</f>
        <v>贰拾玖亿零柒佰柒拾捌万元整</v>
      </c>
      <c r="I34" s="3517"/>
      <c r="J34" s="3516" t="str">
        <f>NUMBERSTRING(INT(J33*10000),2)&amp;"元整"</f>
        <v>贰拾贰亿贰仟玖佰玖拾柒万元整</v>
      </c>
      <c r="K34" s="3517"/>
    </row>
  </sheetData>
  <mergeCells count="41">
    <mergeCell ref="A34:C34"/>
    <mergeCell ref="D34:E34"/>
    <mergeCell ref="F34:G34"/>
    <mergeCell ref="H34:I34"/>
    <mergeCell ref="A28:A29"/>
    <mergeCell ref="B28:B29"/>
    <mergeCell ref="C28:C29"/>
    <mergeCell ref="D28:E28"/>
    <mergeCell ref="F28:G28"/>
    <mergeCell ref="C12:C13"/>
    <mergeCell ref="D12:E12"/>
    <mergeCell ref="F12:G12"/>
    <mergeCell ref="H28:I28"/>
    <mergeCell ref="D33:E33"/>
    <mergeCell ref="F33:G33"/>
    <mergeCell ref="H33:I33"/>
    <mergeCell ref="D7:E7"/>
    <mergeCell ref="F7:G7"/>
    <mergeCell ref="H7:I7"/>
    <mergeCell ref="H1:I1"/>
    <mergeCell ref="A1:A2"/>
    <mergeCell ref="B1:B2"/>
    <mergeCell ref="C1:C2"/>
    <mergeCell ref="D1:E1"/>
    <mergeCell ref="F1:G1"/>
    <mergeCell ref="J34:K34"/>
    <mergeCell ref="J33:K33"/>
    <mergeCell ref="J28:K28"/>
    <mergeCell ref="A8:C8"/>
    <mergeCell ref="D8:E8"/>
    <mergeCell ref="F8:G8"/>
    <mergeCell ref="H8:I8"/>
    <mergeCell ref="H12:I12"/>
    <mergeCell ref="A20:A21"/>
    <mergeCell ref="B20:B21"/>
    <mergeCell ref="C20:C21"/>
    <mergeCell ref="D20:E20"/>
    <mergeCell ref="F20:G20"/>
    <mergeCell ref="H20:I20"/>
    <mergeCell ref="A12:A13"/>
    <mergeCell ref="B12:B13"/>
  </mergeCells>
  <phoneticPr fontId="143" type="noConversion"/>
  <dataValidations count="4">
    <dataValidation type="list" allowBlank="1" showInputMessage="1" showErrorMessage="1" sqref="F1:G1 F12:G12 F20:G20 F28:G28" xr:uid="{00000000-0002-0000-1600-000000000000}">
      <formula1>"建筑物价值,在建建筑物价值,建筑物/在建建筑物价值"</formula1>
    </dataValidation>
    <dataValidation type="list" allowBlank="1" showInputMessage="1" showErrorMessage="1" sqref="D1:E1 D12:E12 D20:E20 D28:E28" xr:uid="{00000000-0002-0000-1600-000001000000}">
      <formula1>"出让国有建设用地使用权价值,划拨国有建设用地使用权价值"</formula1>
    </dataValidation>
    <dataValidation type="list" allowBlank="1" showInputMessage="1" showErrorMessage="1" sqref="C1:C2 C12:C13 C20:C21 C28:C29" xr:uid="{00000000-0002-0000-1600-000002000000}">
      <formula1>"土地面积,分摊土地面积,（分摊）土地面积"</formula1>
    </dataValidation>
    <dataValidation type="list" allowBlank="1" showInputMessage="1" showErrorMessage="1" sqref="B1:B2 B12:B13 B20:B21 B28:B29" xr:uid="{00000000-0002-0000-1600-000003000000}">
      <formula1>"建筑面积,规划建筑面积,（规划）建筑面积"</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V56"/>
  <sheetViews>
    <sheetView view="pageBreakPreview" topLeftCell="A4" zoomScale="90" zoomScaleNormal="100" zoomScaleSheetLayoutView="90" workbookViewId="0">
      <selection activeCell="H13" sqref="H13"/>
    </sheetView>
  </sheetViews>
  <sheetFormatPr defaultColWidth="10" defaultRowHeight="18" customHeight="1"/>
  <cols>
    <col min="1" max="1" width="14.88671875" style="2011" customWidth="1"/>
    <col min="2" max="2" width="13.6640625" style="2011" bestFit="1" customWidth="1"/>
    <col min="3" max="3" width="11.44140625" style="2011" customWidth="1"/>
    <col min="4" max="4" width="14.44140625" style="2011" customWidth="1"/>
    <col min="5" max="5" width="16.33203125" style="2011" bestFit="1" customWidth="1"/>
    <col min="6" max="6" width="15.109375" style="2011" customWidth="1"/>
    <col min="7" max="7" width="15" style="2011" customWidth="1"/>
    <col min="8" max="8" width="16.109375" style="2011" bestFit="1" customWidth="1"/>
    <col min="9" max="9" width="11.10937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528" t="str">
        <f>IF(B10="北京市","北京市",C10)&amp;F10&amp;IF(结果表!G1="在建","出让国有建设用地使用权及在建建筑物",IF(结果表!G1="土地","出让国有建设用地使用权",))&amp;B9&amp;"预评估"</f>
        <v>北京市朝阳区广顺北大街16号院1、2、3号楼房地产抵押价值预评估</v>
      </c>
      <c r="C1" s="3529"/>
      <c r="D1" s="3529"/>
      <c r="E1" s="3529"/>
      <c r="F1" s="3529"/>
      <c r="G1" s="3529"/>
      <c r="H1" s="3529"/>
      <c r="I1" s="3530"/>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北京市朝阳区广顺北大街16号院1、2、3号楼房地产</v>
      </c>
    </row>
    <row r="3" spans="1:19" ht="18" customHeight="1">
      <c r="A3" s="2014" t="s">
        <v>1765</v>
      </c>
      <c r="B3" s="2015">
        <v>43836</v>
      </c>
      <c r="C3" s="2016" t="s">
        <v>1766</v>
      </c>
      <c r="D3" s="2015">
        <f>B3</f>
        <v>43836</v>
      </c>
      <c r="E3" s="2005"/>
      <c r="F3" s="2005"/>
      <c r="G3" s="2005"/>
      <c r="H3" s="2005"/>
      <c r="I3" s="2005"/>
      <c r="J3" s="2005"/>
      <c r="K3" s="2006"/>
      <c r="L3" s="2007"/>
      <c r="M3" s="2007"/>
      <c r="N3" s="2008"/>
      <c r="O3" s="2009"/>
      <c r="P3" s="2008"/>
      <c r="Q3" s="2008"/>
      <c r="R3" s="2008"/>
      <c r="S3" s="2010"/>
    </row>
    <row r="4" spans="1:19" ht="18" customHeight="1" thickBot="1">
      <c r="A4" s="2017" t="s">
        <v>1767</v>
      </c>
      <c r="B4" s="2018" t="s">
        <v>3395</v>
      </c>
      <c r="C4" s="1027">
        <f ca="1">SUMIF(注册房地产估价师,B4,估价师及机构信息!B3:B24)</f>
        <v>1120100036</v>
      </c>
      <c r="D4" s="2018" t="s">
        <v>3396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3397</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531"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532"/>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3398</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46766</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23.21</v>
      </c>
      <c r="F15" s="1039" t="str">
        <f>IF(B12="出让",IF(F13="","",ROUNDDOWN(MIN((F13-$D$3)/365,F14),2)),F14)</f>
        <v/>
      </c>
      <c r="G15" s="1039">
        <f>IF(B12="出让",IF(G13="","",ROUNDDOWN(MIN((G13-$D$3)/365,G14),2)),G14)</f>
        <v>33.21</v>
      </c>
      <c r="H15" s="1039">
        <f>IF(B12="出让",IF(H13="","",ROUNDDOWN(MIN((H13-$D$3)/365,H14),2)),H14)</f>
        <v>8.02</v>
      </c>
      <c r="I15" s="1039" t="str">
        <f>IF(B12="出让",IF(I13="","",ROUNDDOWN(MIN((I13-$D$3)/365,I14),2)),I14)</f>
        <v/>
      </c>
      <c r="J15" s="2021"/>
      <c r="K15" s="2057"/>
      <c r="L15" s="2058"/>
      <c r="M15" s="2058"/>
      <c r="N15" s="2059"/>
      <c r="O15" s="2058"/>
      <c r="P15" s="2059"/>
      <c r="Q15" s="2008"/>
      <c r="R15" s="2008"/>
    </row>
    <row r="16" spans="1:19" ht="30.75" customHeight="1">
      <c r="A16" s="2041" t="s">
        <v>1788</v>
      </c>
      <c r="B16" s="3538" t="s">
        <v>3036</v>
      </c>
      <c r="C16" s="3539"/>
      <c r="D16" s="3540"/>
      <c r="E16" s="2060" t="s">
        <v>1789</v>
      </c>
      <c r="F16" s="3541" t="s">
        <v>3037</v>
      </c>
      <c r="G16" s="3542"/>
      <c r="H16" s="3542"/>
      <c r="I16" s="3543"/>
      <c r="J16" s="2008"/>
      <c r="K16" s="2057"/>
      <c r="L16" s="2058"/>
      <c r="M16" s="2058"/>
      <c r="N16" s="2059"/>
      <c r="O16" s="2058"/>
      <c r="P16" s="2059"/>
      <c r="Q16" s="2008"/>
      <c r="R16" s="2008"/>
    </row>
    <row r="17" spans="1:22" ht="18" customHeight="1">
      <c r="A17" s="2061" t="s">
        <v>1790</v>
      </c>
      <c r="B17" s="2014" t="s">
        <v>1791</v>
      </c>
      <c r="C17" s="1044">
        <f>'数据-汇总表'!E3</f>
        <v>42164.249999999993</v>
      </c>
      <c r="D17" s="2062" t="s">
        <v>1792</v>
      </c>
      <c r="E17" s="3544" t="s">
        <v>1793</v>
      </c>
      <c r="F17" s="3545"/>
      <c r="G17" s="3545"/>
      <c r="H17" s="3545"/>
      <c r="I17" s="3546"/>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9680.74</v>
      </c>
      <c r="D18" s="2065" t="s">
        <v>1792</v>
      </c>
      <c r="E18" s="3547" t="s">
        <v>1796</v>
      </c>
      <c r="F18" s="3548"/>
      <c r="G18" s="3548"/>
      <c r="H18" s="3548"/>
      <c r="I18" s="3549"/>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534" t="s">
        <v>1801</v>
      </c>
      <c r="C20" s="3535"/>
      <c r="D20" s="3536" t="s">
        <v>1802</v>
      </c>
      <c r="E20" s="3537"/>
      <c r="F20" s="2072" t="s">
        <v>1803</v>
      </c>
      <c r="G20" s="2021"/>
      <c r="H20" s="2021"/>
      <c r="I20" s="2021"/>
      <c r="J20" s="2021"/>
      <c r="K20" s="3533"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53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53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550"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550"/>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550"/>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551"/>
      <c r="B30" s="2014" t="s">
        <v>1820</v>
      </c>
      <c r="C30" s="3552"/>
      <c r="D30" s="3553"/>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554"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555"/>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555"/>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3399</v>
      </c>
      <c r="C34" s="2108" t="s">
        <v>3400</v>
      </c>
      <c r="D34" s="2108" t="s">
        <v>3401</v>
      </c>
      <c r="E34" s="2108" t="s">
        <v>3402</v>
      </c>
      <c r="F34" s="2108" t="s">
        <v>3403</v>
      </c>
      <c r="G34" s="2108" t="s">
        <v>3404</v>
      </c>
      <c r="H34" s="2108"/>
      <c r="I34" s="2021"/>
      <c r="J34" s="2021"/>
      <c r="K34" s="1775">
        <f>COUNTIF(B34:H34,"——")</f>
        <v>0</v>
      </c>
      <c r="L34" s="2049" t="s">
        <v>1823</v>
      </c>
      <c r="M34" s="2049" t="s">
        <v>1824</v>
      </c>
      <c r="N34" s="2049" t="s">
        <v>1825</v>
      </c>
      <c r="O34" s="2049" t="s">
        <v>1826</v>
      </c>
      <c r="P34" s="2049" t="s">
        <v>1827</v>
      </c>
      <c r="Q34" s="2049" t="s">
        <v>1828</v>
      </c>
      <c r="R34" s="2049" t="s">
        <v>1829</v>
      </c>
      <c r="S34" s="3521" t="s">
        <v>1830</v>
      </c>
      <c r="T34" s="2109" t="str">
        <f>NUMBERSTRING(7-K34,1)&amp;"通"</f>
        <v>七通</v>
      </c>
      <c r="U34" s="2008"/>
      <c r="V34" s="2008"/>
    </row>
    <row r="35" spans="1:22" ht="18" customHeight="1">
      <c r="A35" s="2110"/>
      <c r="B35" s="3556" t="s">
        <v>1831</v>
      </c>
      <c r="C35" s="3556"/>
      <c r="D35" s="3556"/>
      <c r="E35" s="3556"/>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521"/>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E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D4 B4 F4 H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B12" xr:uid="{00000000-0002-0000-0B00-000014000000}">
      <formula1>"出让,划拨"</formula1>
    </dataValidation>
    <dataValidation type="list" allowBlank="1" showInputMessage="1" showErrorMessage="1" sqref="D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FF00"/>
  </sheetPr>
  <dimension ref="A1:W127"/>
  <sheetViews>
    <sheetView workbookViewId="0">
      <selection activeCell="E17" sqref="E17"/>
    </sheetView>
  </sheetViews>
  <sheetFormatPr defaultColWidth="9" defaultRowHeight="14.4"/>
  <cols>
    <col min="1" max="1" width="13.44140625" style="2003" customWidth="1"/>
    <col min="2" max="2" width="23.21875" style="1954" customWidth="1"/>
    <col min="3" max="3" width="13" style="1998" customWidth="1"/>
    <col min="4" max="4" width="5.77734375" style="1995" customWidth="1"/>
    <col min="5" max="5" width="7.109375" style="1995" customWidth="1"/>
    <col min="6" max="6" width="10.6640625" style="1995" customWidth="1"/>
    <col min="7" max="7" width="7.44140625" style="1995" customWidth="1"/>
    <col min="8" max="8" width="9" style="1998" customWidth="1"/>
    <col min="9" max="9" width="11.6640625" style="1998" customWidth="1"/>
    <col min="10" max="10" width="9" style="1998" customWidth="1"/>
    <col min="11" max="19" width="9" style="1995" customWidth="1"/>
    <col min="20" max="23" width="9" style="1998" customWidth="1"/>
    <col min="24" max="24" width="21.109375" style="1954" customWidth="1"/>
    <col min="25" max="16384" width="9" style="1954"/>
  </cols>
  <sheetData>
    <row r="1" spans="1:23" s="1992" customFormat="1" ht="28.8">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3688</v>
      </c>
      <c r="C15" s="1994"/>
    </row>
    <row r="16" spans="1:23">
      <c r="A16" s="1993" t="s">
        <v>1752</v>
      </c>
      <c r="B16" s="1993" t="s">
        <v>756</v>
      </c>
      <c r="C16" s="1994"/>
    </row>
    <row r="17" spans="1:3">
      <c r="A17" s="1993" t="s">
        <v>1753</v>
      </c>
      <c r="B17" s="1996" t="s">
        <v>3716</v>
      </c>
      <c r="C17" s="1994"/>
    </row>
    <row r="18" spans="1:3">
      <c r="A18" s="1993" t="s">
        <v>1754</v>
      </c>
      <c r="B18" s="1993" t="s">
        <v>3718</v>
      </c>
      <c r="C18" s="1994"/>
    </row>
    <row r="19" spans="1:3">
      <c r="A19" s="1993" t="s">
        <v>1755</v>
      </c>
      <c r="B19" s="1993" t="s">
        <v>3647</v>
      </c>
      <c r="C19" s="1994"/>
    </row>
    <row r="20" spans="1:3">
      <c r="A20" s="1993" t="s">
        <v>1756</v>
      </c>
      <c r="B20" s="1993" t="s">
        <v>3629</v>
      </c>
      <c r="C20" s="1994"/>
    </row>
    <row r="21" spans="1:3">
      <c r="A21" s="1993" t="s">
        <v>1757</v>
      </c>
      <c r="B21" s="1993" t="s">
        <v>3630</v>
      </c>
      <c r="C21" s="1994"/>
    </row>
    <row r="22" spans="1:3">
      <c r="A22" s="1993" t="s">
        <v>1758</v>
      </c>
      <c r="B22" s="1993" t="s">
        <v>3649</v>
      </c>
      <c r="C22" s="1994"/>
    </row>
    <row r="23" spans="1:3">
      <c r="A23" s="1993" t="s">
        <v>1759</v>
      </c>
      <c r="B23" s="1993" t="s">
        <v>3681</v>
      </c>
      <c r="C23" s="1994"/>
    </row>
    <row r="24" spans="1:3">
      <c r="A24" s="1993" t="s">
        <v>1760</v>
      </c>
      <c r="B24" s="1996" t="s">
        <v>3682</v>
      </c>
      <c r="C24" s="1994"/>
    </row>
    <row r="25" spans="1:3">
      <c r="A25" s="1993" t="s">
        <v>1761</v>
      </c>
      <c r="B25" s="1993" t="s">
        <v>3684</v>
      </c>
      <c r="C25" s="1994"/>
    </row>
    <row r="26" spans="1:3">
      <c r="A26" s="1993" t="s">
        <v>1762</v>
      </c>
      <c r="B26" s="1993" t="s">
        <v>3686</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57"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57"/>
      <c r="B54" s="2001" t="s">
        <v>861</v>
      </c>
      <c r="C54" s="1998" t="s">
        <v>1270</v>
      </c>
    </row>
    <row r="55" spans="1:4">
      <c r="A55" s="3557"/>
      <c r="B55" s="2001" t="s">
        <v>862</v>
      </c>
      <c r="C55" s="1998" t="s">
        <v>1271</v>
      </c>
    </row>
    <row r="56" spans="1:4">
      <c r="A56" s="3557"/>
      <c r="B56" s="2001" t="s">
        <v>863</v>
      </c>
      <c r="C56" s="1998" t="s">
        <v>1275</v>
      </c>
    </row>
    <row r="57" spans="1:4">
      <c r="A57" s="3557"/>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6" sqref="O16"/>
    </sheetView>
  </sheetViews>
  <sheetFormatPr defaultColWidth="8.88671875" defaultRowHeight="13.8"/>
  <cols>
    <col min="1" max="1" width="10.6640625" style="2134" customWidth="1"/>
    <col min="2" max="2" width="11" style="2134" customWidth="1"/>
    <col min="3" max="3" width="10.33203125" style="2134" customWidth="1"/>
    <col min="4" max="4" width="9.109375" style="2134" customWidth="1"/>
    <col min="5" max="6" width="10" style="2197" customWidth="1"/>
    <col min="7" max="8" width="10" style="2134" customWidth="1"/>
    <col min="9" max="9" width="10.6640625" style="2134" customWidth="1"/>
    <col min="10" max="10" width="9.44140625" style="2134" customWidth="1"/>
    <col min="11" max="11" width="11" style="2134" customWidth="1"/>
    <col min="12" max="12" width="9.44140625" style="2134" customWidth="1"/>
    <col min="13" max="13" width="13.109375" style="2134" customWidth="1"/>
    <col min="14" max="14" width="9.44140625" style="2134" customWidth="1"/>
    <col min="15" max="15" width="9.88671875" style="2134" customWidth="1"/>
    <col min="16" max="16" width="9.77734375" style="2134" customWidth="1"/>
    <col min="17" max="17" width="9.33203125" style="2134" customWidth="1"/>
    <col min="18" max="18" width="9.21875" style="2134" customWidth="1"/>
    <col min="19" max="19" width="10.88671875" style="2134" customWidth="1"/>
    <col min="20" max="21" width="10.77734375" style="2134" customWidth="1"/>
    <col min="22" max="22" width="10.88671875" style="2134" customWidth="1"/>
    <col min="23" max="27" width="10.77734375" style="2134" customWidth="1"/>
    <col min="28" max="28" width="10.88671875" style="2134" customWidth="1"/>
    <col min="29" max="29" width="11" style="2134" bestFit="1" customWidth="1"/>
    <col min="30" max="30" width="10" style="2134" bestFit="1" customWidth="1"/>
    <col min="31" max="31" width="9.77734375" style="2134" customWidth="1"/>
    <col min="32" max="46" width="9.44140625" style="2134" customWidth="1"/>
    <col min="47" max="47" width="18.109375" style="2134" customWidth="1"/>
    <col min="48" max="50" width="9.77734375" style="2134" customWidth="1"/>
    <col min="51" max="55" width="10.44140625" style="2134" bestFit="1" customWidth="1"/>
    <col min="56" max="56" width="9.44140625" style="2134" bestFit="1" customWidth="1"/>
    <col min="57" max="63" width="9.109375" style="2134" bestFit="1" customWidth="1"/>
    <col min="64" max="64" width="9.44140625" style="2134" bestFit="1" customWidth="1"/>
    <col min="65" max="65" width="9.109375" style="2134" bestFit="1" customWidth="1"/>
    <col min="66" max="66" width="9.44140625" style="2134" bestFit="1" customWidth="1"/>
    <col min="67" max="69" width="9.109375" style="2134" bestFit="1" customWidth="1"/>
    <col min="70" max="70" width="9.44140625" style="2134" bestFit="1" customWidth="1"/>
    <col min="71" max="71" width="9" style="2134" customWidth="1"/>
    <col min="72" max="72" width="9.109375" style="2134" bestFit="1" customWidth="1"/>
    <col min="73" max="16384" width="8.88671875" style="2134"/>
  </cols>
  <sheetData>
    <row r="1" spans="1:72" ht="21">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3.2">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3.2">
      <c r="A5" s="15" t="s">
        <v>1867</v>
      </c>
      <c r="B5" s="1783"/>
      <c r="C5" s="1783"/>
      <c r="D5" s="1786"/>
      <c r="E5" s="16" t="s">
        <v>1</v>
      </c>
      <c r="F5" s="16">
        <f>SUM(F13:F587)</f>
        <v>0</v>
      </c>
      <c r="G5" s="16">
        <f>SUM(G13:G587)</f>
        <v>89988.239999999991</v>
      </c>
      <c r="H5" s="16">
        <f t="shared" ref="H5:AT5" si="0">SUM(H13:H656)</f>
        <v>88048.079999999987</v>
      </c>
      <c r="I5" s="16">
        <f t="shared" si="0"/>
        <v>42164.249999999993</v>
      </c>
      <c r="J5" s="16">
        <f t="shared" si="0"/>
        <v>0</v>
      </c>
      <c r="K5" s="16">
        <f t="shared" si="0"/>
        <v>16157.019999999999</v>
      </c>
      <c r="L5" s="16">
        <f t="shared" si="0"/>
        <v>0</v>
      </c>
      <c r="M5" s="16">
        <f t="shared" si="0"/>
        <v>13156.989999999996</v>
      </c>
      <c r="N5" s="16">
        <f t="shared" si="0"/>
        <v>0</v>
      </c>
      <c r="O5" s="16">
        <f t="shared" si="0"/>
        <v>16569.820000000003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1940.16</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42164.249999999993</v>
      </c>
      <c r="BA5" s="18">
        <f t="shared" si="1"/>
        <v>42164.249999999993</v>
      </c>
      <c r="BB5" s="18">
        <f t="shared" si="1"/>
        <v>42164.249999999993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2" customFormat="1" ht="13.2">
      <c r="A6" s="15" t="s">
        <v>1868</v>
      </c>
      <c r="B6" s="2149"/>
      <c r="C6" s="2149"/>
      <c r="D6" s="2150"/>
      <c r="E6" s="16">
        <f>H6+AC6+AT6</f>
        <v>20660.93</v>
      </c>
      <c r="F6" s="16" t="s">
        <v>1</v>
      </c>
      <c r="G6" s="16" t="s">
        <v>2</v>
      </c>
      <c r="H6" s="20">
        <f>SUMIF(I$12:AB$12,"总值",I6:AB6)</f>
        <v>20215.48</v>
      </c>
      <c r="I6" s="16">
        <f t="shared" ref="I6:AB6" si="2">ROUND($A$3*I5/$B$3,2)</f>
        <v>9680.74</v>
      </c>
      <c r="J6" s="16">
        <f t="shared" si="2"/>
        <v>0</v>
      </c>
      <c r="K6" s="16">
        <f t="shared" si="2"/>
        <v>3709.59</v>
      </c>
      <c r="L6" s="16">
        <f t="shared" si="2"/>
        <v>0</v>
      </c>
      <c r="M6" s="16">
        <f t="shared" si="2"/>
        <v>3020.79</v>
      </c>
      <c r="N6" s="16">
        <f t="shared" si="2"/>
        <v>0</v>
      </c>
      <c r="O6" s="16">
        <f t="shared" si="2"/>
        <v>3804.36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445.45</v>
      </c>
      <c r="AM6" s="16">
        <f t="shared" si="3"/>
        <v>0</v>
      </c>
      <c r="AN6" s="16">
        <f t="shared" si="3"/>
        <v>0</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9680.74</v>
      </c>
      <c r="AZ6" s="16" t="s">
        <v>3</v>
      </c>
      <c r="BA6" s="16">
        <f>ROUND($AY$6*BA5/$AZ$5,2)</f>
        <v>9680.74</v>
      </c>
      <c r="BB6" s="16">
        <f>ROUND($AY$6*BB5/$AZ$5,2)</f>
        <v>9680.74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2" customFormat="1" ht="25.2">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3.2">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3.2">
      <c r="A10" s="2157"/>
      <c r="B10" s="2157"/>
      <c r="C10" s="2157"/>
      <c r="D10" s="2157"/>
      <c r="E10" s="2157"/>
      <c r="F10" s="2157"/>
      <c r="G10" s="1274"/>
      <c r="H10" s="28"/>
      <c r="I10" s="2950" t="s">
        <v>1366</v>
      </c>
      <c r="J10" s="971"/>
      <c r="K10" s="2952" t="s">
        <v>1366</v>
      </c>
      <c r="L10" s="971"/>
      <c r="M10" s="2952" t="s">
        <v>3419</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3.2">
      <c r="A11" s="2157"/>
      <c r="B11" s="2157"/>
      <c r="C11" s="2157"/>
      <c r="D11" s="2157"/>
      <c r="E11" s="2157"/>
      <c r="F11" s="2157"/>
      <c r="G11" s="1274"/>
      <c r="H11" s="2174"/>
      <c r="I11" s="2951" t="s">
        <v>3039</v>
      </c>
      <c r="J11" s="2178"/>
      <c r="K11" s="2951" t="s">
        <v>3040</v>
      </c>
      <c r="L11" s="2178"/>
      <c r="M11" s="2951" t="s">
        <v>3419</v>
      </c>
      <c r="N11" s="2178"/>
      <c r="O11" s="2177" t="s">
        <v>3634</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3.2">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3.2">
      <c r="A13" s="1254"/>
      <c r="B13" s="1254"/>
      <c r="C13" s="3006"/>
      <c r="D13" s="2188" t="s">
        <v>3095</v>
      </c>
      <c r="E13" s="16">
        <f>IF($C$3="是",ROUND($A$3*G13/$B$3,2),ROUND($A$3*(G13-AT13)/$B$3,2))</f>
        <v>0</v>
      </c>
      <c r="F13" s="32"/>
      <c r="G13" s="33">
        <f>H13+AC13+AT13</f>
        <v>0</v>
      </c>
      <c r="H13" s="20">
        <f>SUMIF(I$12:AB$12,"总值",I13:AB13)</f>
        <v>0</v>
      </c>
      <c r="I13" s="2953"/>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f t="shared" si="6"/>
        <v>0</v>
      </c>
      <c r="AY13" s="178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3.2">
      <c r="A14" s="1254"/>
      <c r="B14" s="1254"/>
      <c r="C14" s="3006" t="s">
        <v>3420</v>
      </c>
      <c r="D14" s="2188" t="s">
        <v>3095</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3.2">
      <c r="A15" s="1254"/>
      <c r="B15" s="1254"/>
      <c r="C15" s="3006" t="s">
        <v>3421</v>
      </c>
      <c r="D15" s="2188" t="s">
        <v>3095</v>
      </c>
      <c r="E15" s="16">
        <f>IF($C$3="是",ROUND($A$3*G15/$B$3,2),ROUND($A$3*(G15-AT15)/$B$3,2))</f>
        <v>3020.79</v>
      </c>
      <c r="F15" s="32"/>
      <c r="G15" s="33">
        <f>H15+AC15+AT15</f>
        <v>13156.989999999996</v>
      </c>
      <c r="H15" s="20">
        <f>SUMIF(I$12:AB$12,"总值",I15:AB15)</f>
        <v>13156.989999999996</v>
      </c>
      <c r="I15" s="2953"/>
      <c r="J15" s="2953"/>
      <c r="K15" s="2953"/>
      <c r="L15" s="2953"/>
      <c r="M15" s="2953">
        <f>按楼清单!D161+按楼清单!D162</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3.2">
      <c r="A16" s="1254"/>
      <c r="B16" s="1254"/>
      <c r="C16" s="3006" t="s">
        <v>3631</v>
      </c>
      <c r="D16" s="2188" t="s">
        <v>3095</v>
      </c>
      <c r="E16" s="16">
        <f>IF($C$3="是",ROUND($A$3*G16/$B$3,2),ROUND($A$3*(G16-AT16)/$B$3,2))</f>
        <v>3804.36</v>
      </c>
      <c r="F16" s="32"/>
      <c r="G16" s="33">
        <f>H16+AC16+AT16</f>
        <v>16569.820000000003</v>
      </c>
      <c r="H16" s="20">
        <f>SUMIF(I$12:AB$12,"总值",I16:AB16)</f>
        <v>16569.820000000003</v>
      </c>
      <c r="I16" s="2953"/>
      <c r="J16" s="2953"/>
      <c r="K16" s="2953"/>
      <c r="L16" s="2953"/>
      <c r="M16" s="2953"/>
      <c r="N16" s="2953"/>
      <c r="O16" s="2189">
        <f>按楼清单!D160</f>
        <v>16569.820000000003</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3.2">
      <c r="A17" s="1254"/>
      <c r="B17" s="1254"/>
      <c r="C17" s="3006" t="s">
        <v>3633</v>
      </c>
      <c r="D17" s="2188" t="s">
        <v>3095</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f>面积表!B160</f>
        <v>1940.16</v>
      </c>
      <c r="AM17" s="2190"/>
      <c r="AN17" s="2190"/>
      <c r="AO17" s="2190"/>
      <c r="AP17" s="2190"/>
      <c r="AQ17" s="2190"/>
      <c r="AR17" s="2190"/>
      <c r="AS17" s="2190"/>
      <c r="AT17" s="2191"/>
      <c r="AU17" s="2192"/>
      <c r="AV17" s="11">
        <f t="shared" si="6"/>
        <v>0</v>
      </c>
      <c r="AW17" s="11">
        <f t="shared" si="6"/>
        <v>0</v>
      </c>
      <c r="AX17" s="11" t="str">
        <f t="shared" si="6"/>
        <v>自行车库</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8" t="s">
        <v>3095</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7.6">
      <c r="A19" s="9"/>
      <c r="B19" s="34"/>
      <c r="C19" s="34" t="str">
        <f>按楼清单!C156</f>
        <v>商业1号楼</v>
      </c>
      <c r="D19" s="2188" t="s">
        <v>3042</v>
      </c>
      <c r="E19" s="35">
        <f t="shared" si="7"/>
        <v>89.31</v>
      </c>
      <c r="F19" s="36"/>
      <c r="G19" s="37">
        <f t="shared" si="8"/>
        <v>389</v>
      </c>
      <c r="H19" s="38">
        <f t="shared" si="9"/>
        <v>389</v>
      </c>
      <c r="I19" s="2953">
        <f>按楼清单!D156</f>
        <v>389</v>
      </c>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t="str">
        <f t="shared" si="13"/>
        <v>商业1号楼</v>
      </c>
      <c r="AY19" s="42">
        <f t="shared" si="14"/>
        <v>89.31</v>
      </c>
      <c r="AZ19" s="35">
        <f t="shared" si="15"/>
        <v>389</v>
      </c>
      <c r="BA19" s="35">
        <f t="shared" si="16"/>
        <v>389</v>
      </c>
      <c r="BB19" s="35">
        <f t="shared" si="17"/>
        <v>389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7.6">
      <c r="A20" s="9"/>
      <c r="B20" s="34"/>
      <c r="C20" s="34" t="str">
        <f>按楼清单!C157</f>
        <v>商业2号楼</v>
      </c>
      <c r="D20" s="2188" t="s">
        <v>3042</v>
      </c>
      <c r="E20" s="35">
        <f t="shared" si="7"/>
        <v>7.34</v>
      </c>
      <c r="F20" s="36"/>
      <c r="G20" s="37">
        <f t="shared" si="8"/>
        <v>31.96</v>
      </c>
      <c r="H20" s="38">
        <f t="shared" si="9"/>
        <v>31.96</v>
      </c>
      <c r="I20" s="2953">
        <f>按楼清单!D157</f>
        <v>31.96</v>
      </c>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t="str">
        <f t="shared" si="13"/>
        <v>商业2号楼</v>
      </c>
      <c r="AY20" s="42">
        <f t="shared" si="14"/>
        <v>7.34</v>
      </c>
      <c r="AZ20" s="35">
        <f t="shared" si="15"/>
        <v>31.96</v>
      </c>
      <c r="BA20" s="35">
        <f t="shared" si="16"/>
        <v>31.96</v>
      </c>
      <c r="BB20" s="35">
        <f t="shared" si="17"/>
        <v>31.96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7.6">
      <c r="A21" s="9"/>
      <c r="B21" s="34"/>
      <c r="C21" s="34" t="str">
        <f>按楼清单!C158</f>
        <v>商业3号楼</v>
      </c>
      <c r="D21" s="2188" t="s">
        <v>3042</v>
      </c>
      <c r="E21" s="35">
        <f t="shared" si="7"/>
        <v>9584.09</v>
      </c>
      <c r="F21" s="36"/>
      <c r="G21" s="37">
        <f t="shared" si="8"/>
        <v>41743.289999999994</v>
      </c>
      <c r="H21" s="38">
        <f t="shared" si="9"/>
        <v>41743.289999999994</v>
      </c>
      <c r="I21" s="2953">
        <f>按楼清单!D158</f>
        <v>41743.289999999994</v>
      </c>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t="str">
        <f t="shared" si="13"/>
        <v>商业3号楼</v>
      </c>
      <c r="AY21" s="42">
        <f t="shared" si="14"/>
        <v>9584.09</v>
      </c>
      <c r="AZ21" s="35">
        <f t="shared" si="15"/>
        <v>41743.289999999994</v>
      </c>
      <c r="BA21" s="35">
        <f t="shared" si="16"/>
        <v>41743.289999999994</v>
      </c>
      <c r="BB21" s="35">
        <f t="shared" si="17"/>
        <v>41743.289999999994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3095</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3095</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3095</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3095</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3095</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3095</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3095</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3095</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3095</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3095</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3095</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3095</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3095</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3095</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3095</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3095</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3095</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3095</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3095</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3095</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3095</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3095</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3095</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3095</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3095</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3095</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3095</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3095</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3095</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3095</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3095</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3095</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3095</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3095</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3095</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3095</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3095</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D00-000000000000}">
      <formula1>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558" t="s">
        <v>0</v>
      </c>
      <c r="B1" s="3558" t="s">
        <v>4</v>
      </c>
      <c r="C1" s="3558" t="s">
        <v>5</v>
      </c>
      <c r="D1" s="3559" t="s">
        <v>53</v>
      </c>
      <c r="E1" s="3559" t="s">
        <v>54</v>
      </c>
      <c r="F1" s="3559"/>
      <c r="G1" s="3559"/>
      <c r="H1" s="3559"/>
      <c r="I1" s="3559"/>
      <c r="J1" s="3559"/>
      <c r="K1" s="3559"/>
      <c r="L1" s="3559"/>
      <c r="M1" s="3559"/>
    </row>
    <row r="2" spans="1:13" ht="27" customHeight="1">
      <c r="A2" s="3558"/>
      <c r="B2" s="3558"/>
      <c r="C2" s="3558"/>
      <c r="D2" s="3559"/>
      <c r="E2" s="3559" t="s">
        <v>37</v>
      </c>
      <c r="F2" s="3559" t="s">
        <v>38</v>
      </c>
      <c r="G2" s="3559"/>
      <c r="H2" s="3559"/>
      <c r="I2" s="3559"/>
      <c r="J2" s="3559" t="s">
        <v>39</v>
      </c>
      <c r="K2" s="3559"/>
      <c r="L2" s="3559"/>
      <c r="M2" s="3559"/>
    </row>
    <row r="3" spans="1:13" ht="46.8">
      <c r="A3" s="3558"/>
      <c r="B3" s="3558"/>
      <c r="C3" s="3558"/>
      <c r="D3" s="3559"/>
      <c r="E3" s="355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9" t="s">
        <v>55</v>
      </c>
      <c r="B9" s="3559"/>
      <c r="C9" s="35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1875" defaultRowHeight="13.8"/>
  <cols>
    <col min="1" max="1" width="12.109375" style="2201" customWidth="1"/>
    <col min="2" max="2" width="10.21875" style="2201" customWidth="1"/>
    <col min="3" max="3" width="18.44140625" style="2201" customWidth="1"/>
    <col min="4" max="4" width="11.6640625" style="2201" customWidth="1"/>
    <col min="5" max="5" width="13.33203125" style="2201" customWidth="1"/>
    <col min="6" max="8" width="11.44140625" style="2201" customWidth="1"/>
    <col min="9" max="9" width="11.109375" style="2201" customWidth="1"/>
    <col min="10" max="10" width="3.109375" style="2201" customWidth="1"/>
    <col min="11" max="16" width="10" style="2201" customWidth="1"/>
    <col min="17" max="17" width="2.6640625" style="2201" customWidth="1"/>
    <col min="18" max="18" width="9.33203125" style="2201" bestFit="1" customWidth="1"/>
    <col min="19" max="19" width="10.44140625" style="2201" bestFit="1" customWidth="1"/>
    <col min="20" max="16384" width="9.21875" style="2201"/>
  </cols>
  <sheetData>
    <row r="1" spans="1:16" ht="17.399999999999999">
      <c r="A1" s="2200" t="s">
        <v>1926</v>
      </c>
      <c r="B1" s="1373"/>
      <c r="C1" s="1373"/>
      <c r="D1" s="1373"/>
      <c r="E1" s="1373"/>
      <c r="F1" s="1373"/>
      <c r="G1" s="1373"/>
      <c r="H1" s="1373"/>
      <c r="I1" s="1373"/>
      <c r="J1" s="1373"/>
      <c r="K1" s="1373"/>
      <c r="L1" s="1373"/>
      <c r="M1" s="1373"/>
      <c r="N1" s="1373"/>
      <c r="O1" s="1373"/>
      <c r="P1" s="1373"/>
    </row>
    <row r="2" spans="1:16" ht="14.4">
      <c r="A2" s="3569" t="s">
        <v>1927</v>
      </c>
      <c r="B2" s="3569"/>
      <c r="C2" s="3569"/>
      <c r="D2" s="957" t="s">
        <v>1903</v>
      </c>
      <c r="E2" s="2202" t="s">
        <v>1904</v>
      </c>
      <c r="F2" s="1373"/>
      <c r="G2" s="2203"/>
      <c r="H2" s="2204"/>
      <c r="I2" s="2205" t="s">
        <v>1928</v>
      </c>
      <c r="J2" s="1373"/>
      <c r="K2" s="1373"/>
      <c r="L2" s="1373"/>
      <c r="M2" s="1373"/>
      <c r="N2" s="1408"/>
      <c r="O2" s="1373"/>
      <c r="P2" s="1373"/>
    </row>
    <row r="3" spans="1:16" ht="15" thickBot="1">
      <c r="A3" s="3570" t="s">
        <v>1901</v>
      </c>
      <c r="B3" s="3570"/>
      <c r="C3" s="3570"/>
      <c r="D3" s="46">
        <f>'数据-基础表'!AY6</f>
        <v>9680.74</v>
      </c>
      <c r="E3" s="46">
        <f>'数据-基础表'!AZ5</f>
        <v>42164.249999999993</v>
      </c>
      <c r="F3" s="1373"/>
      <c r="G3" s="1380"/>
      <c r="H3" s="1229" t="s">
        <v>1902</v>
      </c>
      <c r="I3" s="55">
        <f>ROUND('数据-基础表'!B3/'数据-基础表'!A3,2)</f>
        <v>4.3600000000000003</v>
      </c>
      <c r="J3" s="1373"/>
      <c r="K3" s="1373"/>
      <c r="L3" s="1373"/>
      <c r="M3" s="1373"/>
      <c r="N3" s="1408"/>
      <c r="O3" s="1373"/>
      <c r="P3" s="1373"/>
    </row>
    <row r="4" spans="1:16" ht="14.4">
      <c r="A4" s="3571"/>
      <c r="B4" s="3572"/>
      <c r="C4" s="3573"/>
      <c r="D4" s="2206" t="s">
        <v>1903</v>
      </c>
      <c r="E4" s="2207" t="s">
        <v>1904</v>
      </c>
      <c r="F4" s="1373"/>
      <c r="G4" s="2208" t="s">
        <v>1929</v>
      </c>
      <c r="H4" s="1229" t="s">
        <v>1909</v>
      </c>
      <c r="I4" s="55">
        <f>ROUND(SUMIF('数据-基础表'!I9:AS9,"地上",'数据-基础表'!I5:AS5)/'数据-基础表'!A3,2)</f>
        <v>3.72</v>
      </c>
      <c r="J4" s="1373"/>
      <c r="K4" s="1373"/>
      <c r="L4" s="1373"/>
      <c r="M4" s="1373"/>
      <c r="N4" s="1408"/>
      <c r="O4" s="1373"/>
      <c r="P4" s="1373"/>
    </row>
    <row r="5" spans="1:16" ht="14.4">
      <c r="A5" s="47" t="s">
        <v>1905</v>
      </c>
      <c r="B5" s="3574" t="s">
        <v>1906</v>
      </c>
      <c r="C5" s="3574"/>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74" t="s">
        <v>1907</v>
      </c>
      <c r="C6" s="3574"/>
      <c r="D6" s="48">
        <f>ROUND($D$3*E6/$E$3,2)</f>
        <v>9680.74</v>
      </c>
      <c r="E6" s="49">
        <f>E3-E5</f>
        <v>42164.249999999993</v>
      </c>
      <c r="F6" s="1373"/>
      <c r="G6" s="2210" t="s">
        <v>1908</v>
      </c>
      <c r="H6" s="1380" t="s">
        <v>1909</v>
      </c>
      <c r="I6" s="929">
        <f>ROUND(F31/D31,2)</f>
        <v>4.3600000000000003</v>
      </c>
      <c r="J6" s="1373"/>
      <c r="K6" s="1373"/>
      <c r="L6" s="1373"/>
      <c r="M6" s="1373"/>
      <c r="N6" s="1373"/>
      <c r="O6" s="1373"/>
      <c r="P6" s="1373"/>
    </row>
    <row r="7" spans="1:16" ht="14.4">
      <c r="A7" s="3566"/>
      <c r="B7" s="3567"/>
      <c r="C7" s="3568"/>
      <c r="D7" s="2206" t="s">
        <v>1903</v>
      </c>
      <c r="E7" s="2211" t="s">
        <v>1910</v>
      </c>
      <c r="F7" s="1373"/>
      <c r="G7" s="2203" t="s">
        <v>1911</v>
      </c>
      <c r="H7" s="64"/>
      <c r="I7" s="419">
        <f>I6</f>
        <v>4.3600000000000003</v>
      </c>
      <c r="J7" s="1373"/>
      <c r="K7" s="1373"/>
      <c r="L7" s="1373"/>
      <c r="M7" s="1373"/>
      <c r="N7" s="1373"/>
      <c r="O7" s="1373"/>
      <c r="P7" s="1373"/>
    </row>
    <row r="8" spans="1:16" ht="14.4">
      <c r="A8" s="47" t="s">
        <v>1912</v>
      </c>
      <c r="B8" s="50" t="s">
        <v>1913</v>
      </c>
      <c r="C8" s="48" t="s">
        <v>1914</v>
      </c>
      <c r="D8" s="48">
        <f t="shared" ref="D8:D15" si="0">ROUND($D$3*E8/$E$3,2)</f>
        <v>9680.74</v>
      </c>
      <c r="E8" s="51">
        <f>SUMIF('数据-基础表'!BB10:BK10,"地上",'数据-基础表'!BB5:BK5)</f>
        <v>42164.249999999993</v>
      </c>
      <c r="F8" s="1373"/>
      <c r="G8" s="2212"/>
      <c r="H8" s="2212"/>
      <c r="I8" s="1373"/>
      <c r="J8" s="1373"/>
      <c r="K8" s="1373"/>
      <c r="L8" s="1373"/>
      <c r="M8" s="1373"/>
      <c r="N8" s="1373"/>
      <c r="O8" s="1373"/>
      <c r="P8" s="1373"/>
    </row>
    <row r="9" spans="1:16" ht="14.4">
      <c r="A9" s="2213"/>
      <c r="B9" s="2214"/>
      <c r="C9" s="48" t="s">
        <v>1915</v>
      </c>
      <c r="D9" s="48">
        <f t="shared" si="0"/>
        <v>0</v>
      </c>
      <c r="E9" s="52">
        <v>0</v>
      </c>
      <c r="F9" s="1373"/>
      <c r="G9" s="2212"/>
      <c r="H9" s="2212"/>
      <c r="I9" s="1373"/>
      <c r="J9" s="1373"/>
      <c r="K9" s="1373"/>
      <c r="L9" s="1373"/>
      <c r="M9" s="1373"/>
      <c r="N9" s="1373"/>
      <c r="O9" s="1373"/>
      <c r="P9" s="1373"/>
    </row>
    <row r="10" spans="1:16" ht="14.4">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ht="14.4">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ht="14.4">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ht="14.4">
      <c r="A13" s="2213"/>
      <c r="B13" s="2214"/>
      <c r="C13" s="48" t="s">
        <v>1918</v>
      </c>
      <c r="D13" s="48">
        <f t="shared" si="0"/>
        <v>0</v>
      </c>
      <c r="E13" s="51">
        <f>SUMPRODUCT(('数据-基础表'!BB10:BK10="地下")*('数据-基础表'!BB11:BK11="车库")*('数据-基础表'!BB5:BK5))</f>
        <v>0</v>
      </c>
      <c r="F13" s="1373"/>
      <c r="G13" s="2212"/>
      <c r="H13" s="2212"/>
      <c r="I13" s="1373"/>
      <c r="J13" s="1373"/>
      <c r="K13" s="1373"/>
      <c r="L13" s="1373"/>
      <c r="M13" s="1373"/>
      <c r="N13" s="1373"/>
      <c r="O13" s="1373"/>
      <c r="P13" s="1373"/>
    </row>
    <row r="14" spans="1:16" ht="14.4">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 thickBot="1">
      <c r="A16" s="2209"/>
      <c r="B16" s="2214"/>
      <c r="C16" s="50" t="s">
        <v>1919</v>
      </c>
      <c r="D16" s="50">
        <f>SUM(D8:D15)</f>
        <v>9680.74</v>
      </c>
      <c r="E16" s="53">
        <f>SUM(E8:E15)</f>
        <v>42164.249999999993</v>
      </c>
      <c r="F16" s="1373"/>
      <c r="G16" s="2212"/>
      <c r="H16" s="2215" t="s">
        <v>1931</v>
      </c>
      <c r="I16" s="2216"/>
      <c r="J16" s="1373"/>
      <c r="K16" s="3563" t="s">
        <v>1931</v>
      </c>
      <c r="L16" s="3564"/>
      <c r="M16" s="3564"/>
      <c r="N16" s="3564"/>
      <c r="O16" s="3564"/>
      <c r="P16" s="3565"/>
    </row>
    <row r="17" spans="1:19" ht="14.4">
      <c r="A17" s="2217" t="s">
        <v>1932</v>
      </c>
      <c r="B17" s="2218" t="s">
        <v>1933</v>
      </c>
      <c r="C17" s="2219" t="s">
        <v>1934</v>
      </c>
      <c r="D17" s="2220" t="s">
        <v>1922</v>
      </c>
      <c r="E17" s="2221" t="s">
        <v>1923</v>
      </c>
      <c r="F17" s="2222"/>
      <c r="G17" s="2223"/>
      <c r="H17" s="2224" t="s">
        <v>1935</v>
      </c>
      <c r="I17" s="2225" t="s">
        <v>1920</v>
      </c>
      <c r="J17" s="1373"/>
      <c r="K17" s="3560" t="s">
        <v>1936</v>
      </c>
      <c r="L17" s="3561"/>
      <c r="M17" s="3562"/>
      <c r="N17" s="3560" t="s">
        <v>1937</v>
      </c>
      <c r="O17" s="3561"/>
      <c r="P17" s="3562"/>
      <c r="R17" s="2203" t="s">
        <v>1938</v>
      </c>
      <c r="S17" s="64"/>
    </row>
    <row r="18" spans="1:19" ht="14.4">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ht="14.4">
      <c r="A19" s="2234"/>
      <c r="B19" s="50" t="s">
        <v>1921</v>
      </c>
      <c r="C19" s="2954" t="s">
        <v>3711</v>
      </c>
      <c r="D19" s="48">
        <f>ROUND($D$3*E19/$E$3,2)</f>
        <v>6799.46</v>
      </c>
      <c r="E19" s="56">
        <f t="shared" ref="E19:E26" si="1">SUM(F19:G19)</f>
        <v>29614.890000000003</v>
      </c>
      <c r="F19" s="57">
        <v>29614.890000000003</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5"/>
      <c r="O19" s="2236"/>
      <c r="P19" s="1384">
        <f>N19+O19</f>
        <v>0</v>
      </c>
      <c r="R19" s="1229">
        <f t="shared" ref="R19:S26" si="5">D19+H19</f>
        <v>6799.46</v>
      </c>
      <c r="S19" s="1230">
        <f t="shared" si="5"/>
        <v>29614.890000000003</v>
      </c>
    </row>
    <row r="20" spans="1:19" ht="14.4">
      <c r="A20" s="2237"/>
      <c r="B20" s="50" t="s">
        <v>1949</v>
      </c>
      <c r="C20" s="2954" t="s">
        <v>3713</v>
      </c>
      <c r="D20" s="48">
        <f t="shared" ref="D20:D26" si="6">ROUND($D$3*E20/$E$3,2)</f>
        <v>2784.63</v>
      </c>
      <c r="E20" s="56">
        <f t="shared" si="1"/>
        <v>12128.399999999991</v>
      </c>
      <c r="F20" s="57">
        <f>'数据-基础表'!I21-'数据-汇总表'!F19</f>
        <v>12128.399999999991</v>
      </c>
      <c r="G20" s="58"/>
      <c r="H20" s="719">
        <f t="shared" ref="H20:H26" si="7">ROUND($D$3*I20/$E$3,2)</f>
        <v>0</v>
      </c>
      <c r="I20" s="51">
        <f t="shared" si="2"/>
        <v>0</v>
      </c>
      <c r="J20" s="1373"/>
      <c r="K20" s="1372">
        <f t="shared" si="3"/>
        <v>0</v>
      </c>
      <c r="L20" s="1229">
        <f t="shared" si="4"/>
        <v>0</v>
      </c>
      <c r="M20" s="1384">
        <f t="shared" ref="M20:M26" si="8">K20+L20</f>
        <v>0</v>
      </c>
      <c r="N20" s="2235"/>
      <c r="O20" s="2236"/>
      <c r="P20" s="1384">
        <f t="shared" ref="P20:P26" si="9">N20+O20</f>
        <v>0</v>
      </c>
      <c r="R20" s="1229">
        <f t="shared" si="5"/>
        <v>2784.63</v>
      </c>
      <c r="S20" s="1230">
        <f t="shared" si="5"/>
        <v>12128.399999999991</v>
      </c>
    </row>
    <row r="21" spans="1:19" ht="14.4">
      <c r="A21" s="2237"/>
      <c r="B21" s="50" t="s">
        <v>1949</v>
      </c>
      <c r="C21" s="2954" t="s">
        <v>3714</v>
      </c>
      <c r="D21" s="48">
        <f t="shared" si="6"/>
        <v>89.31</v>
      </c>
      <c r="E21" s="56">
        <f t="shared" si="1"/>
        <v>389</v>
      </c>
      <c r="F21" s="57">
        <f>'数据-基础表'!I19</f>
        <v>389</v>
      </c>
      <c r="G21" s="58"/>
      <c r="H21" s="719">
        <f t="shared" si="7"/>
        <v>0</v>
      </c>
      <c r="I21" s="51">
        <f t="shared" si="2"/>
        <v>0</v>
      </c>
      <c r="J21" s="1373"/>
      <c r="K21" s="1372">
        <f t="shared" si="3"/>
        <v>0</v>
      </c>
      <c r="L21" s="1229">
        <f t="shared" si="4"/>
        <v>0</v>
      </c>
      <c r="M21" s="1384">
        <f t="shared" si="8"/>
        <v>0</v>
      </c>
      <c r="N21" s="2235"/>
      <c r="O21" s="2236"/>
      <c r="P21" s="1384">
        <f t="shared" si="9"/>
        <v>0</v>
      </c>
      <c r="R21" s="1229">
        <f t="shared" si="5"/>
        <v>89.31</v>
      </c>
      <c r="S21" s="1230">
        <f t="shared" si="5"/>
        <v>389</v>
      </c>
    </row>
    <row r="22" spans="1:19" ht="14.4">
      <c r="A22" s="2237"/>
      <c r="B22" s="50" t="s">
        <v>1949</v>
      </c>
      <c r="C22" s="2954" t="s">
        <v>3715</v>
      </c>
      <c r="D22" s="48">
        <f t="shared" si="6"/>
        <v>7.34</v>
      </c>
      <c r="E22" s="56">
        <f t="shared" si="1"/>
        <v>31.96</v>
      </c>
      <c r="F22" s="57">
        <f>'数据-基础表'!I20</f>
        <v>31.96</v>
      </c>
      <c r="G22" s="62"/>
      <c r="H22" s="719">
        <f t="shared" si="7"/>
        <v>0</v>
      </c>
      <c r="I22" s="51">
        <f t="shared" si="2"/>
        <v>0</v>
      </c>
      <c r="J22" s="1373"/>
      <c r="K22" s="1372">
        <f t="shared" si="3"/>
        <v>0</v>
      </c>
      <c r="L22" s="1229">
        <f t="shared" si="4"/>
        <v>0</v>
      </c>
      <c r="M22" s="1384">
        <f t="shared" si="8"/>
        <v>0</v>
      </c>
      <c r="N22" s="2235"/>
      <c r="O22" s="2236"/>
      <c r="P22" s="1384">
        <f t="shared" si="9"/>
        <v>0</v>
      </c>
      <c r="R22" s="1229">
        <f t="shared" si="5"/>
        <v>7.34</v>
      </c>
      <c r="S22" s="1230">
        <f t="shared" si="5"/>
        <v>31.96</v>
      </c>
    </row>
    <row r="23" spans="1:19" ht="14.4">
      <c r="A23" s="2237"/>
      <c r="B23" s="50" t="s">
        <v>1949</v>
      </c>
      <c r="C23" s="2954"/>
      <c r="D23" s="48">
        <f>ROUND($D$3*E23/$E$3,2)</f>
        <v>0</v>
      </c>
      <c r="E23" s="56">
        <f>SUM(F23:G23)</f>
        <v>0</v>
      </c>
      <c r="F23" s="57"/>
      <c r="G23" s="62"/>
      <c r="H23" s="719">
        <f>ROUND($D$3*I23/$E$3,2)</f>
        <v>0</v>
      </c>
      <c r="I23" s="51">
        <f t="shared" si="2"/>
        <v>0</v>
      </c>
      <c r="J23" s="1373"/>
      <c r="K23" s="1372">
        <f t="shared" si="3"/>
        <v>0</v>
      </c>
      <c r="L23" s="1229">
        <f t="shared" si="4"/>
        <v>0</v>
      </c>
      <c r="M23" s="1384">
        <f t="shared" si="8"/>
        <v>0</v>
      </c>
      <c r="N23" s="2235"/>
      <c r="O23" s="2236"/>
      <c r="P23" s="1384">
        <f t="shared" si="9"/>
        <v>0</v>
      </c>
      <c r="R23" s="1229">
        <f t="shared" si="5"/>
        <v>0</v>
      </c>
      <c r="S23" s="1230">
        <f t="shared" si="5"/>
        <v>0</v>
      </c>
    </row>
    <row r="24" spans="1:19" ht="14.4">
      <c r="A24" s="2237"/>
      <c r="B24" s="50" t="s">
        <v>1949</v>
      </c>
      <c r="C24" s="2954"/>
      <c r="D24" s="48">
        <f>ROUND($D$3*E24/$E$3,2)</f>
        <v>0</v>
      </c>
      <c r="E24" s="56">
        <f>SUM(F24:G24)</f>
        <v>0</v>
      </c>
      <c r="F24" s="61"/>
      <c r="G24" s="62"/>
      <c r="H24" s="719">
        <f>ROUND($D$3*I24/$E$3,2)</f>
        <v>0</v>
      </c>
      <c r="I24" s="51">
        <f t="shared" si="2"/>
        <v>0</v>
      </c>
      <c r="J24" s="1373"/>
      <c r="K24" s="1372">
        <f t="shared" si="3"/>
        <v>0</v>
      </c>
      <c r="L24" s="1229">
        <f t="shared" si="4"/>
        <v>0</v>
      </c>
      <c r="M24" s="1384">
        <f t="shared" si="8"/>
        <v>0</v>
      </c>
      <c r="N24" s="2235"/>
      <c r="O24" s="2236"/>
      <c r="P24" s="1384">
        <f t="shared" si="9"/>
        <v>0</v>
      </c>
      <c r="R24" s="1229">
        <f t="shared" si="5"/>
        <v>0</v>
      </c>
      <c r="S24" s="1230">
        <f t="shared" si="5"/>
        <v>0</v>
      </c>
    </row>
    <row r="25" spans="1:19" ht="14.4">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ht="14.4">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 thickBot="1">
      <c r="A27" s="2237"/>
      <c r="B27" s="48"/>
      <c r="C27" s="2240" t="s">
        <v>1950</v>
      </c>
      <c r="D27" s="1374">
        <f>SUM(D19:D26)</f>
        <v>9680.74</v>
      </c>
      <c r="E27" s="1375">
        <f>IF(SUM(E19:E26)='数据-基础表'!BA5,SUM(E19:E26),IF(F27="地上面积有误","面积有误","地下面积有误"))</f>
        <v>42164.249999999993</v>
      </c>
      <c r="F27" s="1374">
        <f>IF(SUM(F19:F26)=E8,SUM(F19:F26),"地上面积有误")</f>
        <v>42164.249999999993</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9680.74</v>
      </c>
      <c r="S27" s="1229">
        <f>IF(SUM(S19:S26)=$E$3,SUM(S19:S26),SUM(S19:S26)&amp;"误差"&amp;ROUND(SUM(S19:S26)-E3,2))</f>
        <v>42164.249999999993</v>
      </c>
    </row>
    <row r="28" spans="1:19" ht="14.4">
      <c r="A28" s="2237"/>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ht="14.4">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4.4">
      <c r="A30" s="2237"/>
      <c r="B30" s="50"/>
      <c r="C30" s="2242" t="s">
        <v>1950</v>
      </c>
      <c r="D30" s="1374">
        <f>SUM(D28:D29)</f>
        <v>0</v>
      </c>
      <c r="E30" s="1374">
        <f>SUM(E28:E29)</f>
        <v>0</v>
      </c>
      <c r="F30" s="1374">
        <f>SUM(F28:F29)</f>
        <v>0</v>
      </c>
      <c r="G30" s="1376">
        <f>SUM(G28:G29)</f>
        <v>0</v>
      </c>
      <c r="H30" s="1373"/>
      <c r="I30" s="1373"/>
      <c r="J30" s="1373"/>
      <c r="K30" s="1373"/>
      <c r="L30" s="1373"/>
      <c r="M30" s="1373"/>
      <c r="N30" s="1373"/>
      <c r="O30" s="1373"/>
      <c r="P30" s="1373"/>
    </row>
    <row r="31" spans="1:19" ht="15" thickBot="1">
      <c r="A31" s="2243"/>
      <c r="B31" s="2244"/>
      <c r="C31" s="997" t="s">
        <v>1954</v>
      </c>
      <c r="D31" s="725">
        <f>D27+D30</f>
        <v>9680.74</v>
      </c>
      <c r="E31" s="725">
        <f>E27+E30</f>
        <v>42164.249999999993</v>
      </c>
      <c r="F31" s="726">
        <f>F27+F30</f>
        <v>42164.249999999993</v>
      </c>
      <c r="G31" s="727">
        <f>G27+G30</f>
        <v>0</v>
      </c>
      <c r="H31" s="1373"/>
      <c r="I31" s="1373"/>
      <c r="J31" s="1373"/>
      <c r="K31" s="1373"/>
      <c r="L31" s="1373"/>
      <c r="M31" s="1373"/>
      <c r="N31" s="1373"/>
      <c r="O31" s="1373"/>
      <c r="P31" s="1373"/>
    </row>
    <row r="32" spans="1:19" ht="14.4">
      <c r="A32" s="2208"/>
      <c r="B32" s="2208" t="s">
        <v>1955</v>
      </c>
      <c r="C32" s="2208"/>
      <c r="D32" s="2208"/>
      <c r="E32" s="1256">
        <f>SUMIF(C19:C26,"*住宅*",E19:E26)</f>
        <v>0</v>
      </c>
      <c r="F32" s="2208"/>
      <c r="G32" s="2208"/>
      <c r="H32" s="1373"/>
      <c r="I32" s="1373"/>
      <c r="J32" s="1373"/>
      <c r="K32" s="1373"/>
      <c r="L32" s="1373"/>
      <c r="M32" s="1373"/>
      <c r="N32" s="1373"/>
      <c r="O32" s="1373"/>
      <c r="P32" s="1373"/>
    </row>
    <row r="33" spans="4:4">
      <c r="D33" s="22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sheetPr>
  <dimension ref="A1:R174"/>
  <sheetViews>
    <sheetView topLeftCell="A147" workbookViewId="0">
      <selection activeCell="L170" sqref="L170"/>
    </sheetView>
  </sheetViews>
  <sheetFormatPr defaultColWidth="9" defaultRowHeight="12"/>
  <cols>
    <col min="1" max="1" width="9" style="2999"/>
    <col min="2" max="2" width="22.77734375" style="2999" bestFit="1" customWidth="1"/>
    <col min="3" max="3" width="9" style="2999"/>
    <col min="4" max="4" width="9.33203125" style="3005" bestFit="1" customWidth="1"/>
    <col min="5" max="5" width="9.33203125" style="2999" bestFit="1" customWidth="1"/>
    <col min="6" max="6" width="14.109375" style="2999" bestFit="1" customWidth="1"/>
    <col min="7" max="7" width="9" style="3005"/>
    <col min="8" max="8" width="13.88671875" style="2999" bestFit="1" customWidth="1"/>
    <col min="9" max="11" width="9" style="2999"/>
    <col min="12" max="12" width="10.77734375" style="2999" customWidth="1"/>
    <col min="13" max="14" width="11.33203125" style="2999" bestFit="1" customWidth="1"/>
    <col min="15" max="16" width="14.109375" style="2999" bestFit="1" customWidth="1"/>
    <col min="17" max="16384" width="9" style="2999"/>
  </cols>
  <sheetData>
    <row r="1" spans="1:12">
      <c r="A1" s="2995" t="s">
        <v>3174</v>
      </c>
      <c r="B1" s="2995" t="s">
        <v>3175</v>
      </c>
      <c r="C1" s="2995" t="s">
        <v>3176</v>
      </c>
      <c r="D1" s="2996" t="s">
        <v>3177</v>
      </c>
      <c r="E1" s="2995" t="s">
        <v>3178</v>
      </c>
      <c r="F1" s="2995" t="s">
        <v>3179</v>
      </c>
      <c r="G1" s="2996" t="s">
        <v>3180</v>
      </c>
      <c r="H1" s="2995" t="s">
        <v>3181</v>
      </c>
      <c r="I1" s="2995" t="s">
        <v>3182</v>
      </c>
    </row>
    <row r="2" spans="1:12">
      <c r="A2" s="2995">
        <v>9</v>
      </c>
      <c r="B2" s="2995" t="s">
        <v>3226</v>
      </c>
      <c r="C2" s="2995" t="s">
        <v>3206</v>
      </c>
      <c r="D2" s="2996" t="s">
        <v>3207</v>
      </c>
      <c r="E2" s="2995" t="s">
        <v>3186</v>
      </c>
      <c r="F2" s="2995" t="s">
        <v>3195</v>
      </c>
      <c r="G2" s="2996" t="s">
        <v>3208</v>
      </c>
      <c r="H2" s="2995" t="s">
        <v>3196</v>
      </c>
      <c r="I2" s="2995">
        <v>1078.23</v>
      </c>
    </row>
    <row r="3" spans="1:12">
      <c r="A3" s="2992">
        <v>11</v>
      </c>
      <c r="B3" s="2992" t="s">
        <v>3205</v>
      </c>
      <c r="C3" s="2992" t="s">
        <v>3206</v>
      </c>
      <c r="D3" s="2993" t="s">
        <v>3210</v>
      </c>
      <c r="E3" s="2992" t="s">
        <v>3186</v>
      </c>
      <c r="F3" s="2992" t="s">
        <v>3195</v>
      </c>
      <c r="G3" s="2993" t="s">
        <v>3211</v>
      </c>
      <c r="H3" s="2992" t="s">
        <v>3196</v>
      </c>
      <c r="I3" s="2992">
        <v>1443.69</v>
      </c>
    </row>
    <row r="4" spans="1:12">
      <c r="A4" s="2992">
        <v>21</v>
      </c>
      <c r="B4" s="2992" t="s">
        <v>3226</v>
      </c>
      <c r="C4" s="2992" t="s">
        <v>3227</v>
      </c>
      <c r="D4" s="2993" t="s">
        <v>3228</v>
      </c>
      <c r="E4" s="2992" t="s">
        <v>3218</v>
      </c>
      <c r="F4" s="2992" t="s">
        <v>3219</v>
      </c>
      <c r="G4" s="2993" t="s">
        <v>3229</v>
      </c>
      <c r="H4" s="2992" t="s">
        <v>3221</v>
      </c>
      <c r="I4" s="2992">
        <v>1443.69</v>
      </c>
    </row>
    <row r="5" spans="1:12">
      <c r="A5" s="2992">
        <v>31</v>
      </c>
      <c r="B5" s="2992" t="s">
        <v>3242</v>
      </c>
      <c r="C5" s="2992" t="s">
        <v>3243</v>
      </c>
      <c r="D5" s="2993" t="s">
        <v>3244</v>
      </c>
      <c r="E5" s="2992" t="s">
        <v>3245</v>
      </c>
      <c r="F5" s="2992" t="s">
        <v>3246</v>
      </c>
      <c r="G5" s="2993" t="s">
        <v>3247</v>
      </c>
      <c r="H5" s="2992" t="s">
        <v>3248</v>
      </c>
      <c r="I5" s="2992">
        <v>1443.69</v>
      </c>
    </row>
    <row r="6" spans="1:12">
      <c r="A6" s="2992">
        <v>41</v>
      </c>
      <c r="B6" s="2992" t="s">
        <v>3226</v>
      </c>
      <c r="C6" s="2992" t="s">
        <v>3227</v>
      </c>
      <c r="D6" s="2993" t="s">
        <v>3260</v>
      </c>
      <c r="E6" s="2992" t="s">
        <v>3218</v>
      </c>
      <c r="F6" s="2992" t="s">
        <v>3219</v>
      </c>
      <c r="G6" s="2993" t="s">
        <v>3261</v>
      </c>
      <c r="H6" s="2992" t="s">
        <v>3221</v>
      </c>
      <c r="I6" s="2992">
        <v>1443.69</v>
      </c>
    </row>
    <row r="7" spans="1:12">
      <c r="A7" s="2992">
        <v>51</v>
      </c>
      <c r="B7" s="2992" t="s">
        <v>3226</v>
      </c>
      <c r="C7" s="2992" t="s">
        <v>3227</v>
      </c>
      <c r="D7" s="2993" t="s">
        <v>3271</v>
      </c>
      <c r="E7" s="2992" t="s">
        <v>3245</v>
      </c>
      <c r="F7" s="2992" t="s">
        <v>3246</v>
      </c>
      <c r="G7" s="2993" t="s">
        <v>3272</v>
      </c>
      <c r="H7" s="2992" t="s">
        <v>3248</v>
      </c>
      <c r="I7" s="2992">
        <v>1443.69</v>
      </c>
    </row>
    <row r="8" spans="1:12">
      <c r="A8" s="2992">
        <v>61</v>
      </c>
      <c r="B8" s="2992" t="s">
        <v>3282</v>
      </c>
      <c r="C8" s="2992" t="s">
        <v>3283</v>
      </c>
      <c r="D8" s="2993" t="s">
        <v>3284</v>
      </c>
      <c r="E8" s="2992" t="s">
        <v>3218</v>
      </c>
      <c r="F8" s="2992" t="s">
        <v>3219</v>
      </c>
      <c r="G8" s="2993" t="s">
        <v>3285</v>
      </c>
      <c r="H8" s="2992" t="s">
        <v>3221</v>
      </c>
      <c r="I8" s="2992">
        <v>1443.69</v>
      </c>
      <c r="K8" s="3004"/>
      <c r="L8" s="3004"/>
    </row>
    <row r="9" spans="1:12">
      <c r="A9" s="2992">
        <v>71</v>
      </c>
      <c r="B9" s="2992" t="s">
        <v>3226</v>
      </c>
      <c r="C9" s="2992" t="s">
        <v>3227</v>
      </c>
      <c r="D9" s="2993" t="s">
        <v>3295</v>
      </c>
      <c r="E9" s="2992" t="s">
        <v>3218</v>
      </c>
      <c r="F9" s="2992" t="s">
        <v>3219</v>
      </c>
      <c r="G9" s="2993" t="s">
        <v>3296</v>
      </c>
      <c r="H9" s="2992" t="s">
        <v>3221</v>
      </c>
      <c r="I9" s="2992">
        <v>1443.69</v>
      </c>
    </row>
    <row r="10" spans="1:12">
      <c r="A10" s="2992">
        <v>81</v>
      </c>
      <c r="B10" s="2992" t="s">
        <v>3242</v>
      </c>
      <c r="C10" s="2992" t="s">
        <v>3243</v>
      </c>
      <c r="D10" s="2993" t="s">
        <v>3309</v>
      </c>
      <c r="E10" s="2992" t="s">
        <v>3238</v>
      </c>
      <c r="F10" s="2992" t="s">
        <v>3239</v>
      </c>
      <c r="G10" s="2993" t="s">
        <v>3310</v>
      </c>
      <c r="H10" s="2992" t="s">
        <v>3241</v>
      </c>
      <c r="I10" s="2992">
        <v>1443.69</v>
      </c>
    </row>
    <row r="11" spans="1:12">
      <c r="A11" s="2992">
        <v>91</v>
      </c>
      <c r="B11" s="2992" t="s">
        <v>3226</v>
      </c>
      <c r="C11" s="2992" t="s">
        <v>3227</v>
      </c>
      <c r="D11" s="2993" t="s">
        <v>3322</v>
      </c>
      <c r="E11" s="2992" t="s">
        <v>3218</v>
      </c>
      <c r="F11" s="2992" t="s">
        <v>3219</v>
      </c>
      <c r="G11" s="2993" t="s">
        <v>3323</v>
      </c>
      <c r="H11" s="2992" t="s">
        <v>3221</v>
      </c>
      <c r="I11" s="2992">
        <v>1443.69</v>
      </c>
    </row>
    <row r="12" spans="1:12">
      <c r="A12" s="2992">
        <v>101</v>
      </c>
      <c r="B12" s="2992" t="s">
        <v>3226</v>
      </c>
      <c r="C12" s="2992" t="s">
        <v>3227</v>
      </c>
      <c r="D12" s="2993" t="s">
        <v>3334</v>
      </c>
      <c r="E12" s="2992" t="s">
        <v>3218</v>
      </c>
      <c r="F12" s="2992" t="s">
        <v>3219</v>
      </c>
      <c r="G12" s="2993" t="s">
        <v>3335</v>
      </c>
      <c r="H12" s="2992" t="s">
        <v>3221</v>
      </c>
      <c r="I12" s="2992">
        <v>1443.69</v>
      </c>
    </row>
    <row r="13" spans="1:12">
      <c r="A13" s="2992">
        <v>111</v>
      </c>
      <c r="B13" s="2992" t="s">
        <v>3226</v>
      </c>
      <c r="C13" s="2992" t="s">
        <v>3227</v>
      </c>
      <c r="D13" s="2993" t="s">
        <v>3346</v>
      </c>
      <c r="E13" s="2992" t="s">
        <v>3218</v>
      </c>
      <c r="F13" s="2992" t="s">
        <v>3219</v>
      </c>
      <c r="G13" s="2993" t="s">
        <v>3347</v>
      </c>
      <c r="H13" s="2992" t="s">
        <v>3221</v>
      </c>
      <c r="I13" s="2992">
        <v>1443.69</v>
      </c>
    </row>
    <row r="14" spans="1:12">
      <c r="A14" s="2992">
        <v>121</v>
      </c>
      <c r="B14" s="2992" t="s">
        <v>3226</v>
      </c>
      <c r="C14" s="2992" t="s">
        <v>3227</v>
      </c>
      <c r="D14" s="2993" t="s">
        <v>3358</v>
      </c>
      <c r="E14" s="2992" t="s">
        <v>3218</v>
      </c>
      <c r="F14" s="2992" t="s">
        <v>3219</v>
      </c>
      <c r="G14" s="2993" t="s">
        <v>3359</v>
      </c>
      <c r="H14" s="2992" t="s">
        <v>3360</v>
      </c>
      <c r="I14" s="2992">
        <v>701.01</v>
      </c>
    </row>
    <row r="15" spans="1:12">
      <c r="A15" s="2995">
        <v>4</v>
      </c>
      <c r="B15" s="2995" t="s">
        <v>3192</v>
      </c>
      <c r="C15" s="2995" t="s">
        <v>3193</v>
      </c>
      <c r="D15" s="2996" t="s">
        <v>3194</v>
      </c>
      <c r="E15" s="2995" t="s">
        <v>3186</v>
      </c>
      <c r="F15" s="2995" t="s">
        <v>3195</v>
      </c>
      <c r="G15" s="2996" t="s">
        <v>3188</v>
      </c>
      <c r="H15" s="2995" t="s">
        <v>3196</v>
      </c>
      <c r="I15" s="2995">
        <v>31.96</v>
      </c>
    </row>
    <row r="16" spans="1:12">
      <c r="A16" s="2992">
        <v>12</v>
      </c>
      <c r="B16" s="2992" t="s">
        <v>3192</v>
      </c>
      <c r="C16" s="2992" t="s">
        <v>3193</v>
      </c>
      <c r="D16" s="2993" t="s">
        <v>3210</v>
      </c>
      <c r="E16" s="2992" t="s">
        <v>3186</v>
      </c>
      <c r="F16" s="2992" t="s">
        <v>3195</v>
      </c>
      <c r="G16" s="2993" t="s">
        <v>3211</v>
      </c>
      <c r="H16" s="2992" t="s">
        <v>3196</v>
      </c>
      <c r="I16" s="2992">
        <v>160.65</v>
      </c>
    </row>
    <row r="17" spans="1:18">
      <c r="A17" s="2992">
        <v>13</v>
      </c>
      <c r="B17" s="2992" t="s">
        <v>3192</v>
      </c>
      <c r="C17" s="2992" t="s">
        <v>3193</v>
      </c>
      <c r="D17" s="2993" t="s">
        <v>3212</v>
      </c>
      <c r="E17" s="2992" t="s">
        <v>3186</v>
      </c>
      <c r="F17" s="2992" t="s">
        <v>3195</v>
      </c>
      <c r="G17" s="2993" t="s">
        <v>3211</v>
      </c>
      <c r="H17" s="2992" t="s">
        <v>3196</v>
      </c>
      <c r="I17" s="2992">
        <v>152</v>
      </c>
    </row>
    <row r="18" spans="1:18">
      <c r="A18" s="2992">
        <v>14</v>
      </c>
      <c r="B18" s="2992" t="s">
        <v>3192</v>
      </c>
      <c r="C18" s="2992" t="s">
        <v>3193</v>
      </c>
      <c r="D18" s="2993" t="s">
        <v>3213</v>
      </c>
      <c r="E18" s="2992" t="s">
        <v>3186</v>
      </c>
      <c r="F18" s="2992" t="s">
        <v>3195</v>
      </c>
      <c r="G18" s="2993" t="s">
        <v>3211</v>
      </c>
      <c r="H18" s="2992" t="s">
        <v>3196</v>
      </c>
      <c r="I18" s="2992">
        <v>152</v>
      </c>
    </row>
    <row r="19" spans="1:18">
      <c r="A19" s="2992">
        <v>15</v>
      </c>
      <c r="B19" s="2992" t="s">
        <v>3192</v>
      </c>
      <c r="C19" s="2992" t="s">
        <v>3193</v>
      </c>
      <c r="D19" s="2993" t="s">
        <v>3214</v>
      </c>
      <c r="E19" s="2992" t="s">
        <v>3186</v>
      </c>
      <c r="F19" s="2992" t="s">
        <v>3195</v>
      </c>
      <c r="G19" s="2993" t="s">
        <v>3211</v>
      </c>
      <c r="H19" s="2992" t="s">
        <v>3196</v>
      </c>
      <c r="I19" s="2992">
        <v>152</v>
      </c>
    </row>
    <row r="20" spans="1:18">
      <c r="A20" s="2992">
        <v>16</v>
      </c>
      <c r="B20" s="2992" t="s">
        <v>3192</v>
      </c>
      <c r="C20" s="2992" t="s">
        <v>3193</v>
      </c>
      <c r="D20" s="2993" t="s">
        <v>3215</v>
      </c>
      <c r="E20" s="2992" t="s">
        <v>3186</v>
      </c>
      <c r="F20" s="2992" t="s">
        <v>3195</v>
      </c>
      <c r="G20" s="2993" t="s">
        <v>3211</v>
      </c>
      <c r="H20" s="2992" t="s">
        <v>3196</v>
      </c>
      <c r="I20" s="2992">
        <v>152</v>
      </c>
    </row>
    <row r="21" spans="1:18">
      <c r="A21" s="2992">
        <v>17</v>
      </c>
      <c r="B21" s="2992" t="s">
        <v>3192</v>
      </c>
      <c r="C21" s="2992" t="s">
        <v>3193</v>
      </c>
      <c r="D21" s="2993" t="s">
        <v>3216</v>
      </c>
      <c r="E21" s="2992" t="s">
        <v>3186</v>
      </c>
      <c r="F21" s="2992" t="s">
        <v>3195</v>
      </c>
      <c r="G21" s="2993" t="s">
        <v>3211</v>
      </c>
      <c r="H21" s="2992" t="s">
        <v>3196</v>
      </c>
      <c r="I21" s="2992">
        <v>208.31</v>
      </c>
    </row>
    <row r="22" spans="1:18">
      <c r="A22" s="2992">
        <v>18</v>
      </c>
      <c r="B22" s="2992" t="s">
        <v>3192</v>
      </c>
      <c r="C22" s="2992" t="s">
        <v>3193</v>
      </c>
      <c r="D22" s="2993" t="s">
        <v>3217</v>
      </c>
      <c r="E22" s="2992" t="s">
        <v>3218</v>
      </c>
      <c r="F22" s="2992" t="s">
        <v>3219</v>
      </c>
      <c r="G22" s="2993" t="s">
        <v>3220</v>
      </c>
      <c r="H22" s="2992" t="s">
        <v>3221</v>
      </c>
      <c r="I22" s="2992">
        <v>222.93</v>
      </c>
    </row>
    <row r="23" spans="1:18">
      <c r="A23" s="2992">
        <v>19</v>
      </c>
      <c r="B23" s="2992" t="s">
        <v>3222</v>
      </c>
      <c r="C23" s="2992" t="s">
        <v>3223</v>
      </c>
      <c r="D23" s="2993" t="s">
        <v>3224</v>
      </c>
      <c r="E23" s="2992" t="s">
        <v>3218</v>
      </c>
      <c r="F23" s="2992" t="s">
        <v>3219</v>
      </c>
      <c r="G23" s="2993" t="s">
        <v>3220</v>
      </c>
      <c r="H23" s="2992" t="s">
        <v>3221</v>
      </c>
      <c r="I23" s="2992">
        <v>152.03</v>
      </c>
    </row>
    <row r="24" spans="1:18">
      <c r="A24" s="2992">
        <v>20</v>
      </c>
      <c r="B24" s="2992" t="s">
        <v>3222</v>
      </c>
      <c r="C24" s="2992" t="s">
        <v>3223</v>
      </c>
      <c r="D24" s="2993" t="s">
        <v>3225</v>
      </c>
      <c r="E24" s="2992" t="s">
        <v>3218</v>
      </c>
      <c r="F24" s="2992" t="s">
        <v>3219</v>
      </c>
      <c r="G24" s="2993" t="s">
        <v>3220</v>
      </c>
      <c r="H24" s="2992" t="s">
        <v>3221</v>
      </c>
      <c r="I24" s="2992">
        <v>116.9</v>
      </c>
    </row>
    <row r="25" spans="1:18">
      <c r="A25" s="2992">
        <v>22</v>
      </c>
      <c r="B25" s="2992" t="s">
        <v>3222</v>
      </c>
      <c r="C25" s="2992" t="s">
        <v>3223</v>
      </c>
      <c r="D25" s="2993" t="s">
        <v>3228</v>
      </c>
      <c r="E25" s="2992" t="s">
        <v>3218</v>
      </c>
      <c r="F25" s="2992" t="s">
        <v>3219</v>
      </c>
      <c r="G25" s="2993" t="s">
        <v>3229</v>
      </c>
      <c r="H25" s="2992" t="s">
        <v>3221</v>
      </c>
      <c r="I25" s="2992">
        <v>160.65</v>
      </c>
    </row>
    <row r="26" spans="1:18">
      <c r="A26" s="2992">
        <v>23</v>
      </c>
      <c r="B26" s="2992" t="s">
        <v>3222</v>
      </c>
      <c r="C26" s="2992" t="s">
        <v>3223</v>
      </c>
      <c r="D26" s="2993" t="s">
        <v>3230</v>
      </c>
      <c r="E26" s="2992" t="s">
        <v>3218</v>
      </c>
      <c r="F26" s="2992" t="s">
        <v>3219</v>
      </c>
      <c r="G26" s="2993" t="s">
        <v>3229</v>
      </c>
      <c r="H26" s="2992" t="s">
        <v>3221</v>
      </c>
      <c r="I26" s="2992">
        <v>152</v>
      </c>
    </row>
    <row r="27" spans="1:18">
      <c r="A27" s="2992">
        <v>24</v>
      </c>
      <c r="B27" s="2992" t="s">
        <v>3222</v>
      </c>
      <c r="C27" s="2992" t="s">
        <v>3223</v>
      </c>
      <c r="D27" s="2993" t="s">
        <v>3231</v>
      </c>
      <c r="E27" s="2992" t="s">
        <v>3218</v>
      </c>
      <c r="F27" s="2992" t="s">
        <v>3219</v>
      </c>
      <c r="G27" s="2993" t="s">
        <v>3229</v>
      </c>
      <c r="H27" s="2992" t="s">
        <v>3221</v>
      </c>
      <c r="I27" s="2992">
        <v>152</v>
      </c>
    </row>
    <row r="28" spans="1:18">
      <c r="A28" s="2992">
        <v>25</v>
      </c>
      <c r="B28" s="2992" t="s">
        <v>3222</v>
      </c>
      <c r="C28" s="2992" t="s">
        <v>3223</v>
      </c>
      <c r="D28" s="2993" t="s">
        <v>3232</v>
      </c>
      <c r="E28" s="2992" t="s">
        <v>3218</v>
      </c>
      <c r="F28" s="2992" t="s">
        <v>3219</v>
      </c>
      <c r="G28" s="2993" t="s">
        <v>3229</v>
      </c>
      <c r="H28" s="2992" t="s">
        <v>3221</v>
      </c>
      <c r="I28" s="2992">
        <v>152</v>
      </c>
    </row>
    <row r="29" spans="1:18">
      <c r="A29" s="2992">
        <v>26</v>
      </c>
      <c r="B29" s="2992" t="s">
        <v>3222</v>
      </c>
      <c r="C29" s="2992" t="s">
        <v>3223</v>
      </c>
      <c r="D29" s="2993" t="s">
        <v>3233</v>
      </c>
      <c r="E29" s="2992" t="s">
        <v>3218</v>
      </c>
      <c r="F29" s="2992" t="s">
        <v>3219</v>
      </c>
      <c r="G29" s="2993" t="s">
        <v>3229</v>
      </c>
      <c r="H29" s="2992" t="s">
        <v>3221</v>
      </c>
      <c r="I29" s="2992">
        <v>152</v>
      </c>
    </row>
    <row r="30" spans="1:18">
      <c r="A30" s="2992">
        <v>27</v>
      </c>
      <c r="B30" s="2992" t="s">
        <v>3222</v>
      </c>
      <c r="C30" s="2992" t="s">
        <v>3223</v>
      </c>
      <c r="D30" s="2993" t="s">
        <v>3234</v>
      </c>
      <c r="E30" s="2992" t="s">
        <v>3218</v>
      </c>
      <c r="F30" s="2992" t="s">
        <v>3219</v>
      </c>
      <c r="G30" s="2993" t="s">
        <v>3229</v>
      </c>
      <c r="H30" s="2992" t="s">
        <v>3221</v>
      </c>
      <c r="I30" s="2992">
        <v>208.31</v>
      </c>
    </row>
    <row r="31" spans="1:18">
      <c r="A31" s="2992">
        <v>28</v>
      </c>
      <c r="B31" s="2992" t="s">
        <v>3222</v>
      </c>
      <c r="C31" s="2992" t="s">
        <v>3223</v>
      </c>
      <c r="D31" s="2993" t="s">
        <v>3235</v>
      </c>
      <c r="E31" s="2992" t="s">
        <v>3218</v>
      </c>
      <c r="F31" s="2992" t="s">
        <v>3219</v>
      </c>
      <c r="G31" s="2993" t="s">
        <v>3229</v>
      </c>
      <c r="H31" s="2992" t="s">
        <v>3221</v>
      </c>
      <c r="I31" s="2992">
        <v>222.93</v>
      </c>
      <c r="R31" s="2999" t="s">
        <v>3429</v>
      </c>
    </row>
    <row r="32" spans="1:18">
      <c r="A32" s="2992">
        <v>29</v>
      </c>
      <c r="B32" s="2992" t="s">
        <v>3222</v>
      </c>
      <c r="C32" s="2992" t="s">
        <v>3223</v>
      </c>
      <c r="D32" s="2993" t="s">
        <v>3236</v>
      </c>
      <c r="E32" s="2992" t="s">
        <v>3218</v>
      </c>
      <c r="F32" s="2992" t="s">
        <v>3219</v>
      </c>
      <c r="G32" s="2993" t="s">
        <v>3229</v>
      </c>
      <c r="H32" s="2992" t="s">
        <v>3221</v>
      </c>
      <c r="I32" s="2992">
        <v>152.03</v>
      </c>
    </row>
    <row r="33" spans="1:9">
      <c r="A33" s="2992">
        <v>30</v>
      </c>
      <c r="B33" s="2992" t="s">
        <v>3222</v>
      </c>
      <c r="C33" s="2992" t="s">
        <v>3223</v>
      </c>
      <c r="D33" s="2993" t="s">
        <v>3237</v>
      </c>
      <c r="E33" s="2992" t="s">
        <v>3238</v>
      </c>
      <c r="F33" s="2992" t="s">
        <v>3239</v>
      </c>
      <c r="G33" s="2993" t="s">
        <v>3240</v>
      </c>
      <c r="H33" s="2992" t="s">
        <v>3241</v>
      </c>
      <c r="I33" s="2992">
        <v>116.9</v>
      </c>
    </row>
    <row r="34" spans="1:9">
      <c r="A34" s="2992">
        <v>32</v>
      </c>
      <c r="B34" s="2992" t="s">
        <v>3249</v>
      </c>
      <c r="C34" s="2992" t="s">
        <v>3250</v>
      </c>
      <c r="D34" s="2993" t="s">
        <v>3244</v>
      </c>
      <c r="E34" s="2992" t="s">
        <v>3245</v>
      </c>
      <c r="F34" s="2992" t="s">
        <v>3246</v>
      </c>
      <c r="G34" s="2993" t="s">
        <v>3247</v>
      </c>
      <c r="H34" s="2992" t="s">
        <v>3248</v>
      </c>
      <c r="I34" s="2992">
        <v>160.65</v>
      </c>
    </row>
    <row r="35" spans="1:9">
      <c r="A35" s="2992">
        <v>33</v>
      </c>
      <c r="B35" s="2992" t="s">
        <v>3249</v>
      </c>
      <c r="C35" s="2992" t="s">
        <v>3250</v>
      </c>
      <c r="D35" s="2993" t="s">
        <v>3251</v>
      </c>
      <c r="E35" s="2992" t="s">
        <v>3245</v>
      </c>
      <c r="F35" s="2992" t="s">
        <v>3246</v>
      </c>
      <c r="G35" s="2993" t="s">
        <v>3247</v>
      </c>
      <c r="H35" s="2992" t="s">
        <v>3248</v>
      </c>
      <c r="I35" s="2992">
        <v>152</v>
      </c>
    </row>
    <row r="36" spans="1:9">
      <c r="A36" s="2992">
        <v>34</v>
      </c>
      <c r="B36" s="2992" t="s">
        <v>3249</v>
      </c>
      <c r="C36" s="2992" t="s">
        <v>3250</v>
      </c>
      <c r="D36" s="2993" t="s">
        <v>3252</v>
      </c>
      <c r="E36" s="2992" t="s">
        <v>3245</v>
      </c>
      <c r="F36" s="2992" t="s">
        <v>3246</v>
      </c>
      <c r="G36" s="2993" t="s">
        <v>3247</v>
      </c>
      <c r="H36" s="2992" t="s">
        <v>3248</v>
      </c>
      <c r="I36" s="2992">
        <v>152</v>
      </c>
    </row>
    <row r="37" spans="1:9">
      <c r="A37" s="2992">
        <v>35</v>
      </c>
      <c r="B37" s="2992" t="s">
        <v>3249</v>
      </c>
      <c r="C37" s="2992" t="s">
        <v>3250</v>
      </c>
      <c r="D37" s="2993" t="s">
        <v>3253</v>
      </c>
      <c r="E37" s="2992" t="s">
        <v>3245</v>
      </c>
      <c r="F37" s="2992" t="s">
        <v>3246</v>
      </c>
      <c r="G37" s="2993" t="s">
        <v>3247</v>
      </c>
      <c r="H37" s="2992" t="s">
        <v>3248</v>
      </c>
      <c r="I37" s="2992">
        <v>152</v>
      </c>
    </row>
    <row r="38" spans="1:9">
      <c r="A38" s="2992">
        <v>36</v>
      </c>
      <c r="B38" s="2992" t="s">
        <v>3249</v>
      </c>
      <c r="C38" s="2992" t="s">
        <v>3250</v>
      </c>
      <c r="D38" s="2993" t="s">
        <v>3254</v>
      </c>
      <c r="E38" s="2992" t="s">
        <v>3245</v>
      </c>
      <c r="F38" s="2992" t="s">
        <v>3246</v>
      </c>
      <c r="G38" s="2993" t="s">
        <v>3247</v>
      </c>
      <c r="H38" s="2992" t="s">
        <v>3248</v>
      </c>
      <c r="I38" s="2992">
        <v>152</v>
      </c>
    </row>
    <row r="39" spans="1:9">
      <c r="A39" s="2992">
        <v>37</v>
      </c>
      <c r="B39" s="2992" t="s">
        <v>3249</v>
      </c>
      <c r="C39" s="2992" t="s">
        <v>3250</v>
      </c>
      <c r="D39" s="2993" t="s">
        <v>3255</v>
      </c>
      <c r="E39" s="2992" t="s">
        <v>3218</v>
      </c>
      <c r="F39" s="2992" t="s">
        <v>3219</v>
      </c>
      <c r="G39" s="2993" t="s">
        <v>3256</v>
      </c>
      <c r="H39" s="2992" t="s">
        <v>3221</v>
      </c>
      <c r="I39" s="2992">
        <v>208.31</v>
      </c>
    </row>
    <row r="40" spans="1:9">
      <c r="A40" s="2992">
        <v>38</v>
      </c>
      <c r="B40" s="2992" t="s">
        <v>3222</v>
      </c>
      <c r="C40" s="2992" t="s">
        <v>3223</v>
      </c>
      <c r="D40" s="2993" t="s">
        <v>3257</v>
      </c>
      <c r="E40" s="2992" t="s">
        <v>3218</v>
      </c>
      <c r="F40" s="2992" t="s">
        <v>3219</v>
      </c>
      <c r="G40" s="2993" t="s">
        <v>3256</v>
      </c>
      <c r="H40" s="2992" t="s">
        <v>3221</v>
      </c>
      <c r="I40" s="2992">
        <v>222.93</v>
      </c>
    </row>
    <row r="41" spans="1:9">
      <c r="A41" s="2992">
        <v>39</v>
      </c>
      <c r="B41" s="2992" t="s">
        <v>3222</v>
      </c>
      <c r="C41" s="2992" t="s">
        <v>3223</v>
      </c>
      <c r="D41" s="2993" t="s">
        <v>3258</v>
      </c>
      <c r="E41" s="2992" t="s">
        <v>3218</v>
      </c>
      <c r="F41" s="2992" t="s">
        <v>3219</v>
      </c>
      <c r="G41" s="2993" t="s">
        <v>3256</v>
      </c>
      <c r="H41" s="2992" t="s">
        <v>3221</v>
      </c>
      <c r="I41" s="2992">
        <v>152.03</v>
      </c>
    </row>
    <row r="42" spans="1:9">
      <c r="A42" s="2992">
        <v>40</v>
      </c>
      <c r="B42" s="2992" t="s">
        <v>3222</v>
      </c>
      <c r="C42" s="2992" t="s">
        <v>3223</v>
      </c>
      <c r="D42" s="2993" t="s">
        <v>3259</v>
      </c>
      <c r="E42" s="2992" t="s">
        <v>3218</v>
      </c>
      <c r="F42" s="2992" t="s">
        <v>3219</v>
      </c>
      <c r="G42" s="2993" t="s">
        <v>3256</v>
      </c>
      <c r="H42" s="2992" t="s">
        <v>3221</v>
      </c>
      <c r="I42" s="2992">
        <v>116.9</v>
      </c>
    </row>
    <row r="43" spans="1:9">
      <c r="A43" s="2992">
        <v>42</v>
      </c>
      <c r="B43" s="2992" t="s">
        <v>3222</v>
      </c>
      <c r="C43" s="2992" t="s">
        <v>3223</v>
      </c>
      <c r="D43" s="2993" t="s">
        <v>3260</v>
      </c>
      <c r="E43" s="2992" t="s">
        <v>3218</v>
      </c>
      <c r="F43" s="2992" t="s">
        <v>3219</v>
      </c>
      <c r="G43" s="2993" t="s">
        <v>3262</v>
      </c>
      <c r="H43" s="2992" t="s">
        <v>3221</v>
      </c>
      <c r="I43" s="2992">
        <v>160.65</v>
      </c>
    </row>
    <row r="44" spans="1:9">
      <c r="A44" s="2992">
        <v>43</v>
      </c>
      <c r="B44" s="2992" t="s">
        <v>3222</v>
      </c>
      <c r="C44" s="2992" t="s">
        <v>3223</v>
      </c>
      <c r="D44" s="2993" t="s">
        <v>3263</v>
      </c>
      <c r="E44" s="2992" t="s">
        <v>3218</v>
      </c>
      <c r="F44" s="2992" t="s">
        <v>3219</v>
      </c>
      <c r="G44" s="2993" t="s">
        <v>3262</v>
      </c>
      <c r="H44" s="2992" t="s">
        <v>3221</v>
      </c>
      <c r="I44" s="2992">
        <v>152</v>
      </c>
    </row>
    <row r="45" spans="1:9">
      <c r="A45" s="2992">
        <v>44</v>
      </c>
      <c r="B45" s="2992" t="s">
        <v>3222</v>
      </c>
      <c r="C45" s="2992" t="s">
        <v>3223</v>
      </c>
      <c r="D45" s="2993" t="s">
        <v>3264</v>
      </c>
      <c r="E45" s="2992" t="s">
        <v>3218</v>
      </c>
      <c r="F45" s="2992" t="s">
        <v>3219</v>
      </c>
      <c r="G45" s="2993" t="s">
        <v>3262</v>
      </c>
      <c r="H45" s="2992" t="s">
        <v>3221</v>
      </c>
      <c r="I45" s="2992">
        <v>152</v>
      </c>
    </row>
    <row r="46" spans="1:9">
      <c r="A46" s="2992">
        <v>45</v>
      </c>
      <c r="B46" s="2992" t="s">
        <v>3222</v>
      </c>
      <c r="C46" s="2992" t="s">
        <v>3223</v>
      </c>
      <c r="D46" s="2993" t="s">
        <v>3265</v>
      </c>
      <c r="E46" s="2992" t="s">
        <v>3218</v>
      </c>
      <c r="F46" s="2992" t="s">
        <v>3219</v>
      </c>
      <c r="G46" s="2993" t="s">
        <v>3262</v>
      </c>
      <c r="H46" s="2992" t="s">
        <v>3221</v>
      </c>
      <c r="I46" s="2992">
        <v>152</v>
      </c>
    </row>
    <row r="47" spans="1:9">
      <c r="A47" s="2992">
        <v>46</v>
      </c>
      <c r="B47" s="2992" t="s">
        <v>3222</v>
      </c>
      <c r="C47" s="2992" t="s">
        <v>3223</v>
      </c>
      <c r="D47" s="2993" t="s">
        <v>3266</v>
      </c>
      <c r="E47" s="2992" t="s">
        <v>3218</v>
      </c>
      <c r="F47" s="2992" t="s">
        <v>3219</v>
      </c>
      <c r="G47" s="2993" t="s">
        <v>3262</v>
      </c>
      <c r="H47" s="2992" t="s">
        <v>3221</v>
      </c>
      <c r="I47" s="2992">
        <v>152</v>
      </c>
    </row>
    <row r="48" spans="1:9">
      <c r="A48" s="2992">
        <v>47</v>
      </c>
      <c r="B48" s="2992" t="s">
        <v>3222</v>
      </c>
      <c r="C48" s="2992" t="s">
        <v>3223</v>
      </c>
      <c r="D48" s="2993" t="s">
        <v>3267</v>
      </c>
      <c r="E48" s="2992" t="s">
        <v>3218</v>
      </c>
      <c r="F48" s="2992" t="s">
        <v>3219</v>
      </c>
      <c r="G48" s="2993" t="s">
        <v>3262</v>
      </c>
      <c r="H48" s="2992" t="s">
        <v>3221</v>
      </c>
      <c r="I48" s="2992">
        <v>208.31</v>
      </c>
    </row>
    <row r="49" spans="1:10">
      <c r="A49" s="2992">
        <v>48</v>
      </c>
      <c r="B49" s="2992" t="s">
        <v>3222</v>
      </c>
      <c r="C49" s="2992" t="s">
        <v>3223</v>
      </c>
      <c r="D49" s="2993" t="s">
        <v>3268</v>
      </c>
      <c r="E49" s="2992" t="s">
        <v>3218</v>
      </c>
      <c r="F49" s="2992" t="s">
        <v>3219</v>
      </c>
      <c r="G49" s="2993" t="s">
        <v>3262</v>
      </c>
      <c r="H49" s="2992" t="s">
        <v>3221</v>
      </c>
      <c r="I49" s="2992">
        <v>222.93</v>
      </c>
    </row>
    <row r="50" spans="1:10">
      <c r="A50" s="2992">
        <v>49</v>
      </c>
      <c r="B50" s="2992" t="s">
        <v>3222</v>
      </c>
      <c r="C50" s="2992" t="s">
        <v>3223</v>
      </c>
      <c r="D50" s="2993" t="s">
        <v>3269</v>
      </c>
      <c r="E50" s="2992" t="s">
        <v>3218</v>
      </c>
      <c r="F50" s="2992" t="s">
        <v>3219</v>
      </c>
      <c r="G50" s="2993" t="s">
        <v>3262</v>
      </c>
      <c r="H50" s="2992" t="s">
        <v>3221</v>
      </c>
      <c r="I50" s="2992">
        <v>152.03</v>
      </c>
    </row>
    <row r="51" spans="1:10">
      <c r="A51" s="2992">
        <v>50</v>
      </c>
      <c r="B51" s="2992" t="s">
        <v>3222</v>
      </c>
      <c r="C51" s="2992" t="s">
        <v>3223</v>
      </c>
      <c r="D51" s="2993" t="s">
        <v>3270</v>
      </c>
      <c r="E51" s="2992" t="s">
        <v>3218</v>
      </c>
      <c r="F51" s="2992" t="s">
        <v>3219</v>
      </c>
      <c r="G51" s="2993" t="s">
        <v>3262</v>
      </c>
      <c r="H51" s="2992" t="s">
        <v>3221</v>
      </c>
      <c r="I51" s="2992">
        <v>116.9</v>
      </c>
    </row>
    <row r="52" spans="1:10">
      <c r="A52" s="2992">
        <v>52</v>
      </c>
      <c r="B52" s="2992" t="s">
        <v>3249</v>
      </c>
      <c r="C52" s="2992" t="s">
        <v>3250</v>
      </c>
      <c r="D52" s="2993" t="s">
        <v>3271</v>
      </c>
      <c r="E52" s="2992" t="s">
        <v>3245</v>
      </c>
      <c r="F52" s="2992" t="s">
        <v>3246</v>
      </c>
      <c r="G52" s="2993" t="s">
        <v>3273</v>
      </c>
      <c r="H52" s="2992" t="s">
        <v>3248</v>
      </c>
      <c r="I52" s="2992">
        <v>160.65</v>
      </c>
    </row>
    <row r="53" spans="1:10">
      <c r="A53" s="2992">
        <v>53</v>
      </c>
      <c r="B53" s="2992" t="s">
        <v>3249</v>
      </c>
      <c r="C53" s="2992" t="s">
        <v>3250</v>
      </c>
      <c r="D53" s="2993" t="s">
        <v>3274</v>
      </c>
      <c r="E53" s="2992" t="s">
        <v>3245</v>
      </c>
      <c r="F53" s="2992" t="s">
        <v>3246</v>
      </c>
      <c r="G53" s="2993" t="s">
        <v>3273</v>
      </c>
      <c r="H53" s="2992" t="s">
        <v>3248</v>
      </c>
      <c r="I53" s="2992">
        <v>152</v>
      </c>
      <c r="J53" s="3004"/>
    </row>
    <row r="54" spans="1:10">
      <c r="A54" s="2992">
        <v>54</v>
      </c>
      <c r="B54" s="2992" t="s">
        <v>3249</v>
      </c>
      <c r="C54" s="2992" t="s">
        <v>3250</v>
      </c>
      <c r="D54" s="2993" t="s">
        <v>3275</v>
      </c>
      <c r="E54" s="2992" t="s">
        <v>3245</v>
      </c>
      <c r="F54" s="2992" t="s">
        <v>3246</v>
      </c>
      <c r="G54" s="2993" t="s">
        <v>3273</v>
      </c>
      <c r="H54" s="2992" t="s">
        <v>3248</v>
      </c>
      <c r="I54" s="2992">
        <v>152</v>
      </c>
    </row>
    <row r="55" spans="1:10">
      <c r="A55" s="2992">
        <v>55</v>
      </c>
      <c r="B55" s="2992" t="s">
        <v>3249</v>
      </c>
      <c r="C55" s="2992" t="s">
        <v>3250</v>
      </c>
      <c r="D55" s="2993" t="s">
        <v>3276</v>
      </c>
      <c r="E55" s="2992" t="s">
        <v>3245</v>
      </c>
      <c r="F55" s="2992" t="s">
        <v>3246</v>
      </c>
      <c r="G55" s="2993" t="s">
        <v>3273</v>
      </c>
      <c r="H55" s="2992" t="s">
        <v>3248</v>
      </c>
      <c r="I55" s="2992">
        <v>152</v>
      </c>
    </row>
    <row r="56" spans="1:10">
      <c r="A56" s="2992">
        <v>56</v>
      </c>
      <c r="B56" s="2992" t="s">
        <v>3249</v>
      </c>
      <c r="C56" s="2992" t="s">
        <v>3250</v>
      </c>
      <c r="D56" s="2993" t="s">
        <v>3277</v>
      </c>
      <c r="E56" s="2992" t="s">
        <v>3245</v>
      </c>
      <c r="F56" s="2992" t="s">
        <v>3246</v>
      </c>
      <c r="G56" s="2993" t="s">
        <v>3273</v>
      </c>
      <c r="H56" s="2992" t="s">
        <v>3248</v>
      </c>
      <c r="I56" s="2992">
        <v>152</v>
      </c>
    </row>
    <row r="57" spans="1:10">
      <c r="A57" s="2992">
        <v>57</v>
      </c>
      <c r="B57" s="2992" t="s">
        <v>3249</v>
      </c>
      <c r="C57" s="2992" t="s">
        <v>3250</v>
      </c>
      <c r="D57" s="2993" t="s">
        <v>3278</v>
      </c>
      <c r="E57" s="2992" t="s">
        <v>3245</v>
      </c>
      <c r="F57" s="2992" t="s">
        <v>3246</v>
      </c>
      <c r="G57" s="2993" t="s">
        <v>3273</v>
      </c>
      <c r="H57" s="2992" t="s">
        <v>3248</v>
      </c>
      <c r="I57" s="2992">
        <v>208.31</v>
      </c>
    </row>
    <row r="58" spans="1:10">
      <c r="A58" s="2992">
        <v>58</v>
      </c>
      <c r="B58" s="2992" t="s">
        <v>3249</v>
      </c>
      <c r="C58" s="2992" t="s">
        <v>3250</v>
      </c>
      <c r="D58" s="2993" t="s">
        <v>3279</v>
      </c>
      <c r="E58" s="2992" t="s">
        <v>3245</v>
      </c>
      <c r="F58" s="2992" t="s">
        <v>3246</v>
      </c>
      <c r="G58" s="2993" t="s">
        <v>3273</v>
      </c>
      <c r="H58" s="2992" t="s">
        <v>3248</v>
      </c>
      <c r="I58" s="2992">
        <v>222.93</v>
      </c>
    </row>
    <row r="59" spans="1:10">
      <c r="A59" s="2992">
        <v>59</v>
      </c>
      <c r="B59" s="2992" t="s">
        <v>3249</v>
      </c>
      <c r="C59" s="2992" t="s">
        <v>3250</v>
      </c>
      <c r="D59" s="2993" t="s">
        <v>3280</v>
      </c>
      <c r="E59" s="2992" t="s">
        <v>3245</v>
      </c>
      <c r="F59" s="2992" t="s">
        <v>3246</v>
      </c>
      <c r="G59" s="2993" t="s">
        <v>3273</v>
      </c>
      <c r="H59" s="2992" t="s">
        <v>3248</v>
      </c>
      <c r="I59" s="2992">
        <v>152.03</v>
      </c>
    </row>
    <row r="60" spans="1:10">
      <c r="A60" s="2992">
        <v>60</v>
      </c>
      <c r="B60" s="2992" t="s">
        <v>3249</v>
      </c>
      <c r="C60" s="2992" t="s">
        <v>3250</v>
      </c>
      <c r="D60" s="2993" t="s">
        <v>3281</v>
      </c>
      <c r="E60" s="2992" t="s">
        <v>3245</v>
      </c>
      <c r="F60" s="2992" t="s">
        <v>3246</v>
      </c>
      <c r="G60" s="2993" t="s">
        <v>3273</v>
      </c>
      <c r="H60" s="2992" t="s">
        <v>3248</v>
      </c>
      <c r="I60" s="2992">
        <v>116.9</v>
      </c>
      <c r="J60" s="3004"/>
    </row>
    <row r="61" spans="1:10">
      <c r="A61" s="2992">
        <v>62</v>
      </c>
      <c r="B61" s="2992" t="s">
        <v>3222</v>
      </c>
      <c r="C61" s="2992" t="s">
        <v>3223</v>
      </c>
      <c r="D61" s="2993" t="s">
        <v>3284</v>
      </c>
      <c r="E61" s="2992" t="s">
        <v>3218</v>
      </c>
      <c r="F61" s="2992" t="s">
        <v>3219</v>
      </c>
      <c r="G61" s="2993" t="s">
        <v>3286</v>
      </c>
      <c r="H61" s="2992" t="s">
        <v>3221</v>
      </c>
      <c r="I61" s="2992">
        <v>160.65</v>
      </c>
      <c r="J61" s="2997"/>
    </row>
    <row r="62" spans="1:10">
      <c r="A62" s="2992">
        <v>63</v>
      </c>
      <c r="B62" s="2992" t="s">
        <v>3222</v>
      </c>
      <c r="C62" s="2992" t="s">
        <v>3223</v>
      </c>
      <c r="D62" s="2993" t="s">
        <v>3287</v>
      </c>
      <c r="E62" s="2992" t="s">
        <v>3218</v>
      </c>
      <c r="F62" s="2992" t="s">
        <v>3219</v>
      </c>
      <c r="G62" s="2993" t="s">
        <v>3286</v>
      </c>
      <c r="H62" s="2992" t="s">
        <v>3221</v>
      </c>
      <c r="I62" s="2992">
        <v>152</v>
      </c>
    </row>
    <row r="63" spans="1:10">
      <c r="A63" s="2992">
        <v>64</v>
      </c>
      <c r="B63" s="2992" t="s">
        <v>3222</v>
      </c>
      <c r="C63" s="2992" t="s">
        <v>3223</v>
      </c>
      <c r="D63" s="2993" t="s">
        <v>3288</v>
      </c>
      <c r="E63" s="2992" t="s">
        <v>3218</v>
      </c>
      <c r="F63" s="2992" t="s">
        <v>3219</v>
      </c>
      <c r="G63" s="2993" t="s">
        <v>3286</v>
      </c>
      <c r="H63" s="2992" t="s">
        <v>3221</v>
      </c>
      <c r="I63" s="2992">
        <v>152</v>
      </c>
    </row>
    <row r="64" spans="1:10">
      <c r="A64" s="2992">
        <v>65</v>
      </c>
      <c r="B64" s="2992" t="s">
        <v>3222</v>
      </c>
      <c r="C64" s="2992" t="s">
        <v>3223</v>
      </c>
      <c r="D64" s="2993" t="s">
        <v>3289</v>
      </c>
      <c r="E64" s="2992" t="s">
        <v>3218</v>
      </c>
      <c r="F64" s="2992" t="s">
        <v>3219</v>
      </c>
      <c r="G64" s="2993" t="s">
        <v>3286</v>
      </c>
      <c r="H64" s="2992" t="s">
        <v>3221</v>
      </c>
      <c r="I64" s="2992">
        <v>152</v>
      </c>
    </row>
    <row r="65" spans="1:9">
      <c r="A65" s="2992">
        <v>66</v>
      </c>
      <c r="B65" s="2992" t="s">
        <v>3222</v>
      </c>
      <c r="C65" s="2992" t="s">
        <v>3223</v>
      </c>
      <c r="D65" s="2993" t="s">
        <v>3290</v>
      </c>
      <c r="E65" s="2992" t="s">
        <v>3218</v>
      </c>
      <c r="F65" s="2992" t="s">
        <v>3219</v>
      </c>
      <c r="G65" s="2993" t="s">
        <v>3286</v>
      </c>
      <c r="H65" s="2992" t="s">
        <v>3221</v>
      </c>
      <c r="I65" s="2992">
        <v>152</v>
      </c>
    </row>
    <row r="66" spans="1:9">
      <c r="A66" s="2992">
        <v>67</v>
      </c>
      <c r="B66" s="2992" t="s">
        <v>3222</v>
      </c>
      <c r="C66" s="2992" t="s">
        <v>3223</v>
      </c>
      <c r="D66" s="2993" t="s">
        <v>3291</v>
      </c>
      <c r="E66" s="2992" t="s">
        <v>3218</v>
      </c>
      <c r="F66" s="2992" t="s">
        <v>3219</v>
      </c>
      <c r="G66" s="2993" t="s">
        <v>3286</v>
      </c>
      <c r="H66" s="2992" t="s">
        <v>3221</v>
      </c>
      <c r="I66" s="2992">
        <v>208.31</v>
      </c>
    </row>
    <row r="67" spans="1:9">
      <c r="A67" s="2992">
        <v>68</v>
      </c>
      <c r="B67" s="2992" t="s">
        <v>3222</v>
      </c>
      <c r="C67" s="2992" t="s">
        <v>3223</v>
      </c>
      <c r="D67" s="2993" t="s">
        <v>3292</v>
      </c>
      <c r="E67" s="2992" t="s">
        <v>3218</v>
      </c>
      <c r="F67" s="2992" t="s">
        <v>3219</v>
      </c>
      <c r="G67" s="2993" t="s">
        <v>3286</v>
      </c>
      <c r="H67" s="2992" t="s">
        <v>3221</v>
      </c>
      <c r="I67" s="2992">
        <v>222.93</v>
      </c>
    </row>
    <row r="68" spans="1:9">
      <c r="A68" s="2992">
        <v>69</v>
      </c>
      <c r="B68" s="2992" t="s">
        <v>3222</v>
      </c>
      <c r="C68" s="2992" t="s">
        <v>3223</v>
      </c>
      <c r="D68" s="2993" t="s">
        <v>3293</v>
      </c>
      <c r="E68" s="2992" t="s">
        <v>3218</v>
      </c>
      <c r="F68" s="2992" t="s">
        <v>3219</v>
      </c>
      <c r="G68" s="2993" t="s">
        <v>3286</v>
      </c>
      <c r="H68" s="2992" t="s">
        <v>3221</v>
      </c>
      <c r="I68" s="2992">
        <v>152.03</v>
      </c>
    </row>
    <row r="69" spans="1:9">
      <c r="A69" s="2992">
        <v>70</v>
      </c>
      <c r="B69" s="2992" t="s">
        <v>3222</v>
      </c>
      <c r="C69" s="2992" t="s">
        <v>3223</v>
      </c>
      <c r="D69" s="2993" t="s">
        <v>3294</v>
      </c>
      <c r="E69" s="2992" t="s">
        <v>3218</v>
      </c>
      <c r="F69" s="2992" t="s">
        <v>3219</v>
      </c>
      <c r="G69" s="2993" t="s">
        <v>3286</v>
      </c>
      <c r="H69" s="2992" t="s">
        <v>3221</v>
      </c>
      <c r="I69" s="2992">
        <v>116.9</v>
      </c>
    </row>
    <row r="70" spans="1:9">
      <c r="A70" s="2992">
        <v>72</v>
      </c>
      <c r="B70" s="2992" t="s">
        <v>3222</v>
      </c>
      <c r="C70" s="2992" t="s">
        <v>3223</v>
      </c>
      <c r="D70" s="2993" t="s">
        <v>3295</v>
      </c>
      <c r="E70" s="2992" t="s">
        <v>3218</v>
      </c>
      <c r="F70" s="2992" t="s">
        <v>3219</v>
      </c>
      <c r="G70" s="2993" t="s">
        <v>3297</v>
      </c>
      <c r="H70" s="2992" t="s">
        <v>3221</v>
      </c>
      <c r="I70" s="2992">
        <v>160.65</v>
      </c>
    </row>
    <row r="71" spans="1:9">
      <c r="A71" s="2992">
        <v>73</v>
      </c>
      <c r="B71" s="2992" t="s">
        <v>3222</v>
      </c>
      <c r="C71" s="2992" t="s">
        <v>3223</v>
      </c>
      <c r="D71" s="2993" t="s">
        <v>3298</v>
      </c>
      <c r="E71" s="2992" t="s">
        <v>3218</v>
      </c>
      <c r="F71" s="2992" t="s">
        <v>3219</v>
      </c>
      <c r="G71" s="2993" t="s">
        <v>3297</v>
      </c>
      <c r="H71" s="2992" t="s">
        <v>3221</v>
      </c>
      <c r="I71" s="2992">
        <v>152</v>
      </c>
    </row>
    <row r="72" spans="1:9">
      <c r="A72" s="2992">
        <v>74</v>
      </c>
      <c r="B72" s="2992" t="s">
        <v>3222</v>
      </c>
      <c r="C72" s="2992" t="s">
        <v>3223</v>
      </c>
      <c r="D72" s="2993" t="s">
        <v>3299</v>
      </c>
      <c r="E72" s="2992" t="s">
        <v>3238</v>
      </c>
      <c r="F72" s="2992" t="s">
        <v>3239</v>
      </c>
      <c r="G72" s="2993" t="s">
        <v>3300</v>
      </c>
      <c r="H72" s="2992" t="s">
        <v>3241</v>
      </c>
      <c r="I72" s="2992">
        <v>152</v>
      </c>
    </row>
    <row r="73" spans="1:9">
      <c r="A73" s="2992">
        <v>75</v>
      </c>
      <c r="B73" s="2992" t="s">
        <v>3301</v>
      </c>
      <c r="C73" s="2992" t="s">
        <v>3302</v>
      </c>
      <c r="D73" s="2993" t="s">
        <v>3303</v>
      </c>
      <c r="E73" s="2992" t="s">
        <v>3238</v>
      </c>
      <c r="F73" s="2992" t="s">
        <v>3239</v>
      </c>
      <c r="G73" s="2993" t="s">
        <v>3300</v>
      </c>
      <c r="H73" s="2992" t="s">
        <v>3241</v>
      </c>
      <c r="I73" s="2992">
        <v>152</v>
      </c>
    </row>
    <row r="74" spans="1:9">
      <c r="A74" s="2992">
        <v>76</v>
      </c>
      <c r="B74" s="2992" t="s">
        <v>3301</v>
      </c>
      <c r="C74" s="2992" t="s">
        <v>3302</v>
      </c>
      <c r="D74" s="2993" t="s">
        <v>3304</v>
      </c>
      <c r="E74" s="2992" t="s">
        <v>3238</v>
      </c>
      <c r="F74" s="2992" t="s">
        <v>3239</v>
      </c>
      <c r="G74" s="2993" t="s">
        <v>3300</v>
      </c>
      <c r="H74" s="2992" t="s">
        <v>3241</v>
      </c>
      <c r="I74" s="2992">
        <v>152</v>
      </c>
    </row>
    <row r="75" spans="1:9">
      <c r="A75" s="2992">
        <v>77</v>
      </c>
      <c r="B75" s="2992" t="s">
        <v>3301</v>
      </c>
      <c r="C75" s="2992" t="s">
        <v>3302</v>
      </c>
      <c r="D75" s="2993" t="s">
        <v>3305</v>
      </c>
      <c r="E75" s="2992" t="s">
        <v>3238</v>
      </c>
      <c r="F75" s="2992" t="s">
        <v>3239</v>
      </c>
      <c r="G75" s="2993" t="s">
        <v>3300</v>
      </c>
      <c r="H75" s="2992" t="s">
        <v>3241</v>
      </c>
      <c r="I75" s="2992">
        <v>208.31</v>
      </c>
    </row>
    <row r="76" spans="1:9">
      <c r="A76" s="2992">
        <v>78</v>
      </c>
      <c r="B76" s="2992" t="s">
        <v>3301</v>
      </c>
      <c r="C76" s="2992" t="s">
        <v>3302</v>
      </c>
      <c r="D76" s="2993" t="s">
        <v>3306</v>
      </c>
      <c r="E76" s="2992" t="s">
        <v>3238</v>
      </c>
      <c r="F76" s="2992" t="s">
        <v>3239</v>
      </c>
      <c r="G76" s="2993" t="s">
        <v>3300</v>
      </c>
      <c r="H76" s="2992" t="s">
        <v>3241</v>
      </c>
      <c r="I76" s="2992">
        <v>222.93</v>
      </c>
    </row>
    <row r="77" spans="1:9">
      <c r="A77" s="2992">
        <v>79</v>
      </c>
      <c r="B77" s="2992" t="s">
        <v>3301</v>
      </c>
      <c r="C77" s="2992" t="s">
        <v>3302</v>
      </c>
      <c r="D77" s="2993" t="s">
        <v>3307</v>
      </c>
      <c r="E77" s="2992" t="s">
        <v>3238</v>
      </c>
      <c r="F77" s="2992" t="s">
        <v>3239</v>
      </c>
      <c r="G77" s="2993" t="s">
        <v>3300</v>
      </c>
      <c r="H77" s="2992" t="s">
        <v>3241</v>
      </c>
      <c r="I77" s="2992">
        <v>152.03</v>
      </c>
    </row>
    <row r="78" spans="1:9">
      <c r="A78" s="2992">
        <v>80</v>
      </c>
      <c r="B78" s="2992" t="s">
        <v>3301</v>
      </c>
      <c r="C78" s="2992" t="s">
        <v>3302</v>
      </c>
      <c r="D78" s="2993" t="s">
        <v>3308</v>
      </c>
      <c r="E78" s="2992" t="s">
        <v>3238</v>
      </c>
      <c r="F78" s="2992" t="s">
        <v>3239</v>
      </c>
      <c r="G78" s="2993" t="s">
        <v>3300</v>
      </c>
      <c r="H78" s="2992" t="s">
        <v>3241</v>
      </c>
      <c r="I78" s="2992">
        <v>116.9</v>
      </c>
    </row>
    <row r="79" spans="1:9">
      <c r="A79" s="2992">
        <v>82</v>
      </c>
      <c r="B79" s="2992" t="s">
        <v>3301</v>
      </c>
      <c r="C79" s="2992" t="s">
        <v>3302</v>
      </c>
      <c r="D79" s="2993" t="s">
        <v>3311</v>
      </c>
      <c r="E79" s="2992" t="s">
        <v>3238</v>
      </c>
      <c r="F79" s="2992" t="s">
        <v>3239</v>
      </c>
      <c r="G79" s="2993" t="s">
        <v>3312</v>
      </c>
      <c r="H79" s="2992" t="s">
        <v>3241</v>
      </c>
      <c r="I79" s="2992">
        <v>160.65</v>
      </c>
    </row>
    <row r="80" spans="1:9">
      <c r="A80" s="2992">
        <v>83</v>
      </c>
      <c r="B80" s="2992" t="s">
        <v>3301</v>
      </c>
      <c r="C80" s="2992" t="s">
        <v>3302</v>
      </c>
      <c r="D80" s="2993" t="s">
        <v>3313</v>
      </c>
      <c r="E80" s="2992" t="s">
        <v>3238</v>
      </c>
      <c r="F80" s="2992" t="s">
        <v>3239</v>
      </c>
      <c r="G80" s="2993" t="s">
        <v>3312</v>
      </c>
      <c r="H80" s="2992" t="s">
        <v>3241</v>
      </c>
      <c r="I80" s="2992">
        <v>152</v>
      </c>
    </row>
    <row r="81" spans="1:9">
      <c r="A81" s="2992">
        <v>84</v>
      </c>
      <c r="B81" s="2992" t="s">
        <v>3301</v>
      </c>
      <c r="C81" s="2992" t="s">
        <v>3302</v>
      </c>
      <c r="D81" s="2993" t="s">
        <v>3314</v>
      </c>
      <c r="E81" s="2992" t="s">
        <v>3238</v>
      </c>
      <c r="F81" s="2992" t="s">
        <v>3239</v>
      </c>
      <c r="G81" s="2993" t="s">
        <v>3312</v>
      </c>
      <c r="H81" s="2992" t="s">
        <v>3241</v>
      </c>
      <c r="I81" s="2992">
        <v>152</v>
      </c>
    </row>
    <row r="82" spans="1:9">
      <c r="A82" s="2992">
        <v>85</v>
      </c>
      <c r="B82" s="2992" t="s">
        <v>3301</v>
      </c>
      <c r="C82" s="2992" t="s">
        <v>3302</v>
      </c>
      <c r="D82" s="2993" t="s">
        <v>3315</v>
      </c>
      <c r="E82" s="2992" t="s">
        <v>3238</v>
      </c>
      <c r="F82" s="2992" t="s">
        <v>3239</v>
      </c>
      <c r="G82" s="2993" t="s">
        <v>3312</v>
      </c>
      <c r="H82" s="2992" t="s">
        <v>3241</v>
      </c>
      <c r="I82" s="2992">
        <v>152</v>
      </c>
    </row>
    <row r="83" spans="1:9">
      <c r="A83" s="2992">
        <v>86</v>
      </c>
      <c r="B83" s="2992" t="s">
        <v>3301</v>
      </c>
      <c r="C83" s="2992" t="s">
        <v>3302</v>
      </c>
      <c r="D83" s="2993" t="s">
        <v>3316</v>
      </c>
      <c r="E83" s="2992" t="s">
        <v>3238</v>
      </c>
      <c r="F83" s="2992" t="s">
        <v>3239</v>
      </c>
      <c r="G83" s="2993" t="s">
        <v>3312</v>
      </c>
      <c r="H83" s="2992" t="s">
        <v>3241</v>
      </c>
      <c r="I83" s="2992">
        <v>152</v>
      </c>
    </row>
    <row r="84" spans="1:9">
      <c r="A84" s="2992">
        <v>87</v>
      </c>
      <c r="B84" s="2992" t="s">
        <v>3301</v>
      </c>
      <c r="C84" s="2992" t="s">
        <v>3302</v>
      </c>
      <c r="D84" s="2993" t="s">
        <v>3317</v>
      </c>
      <c r="E84" s="2992" t="s">
        <v>3238</v>
      </c>
      <c r="F84" s="2992" t="s">
        <v>3239</v>
      </c>
      <c r="G84" s="2993" t="s">
        <v>3312</v>
      </c>
      <c r="H84" s="2992" t="s">
        <v>3241</v>
      </c>
      <c r="I84" s="2992">
        <v>208.31</v>
      </c>
    </row>
    <row r="85" spans="1:9">
      <c r="A85" s="2992">
        <v>88</v>
      </c>
      <c r="B85" s="2992" t="s">
        <v>3301</v>
      </c>
      <c r="C85" s="2992" t="s">
        <v>3302</v>
      </c>
      <c r="D85" s="2993" t="s">
        <v>3318</v>
      </c>
      <c r="E85" s="2992" t="s">
        <v>3238</v>
      </c>
      <c r="F85" s="2992" t="s">
        <v>3239</v>
      </c>
      <c r="G85" s="2993" t="s">
        <v>3312</v>
      </c>
      <c r="H85" s="2992" t="s">
        <v>3241</v>
      </c>
      <c r="I85" s="2992">
        <v>222.93</v>
      </c>
    </row>
    <row r="86" spans="1:9">
      <c r="A86" s="2992">
        <v>89</v>
      </c>
      <c r="B86" s="2992" t="s">
        <v>3301</v>
      </c>
      <c r="C86" s="2992" t="s">
        <v>3302</v>
      </c>
      <c r="D86" s="2993" t="s">
        <v>3319</v>
      </c>
      <c r="E86" s="2992" t="s">
        <v>3238</v>
      </c>
      <c r="F86" s="2992" t="s">
        <v>3239</v>
      </c>
      <c r="G86" s="2993" t="s">
        <v>3312</v>
      </c>
      <c r="H86" s="2992" t="s">
        <v>3241</v>
      </c>
      <c r="I86" s="2992">
        <v>152.03</v>
      </c>
    </row>
    <row r="87" spans="1:9">
      <c r="A87" s="2992">
        <v>90</v>
      </c>
      <c r="B87" s="2992" t="s">
        <v>3301</v>
      </c>
      <c r="C87" s="2992" t="s">
        <v>3302</v>
      </c>
      <c r="D87" s="2993" t="s">
        <v>3320</v>
      </c>
      <c r="E87" s="2992" t="s">
        <v>3218</v>
      </c>
      <c r="F87" s="2992" t="s">
        <v>3219</v>
      </c>
      <c r="G87" s="2993" t="s">
        <v>3321</v>
      </c>
      <c r="H87" s="2992" t="s">
        <v>3221</v>
      </c>
      <c r="I87" s="2992">
        <v>116.9</v>
      </c>
    </row>
    <row r="88" spans="1:9">
      <c r="A88" s="2992">
        <v>92</v>
      </c>
      <c r="B88" s="2992" t="s">
        <v>3222</v>
      </c>
      <c r="C88" s="2992" t="s">
        <v>3223</v>
      </c>
      <c r="D88" s="2993" t="s">
        <v>3324</v>
      </c>
      <c r="E88" s="2992" t="s">
        <v>3218</v>
      </c>
      <c r="F88" s="2992" t="s">
        <v>3219</v>
      </c>
      <c r="G88" s="2993" t="s">
        <v>3325</v>
      </c>
      <c r="H88" s="2992" t="s">
        <v>3221</v>
      </c>
      <c r="I88" s="2992">
        <v>160.65</v>
      </c>
    </row>
    <row r="89" spans="1:9">
      <c r="A89" s="2992">
        <v>93</v>
      </c>
      <c r="B89" s="2992" t="s">
        <v>3222</v>
      </c>
      <c r="C89" s="2992" t="s">
        <v>3223</v>
      </c>
      <c r="D89" s="2993" t="s">
        <v>3326</v>
      </c>
      <c r="E89" s="2992" t="s">
        <v>3218</v>
      </c>
      <c r="F89" s="2992" t="s">
        <v>3219</v>
      </c>
      <c r="G89" s="2993" t="s">
        <v>3325</v>
      </c>
      <c r="H89" s="2992" t="s">
        <v>3221</v>
      </c>
      <c r="I89" s="2992">
        <v>152</v>
      </c>
    </row>
    <row r="90" spans="1:9">
      <c r="A90" s="2992">
        <v>94</v>
      </c>
      <c r="B90" s="2992" t="s">
        <v>3222</v>
      </c>
      <c r="C90" s="2992" t="s">
        <v>3223</v>
      </c>
      <c r="D90" s="2993" t="s">
        <v>3327</v>
      </c>
      <c r="E90" s="2992" t="s">
        <v>3218</v>
      </c>
      <c r="F90" s="2992" t="s">
        <v>3219</v>
      </c>
      <c r="G90" s="2993" t="s">
        <v>3325</v>
      </c>
      <c r="H90" s="2992" t="s">
        <v>3221</v>
      </c>
      <c r="I90" s="2992">
        <v>152</v>
      </c>
    </row>
    <row r="91" spans="1:9">
      <c r="A91" s="2992">
        <v>95</v>
      </c>
      <c r="B91" s="2992" t="s">
        <v>3222</v>
      </c>
      <c r="C91" s="2992" t="s">
        <v>3223</v>
      </c>
      <c r="D91" s="2993" t="s">
        <v>3328</v>
      </c>
      <c r="E91" s="2992" t="s">
        <v>3218</v>
      </c>
      <c r="F91" s="2992" t="s">
        <v>3219</v>
      </c>
      <c r="G91" s="2993" t="s">
        <v>3325</v>
      </c>
      <c r="H91" s="2992" t="s">
        <v>3221</v>
      </c>
      <c r="I91" s="2992">
        <v>152</v>
      </c>
    </row>
    <row r="92" spans="1:9">
      <c r="A92" s="2992">
        <v>96</v>
      </c>
      <c r="B92" s="2992" t="s">
        <v>3222</v>
      </c>
      <c r="C92" s="2992" t="s">
        <v>3223</v>
      </c>
      <c r="D92" s="2993" t="s">
        <v>3329</v>
      </c>
      <c r="E92" s="2992" t="s">
        <v>3218</v>
      </c>
      <c r="F92" s="2992" t="s">
        <v>3219</v>
      </c>
      <c r="G92" s="2993" t="s">
        <v>3325</v>
      </c>
      <c r="H92" s="2992" t="s">
        <v>3221</v>
      </c>
      <c r="I92" s="2992">
        <v>152</v>
      </c>
    </row>
    <row r="93" spans="1:9">
      <c r="A93" s="2992">
        <v>97</v>
      </c>
      <c r="B93" s="2992" t="s">
        <v>3222</v>
      </c>
      <c r="C93" s="2992" t="s">
        <v>3223</v>
      </c>
      <c r="D93" s="2993" t="s">
        <v>3330</v>
      </c>
      <c r="E93" s="2992" t="s">
        <v>3218</v>
      </c>
      <c r="F93" s="2992" t="s">
        <v>3219</v>
      </c>
      <c r="G93" s="2993" t="s">
        <v>3325</v>
      </c>
      <c r="H93" s="2992" t="s">
        <v>3221</v>
      </c>
      <c r="I93" s="2992">
        <v>208.31</v>
      </c>
    </row>
    <row r="94" spans="1:9">
      <c r="A94" s="2992">
        <v>98</v>
      </c>
      <c r="B94" s="2992" t="s">
        <v>3222</v>
      </c>
      <c r="C94" s="2992" t="s">
        <v>3223</v>
      </c>
      <c r="D94" s="2993" t="s">
        <v>3331</v>
      </c>
      <c r="E94" s="2992" t="s">
        <v>3218</v>
      </c>
      <c r="F94" s="2992" t="s">
        <v>3219</v>
      </c>
      <c r="G94" s="2993" t="s">
        <v>3325</v>
      </c>
      <c r="H94" s="2992" t="s">
        <v>3221</v>
      </c>
      <c r="I94" s="2992">
        <v>222.93</v>
      </c>
    </row>
    <row r="95" spans="1:9">
      <c r="A95" s="2992">
        <v>99</v>
      </c>
      <c r="B95" s="2992" t="s">
        <v>3222</v>
      </c>
      <c r="C95" s="2992" t="s">
        <v>3223</v>
      </c>
      <c r="D95" s="2993" t="s">
        <v>3332</v>
      </c>
      <c r="E95" s="2992" t="s">
        <v>3218</v>
      </c>
      <c r="F95" s="2992" t="s">
        <v>3219</v>
      </c>
      <c r="G95" s="2993" t="s">
        <v>3325</v>
      </c>
      <c r="H95" s="2992" t="s">
        <v>3221</v>
      </c>
      <c r="I95" s="2992">
        <v>152.03</v>
      </c>
    </row>
    <row r="96" spans="1:9">
      <c r="A96" s="2992">
        <v>100</v>
      </c>
      <c r="B96" s="2992" t="s">
        <v>3222</v>
      </c>
      <c r="C96" s="2992" t="s">
        <v>3223</v>
      </c>
      <c r="D96" s="2993" t="s">
        <v>3333</v>
      </c>
      <c r="E96" s="2992" t="s">
        <v>3218</v>
      </c>
      <c r="F96" s="2992" t="s">
        <v>3219</v>
      </c>
      <c r="G96" s="2993" t="s">
        <v>3325</v>
      </c>
      <c r="H96" s="2992" t="s">
        <v>3221</v>
      </c>
      <c r="I96" s="2992">
        <v>116.9</v>
      </c>
    </row>
    <row r="97" spans="1:9">
      <c r="A97" s="2992">
        <v>102</v>
      </c>
      <c r="B97" s="2992" t="s">
        <v>3222</v>
      </c>
      <c r="C97" s="2992" t="s">
        <v>3223</v>
      </c>
      <c r="D97" s="2993" t="s">
        <v>3336</v>
      </c>
      <c r="E97" s="2992" t="s">
        <v>3218</v>
      </c>
      <c r="F97" s="2992" t="s">
        <v>3219</v>
      </c>
      <c r="G97" s="2993" t="s">
        <v>3337</v>
      </c>
      <c r="H97" s="2992" t="s">
        <v>3221</v>
      </c>
      <c r="I97" s="2992">
        <v>160.65</v>
      </c>
    </row>
    <row r="98" spans="1:9">
      <c r="A98" s="2992">
        <v>103</v>
      </c>
      <c r="B98" s="2992" t="s">
        <v>3222</v>
      </c>
      <c r="C98" s="2992" t="s">
        <v>3223</v>
      </c>
      <c r="D98" s="2993" t="s">
        <v>3338</v>
      </c>
      <c r="E98" s="2992" t="s">
        <v>3218</v>
      </c>
      <c r="F98" s="2992" t="s">
        <v>3219</v>
      </c>
      <c r="G98" s="2993" t="s">
        <v>3337</v>
      </c>
      <c r="H98" s="2992" t="s">
        <v>3221</v>
      </c>
      <c r="I98" s="2992">
        <v>152</v>
      </c>
    </row>
    <row r="99" spans="1:9">
      <c r="A99" s="2992">
        <v>104</v>
      </c>
      <c r="B99" s="2992" t="s">
        <v>3222</v>
      </c>
      <c r="C99" s="2992" t="s">
        <v>3223</v>
      </c>
      <c r="D99" s="2993" t="s">
        <v>3339</v>
      </c>
      <c r="E99" s="2992" t="s">
        <v>3218</v>
      </c>
      <c r="F99" s="2992" t="s">
        <v>3219</v>
      </c>
      <c r="G99" s="2993" t="s">
        <v>3337</v>
      </c>
      <c r="H99" s="2992" t="s">
        <v>3221</v>
      </c>
      <c r="I99" s="2992">
        <v>152</v>
      </c>
    </row>
    <row r="100" spans="1:9">
      <c r="A100" s="2992">
        <v>105</v>
      </c>
      <c r="B100" s="2992" t="s">
        <v>3222</v>
      </c>
      <c r="C100" s="2992" t="s">
        <v>3223</v>
      </c>
      <c r="D100" s="2993" t="s">
        <v>3340</v>
      </c>
      <c r="E100" s="2992" t="s">
        <v>3218</v>
      </c>
      <c r="F100" s="2992" t="s">
        <v>3219</v>
      </c>
      <c r="G100" s="2993" t="s">
        <v>3337</v>
      </c>
      <c r="H100" s="2992" t="s">
        <v>3221</v>
      </c>
      <c r="I100" s="2992">
        <v>152</v>
      </c>
    </row>
    <row r="101" spans="1:9">
      <c r="A101" s="2992">
        <v>106</v>
      </c>
      <c r="B101" s="2992" t="s">
        <v>3222</v>
      </c>
      <c r="C101" s="2992" t="s">
        <v>3223</v>
      </c>
      <c r="D101" s="2993" t="s">
        <v>3341</v>
      </c>
      <c r="E101" s="2992" t="s">
        <v>3218</v>
      </c>
      <c r="F101" s="2992" t="s">
        <v>3219</v>
      </c>
      <c r="G101" s="2993" t="s">
        <v>3337</v>
      </c>
      <c r="H101" s="2992" t="s">
        <v>3221</v>
      </c>
      <c r="I101" s="2992">
        <v>152</v>
      </c>
    </row>
    <row r="102" spans="1:9">
      <c r="A102" s="2992">
        <v>107</v>
      </c>
      <c r="B102" s="2992" t="s">
        <v>3222</v>
      </c>
      <c r="C102" s="2992" t="s">
        <v>3223</v>
      </c>
      <c r="D102" s="2993" t="s">
        <v>3342</v>
      </c>
      <c r="E102" s="2992" t="s">
        <v>3218</v>
      </c>
      <c r="F102" s="2992" t="s">
        <v>3219</v>
      </c>
      <c r="G102" s="2993" t="s">
        <v>3337</v>
      </c>
      <c r="H102" s="2992" t="s">
        <v>3221</v>
      </c>
      <c r="I102" s="2992">
        <v>208.31</v>
      </c>
    </row>
    <row r="103" spans="1:9">
      <c r="A103" s="2992">
        <v>108</v>
      </c>
      <c r="B103" s="2992" t="s">
        <v>3222</v>
      </c>
      <c r="C103" s="2992" t="s">
        <v>3223</v>
      </c>
      <c r="D103" s="2993" t="s">
        <v>3343</v>
      </c>
      <c r="E103" s="2992" t="s">
        <v>3218</v>
      </c>
      <c r="F103" s="2992" t="s">
        <v>3219</v>
      </c>
      <c r="G103" s="2993" t="s">
        <v>3337</v>
      </c>
      <c r="H103" s="2992" t="s">
        <v>3221</v>
      </c>
      <c r="I103" s="2992">
        <v>222.93</v>
      </c>
    </row>
    <row r="104" spans="1:9">
      <c r="A104" s="2992">
        <v>109</v>
      </c>
      <c r="B104" s="2992" t="s">
        <v>3222</v>
      </c>
      <c r="C104" s="2992" t="s">
        <v>3223</v>
      </c>
      <c r="D104" s="2993" t="s">
        <v>3344</v>
      </c>
      <c r="E104" s="2992" t="s">
        <v>3218</v>
      </c>
      <c r="F104" s="2992" t="s">
        <v>3219</v>
      </c>
      <c r="G104" s="2993" t="s">
        <v>3337</v>
      </c>
      <c r="H104" s="2992" t="s">
        <v>3221</v>
      </c>
      <c r="I104" s="2992">
        <v>152.03</v>
      </c>
    </row>
    <row r="105" spans="1:9">
      <c r="A105" s="2992">
        <v>110</v>
      </c>
      <c r="B105" s="2992" t="s">
        <v>3222</v>
      </c>
      <c r="C105" s="2992" t="s">
        <v>3223</v>
      </c>
      <c r="D105" s="2993" t="s">
        <v>3345</v>
      </c>
      <c r="E105" s="2992" t="s">
        <v>3218</v>
      </c>
      <c r="F105" s="2992" t="s">
        <v>3219</v>
      </c>
      <c r="G105" s="2993" t="s">
        <v>3337</v>
      </c>
      <c r="H105" s="2992" t="s">
        <v>3221</v>
      </c>
      <c r="I105" s="2992">
        <v>116.9</v>
      </c>
    </row>
    <row r="106" spans="1:9">
      <c r="A106" s="2992">
        <v>112</v>
      </c>
      <c r="B106" s="2992" t="s">
        <v>3222</v>
      </c>
      <c r="C106" s="2992" t="s">
        <v>3223</v>
      </c>
      <c r="D106" s="2993" t="s">
        <v>3348</v>
      </c>
      <c r="E106" s="2992" t="s">
        <v>3218</v>
      </c>
      <c r="F106" s="2992" t="s">
        <v>3219</v>
      </c>
      <c r="G106" s="2993" t="s">
        <v>3349</v>
      </c>
      <c r="H106" s="2992" t="s">
        <v>3221</v>
      </c>
      <c r="I106" s="2992">
        <v>160.65</v>
      </c>
    </row>
    <row r="107" spans="1:9">
      <c r="A107" s="2992">
        <v>113</v>
      </c>
      <c r="B107" s="2992" t="s">
        <v>3222</v>
      </c>
      <c r="C107" s="2992" t="s">
        <v>3223</v>
      </c>
      <c r="D107" s="2993" t="s">
        <v>3350</v>
      </c>
      <c r="E107" s="2992" t="s">
        <v>3218</v>
      </c>
      <c r="F107" s="2992" t="s">
        <v>3219</v>
      </c>
      <c r="G107" s="2993" t="s">
        <v>3349</v>
      </c>
      <c r="H107" s="2992" t="s">
        <v>3221</v>
      </c>
      <c r="I107" s="2992">
        <v>152</v>
      </c>
    </row>
    <row r="108" spans="1:9">
      <c r="A108" s="2992">
        <v>114</v>
      </c>
      <c r="B108" s="2992" t="s">
        <v>3222</v>
      </c>
      <c r="C108" s="2992" t="s">
        <v>3223</v>
      </c>
      <c r="D108" s="2993" t="s">
        <v>3351</v>
      </c>
      <c r="E108" s="2992" t="s">
        <v>3218</v>
      </c>
      <c r="F108" s="2992" t="s">
        <v>3219</v>
      </c>
      <c r="G108" s="2993" t="s">
        <v>3349</v>
      </c>
      <c r="H108" s="2992" t="s">
        <v>3221</v>
      </c>
      <c r="I108" s="2992">
        <v>152</v>
      </c>
    </row>
    <row r="109" spans="1:9">
      <c r="A109" s="2992">
        <v>115</v>
      </c>
      <c r="B109" s="2992" t="s">
        <v>3222</v>
      </c>
      <c r="C109" s="2992" t="s">
        <v>3223</v>
      </c>
      <c r="D109" s="2993" t="s">
        <v>3352</v>
      </c>
      <c r="E109" s="2992" t="s">
        <v>3218</v>
      </c>
      <c r="F109" s="2992" t="s">
        <v>3219</v>
      </c>
      <c r="G109" s="2993" t="s">
        <v>3349</v>
      </c>
      <c r="H109" s="2992" t="s">
        <v>3221</v>
      </c>
      <c r="I109" s="2992">
        <v>152</v>
      </c>
    </row>
    <row r="110" spans="1:9">
      <c r="A110" s="2992">
        <v>116</v>
      </c>
      <c r="B110" s="2992" t="s">
        <v>3222</v>
      </c>
      <c r="C110" s="2992" t="s">
        <v>3223</v>
      </c>
      <c r="D110" s="2993" t="s">
        <v>3353</v>
      </c>
      <c r="E110" s="2992" t="s">
        <v>3218</v>
      </c>
      <c r="F110" s="2992" t="s">
        <v>3219</v>
      </c>
      <c r="G110" s="2993" t="s">
        <v>3349</v>
      </c>
      <c r="H110" s="2992" t="s">
        <v>3221</v>
      </c>
      <c r="I110" s="2992">
        <v>152</v>
      </c>
    </row>
    <row r="111" spans="1:9">
      <c r="A111" s="2992">
        <v>117</v>
      </c>
      <c r="B111" s="2992" t="s">
        <v>3222</v>
      </c>
      <c r="C111" s="2992" t="s">
        <v>3223</v>
      </c>
      <c r="D111" s="2993" t="s">
        <v>3354</v>
      </c>
      <c r="E111" s="2992" t="s">
        <v>3218</v>
      </c>
      <c r="F111" s="2992" t="s">
        <v>3219</v>
      </c>
      <c r="G111" s="2993" t="s">
        <v>3349</v>
      </c>
      <c r="H111" s="2992" t="s">
        <v>3221</v>
      </c>
      <c r="I111" s="2992">
        <v>208.31</v>
      </c>
    </row>
    <row r="112" spans="1:9">
      <c r="A112" s="2992">
        <v>118</v>
      </c>
      <c r="B112" s="2992" t="s">
        <v>3222</v>
      </c>
      <c r="C112" s="2992" t="s">
        <v>3223</v>
      </c>
      <c r="D112" s="2993" t="s">
        <v>3355</v>
      </c>
      <c r="E112" s="2992" t="s">
        <v>3218</v>
      </c>
      <c r="F112" s="2992" t="s">
        <v>3219</v>
      </c>
      <c r="G112" s="2993" t="s">
        <v>3349</v>
      </c>
      <c r="H112" s="2992" t="s">
        <v>3221</v>
      </c>
      <c r="I112" s="2992">
        <v>222.93</v>
      </c>
    </row>
    <row r="113" spans="1:10">
      <c r="A113" s="2992">
        <v>119</v>
      </c>
      <c r="B113" s="2992" t="s">
        <v>3222</v>
      </c>
      <c r="C113" s="2992" t="s">
        <v>3223</v>
      </c>
      <c r="D113" s="2993" t="s">
        <v>3356</v>
      </c>
      <c r="E113" s="2992" t="s">
        <v>3218</v>
      </c>
      <c r="F113" s="2992" t="s">
        <v>3219</v>
      </c>
      <c r="G113" s="2993" t="s">
        <v>3349</v>
      </c>
      <c r="H113" s="2992" t="s">
        <v>3221</v>
      </c>
      <c r="I113" s="2992">
        <v>152.03</v>
      </c>
    </row>
    <row r="114" spans="1:10">
      <c r="A114" s="2992">
        <v>120</v>
      </c>
      <c r="B114" s="2992" t="s">
        <v>3222</v>
      </c>
      <c r="C114" s="2992" t="s">
        <v>3223</v>
      </c>
      <c r="D114" s="2993" t="s">
        <v>3357</v>
      </c>
      <c r="E114" s="2992" t="s">
        <v>3218</v>
      </c>
      <c r="F114" s="2992" t="s">
        <v>3219</v>
      </c>
      <c r="G114" s="2993" t="s">
        <v>3349</v>
      </c>
      <c r="H114" s="2992" t="s">
        <v>3221</v>
      </c>
      <c r="I114" s="2992">
        <v>116.9</v>
      </c>
      <c r="J114" s="3004"/>
    </row>
    <row r="115" spans="1:10">
      <c r="A115" s="2995">
        <v>1</v>
      </c>
      <c r="B115" s="2995" t="s">
        <v>3183</v>
      </c>
      <c r="C115" s="2995" t="s">
        <v>3184</v>
      </c>
      <c r="D115" s="2996" t="s">
        <v>3185</v>
      </c>
      <c r="E115" s="2995" t="s">
        <v>3186</v>
      </c>
      <c r="F115" s="2995" t="s">
        <v>3187</v>
      </c>
      <c r="G115" s="2996" t="s">
        <v>3188</v>
      </c>
      <c r="H115" s="2995" t="s">
        <v>3189</v>
      </c>
      <c r="I115" s="2995">
        <v>5960.53</v>
      </c>
    </row>
    <row r="116" spans="1:10">
      <c r="A116" s="2995">
        <v>2</v>
      </c>
      <c r="B116" s="2995" t="s">
        <v>3183</v>
      </c>
      <c r="C116" s="2995" t="s">
        <v>3184</v>
      </c>
      <c r="D116" s="2996" t="s">
        <v>3190</v>
      </c>
      <c r="E116" s="2995" t="s">
        <v>3186</v>
      </c>
      <c r="F116" s="2995" t="s">
        <v>3187</v>
      </c>
      <c r="G116" s="2996" t="s">
        <v>3188</v>
      </c>
      <c r="H116" s="2995" t="s">
        <v>3189</v>
      </c>
      <c r="I116" s="2995">
        <v>2831.2</v>
      </c>
    </row>
    <row r="117" spans="1:10">
      <c r="A117" s="2995">
        <v>3</v>
      </c>
      <c r="B117" s="2995" t="s">
        <v>3183</v>
      </c>
      <c r="C117" s="2995" t="s">
        <v>3184</v>
      </c>
      <c r="D117" s="2996" t="s">
        <v>3191</v>
      </c>
      <c r="E117" s="2995" t="s">
        <v>3186</v>
      </c>
      <c r="F117" s="2995" t="s">
        <v>3187</v>
      </c>
      <c r="G117" s="2996" t="s">
        <v>3188</v>
      </c>
      <c r="H117" s="2995" t="s">
        <v>3189</v>
      </c>
      <c r="I117" s="2995">
        <v>973.41</v>
      </c>
    </row>
    <row r="118" spans="1:10">
      <c r="A118" s="2995">
        <v>5</v>
      </c>
      <c r="B118" s="2995" t="s">
        <v>3183</v>
      </c>
      <c r="C118" s="2995" t="s">
        <v>3184</v>
      </c>
      <c r="D118" s="2996" t="s">
        <v>3197</v>
      </c>
      <c r="E118" s="2995" t="s">
        <v>3186</v>
      </c>
      <c r="F118" s="2995" t="s">
        <v>3198</v>
      </c>
      <c r="G118" s="2996" t="s">
        <v>3199</v>
      </c>
      <c r="H118" s="2995" t="s">
        <v>3189</v>
      </c>
      <c r="I118" s="2995">
        <v>8925.85</v>
      </c>
    </row>
    <row r="119" spans="1:10">
      <c r="A119" s="2995">
        <v>6</v>
      </c>
      <c r="B119" s="2995" t="s">
        <v>3183</v>
      </c>
      <c r="C119" s="2995" t="s">
        <v>3184</v>
      </c>
      <c r="D119" s="2996" t="s">
        <v>3200</v>
      </c>
      <c r="E119" s="2995" t="s">
        <v>3186</v>
      </c>
      <c r="F119" s="2995" t="s">
        <v>3187</v>
      </c>
      <c r="G119" s="2996" t="s">
        <v>3199</v>
      </c>
      <c r="H119" s="2995" t="s">
        <v>3189</v>
      </c>
      <c r="I119" s="2995">
        <v>1999.18</v>
      </c>
    </row>
    <row r="120" spans="1:10">
      <c r="A120" s="2995">
        <v>7</v>
      </c>
      <c r="B120" s="2995" t="s">
        <v>3183</v>
      </c>
      <c r="C120" s="2995" t="s">
        <v>3184</v>
      </c>
      <c r="D120" s="2996" t="s">
        <v>3201</v>
      </c>
      <c r="E120" s="2995" t="s">
        <v>3186</v>
      </c>
      <c r="F120" s="2995" t="s">
        <v>3187</v>
      </c>
      <c r="G120" s="2996" t="s">
        <v>3202</v>
      </c>
      <c r="H120" s="2995" t="s">
        <v>3189</v>
      </c>
      <c r="I120" s="2995">
        <v>8965.7800000000007</v>
      </c>
    </row>
    <row r="121" spans="1:10">
      <c r="A121" s="2995">
        <v>8</v>
      </c>
      <c r="B121" s="2995" t="s">
        <v>3183</v>
      </c>
      <c r="C121" s="2995" t="s">
        <v>3203</v>
      </c>
      <c r="D121" s="2996" t="s">
        <v>3204</v>
      </c>
      <c r="E121" s="2995" t="s">
        <v>3186</v>
      </c>
      <c r="F121" s="2995" t="s">
        <v>3187</v>
      </c>
      <c r="G121" s="2996" t="s">
        <v>3202</v>
      </c>
      <c r="H121" s="2995" t="s">
        <v>3189</v>
      </c>
      <c r="I121" s="2995">
        <v>1991.5</v>
      </c>
    </row>
    <row r="122" spans="1:10">
      <c r="A122" s="2995">
        <v>10</v>
      </c>
      <c r="B122" s="2995" t="s">
        <v>3183</v>
      </c>
      <c r="C122" s="2995" t="s">
        <v>3184</v>
      </c>
      <c r="D122" s="2996" t="s">
        <v>3209</v>
      </c>
      <c r="E122" s="2995" t="s">
        <v>3186</v>
      </c>
      <c r="F122" s="2995" t="s">
        <v>3187</v>
      </c>
      <c r="G122" s="2996" t="s">
        <v>3208</v>
      </c>
      <c r="H122" s="2995" t="s">
        <v>3189</v>
      </c>
      <c r="I122" s="2995">
        <v>10095.84</v>
      </c>
    </row>
    <row r="123" spans="1:10">
      <c r="A123" s="2997">
        <v>122</v>
      </c>
      <c r="B123" s="2997" t="s">
        <v>3183</v>
      </c>
      <c r="C123" s="2997" t="s">
        <v>3362</v>
      </c>
      <c r="D123" s="2998" t="s">
        <v>3363</v>
      </c>
      <c r="E123" s="2997" t="s">
        <v>3218</v>
      </c>
      <c r="F123" s="2997" t="s">
        <v>3364</v>
      </c>
      <c r="G123" s="2998" t="s">
        <v>3359</v>
      </c>
      <c r="H123" s="2997" t="s">
        <v>3360</v>
      </c>
      <c r="I123" s="2997">
        <v>21.37</v>
      </c>
    </row>
    <row r="124" spans="1:10">
      <c r="A124" s="2997">
        <v>123</v>
      </c>
      <c r="B124" s="2997" t="s">
        <v>3361</v>
      </c>
      <c r="C124" s="2997" t="s">
        <v>3362</v>
      </c>
      <c r="D124" s="2998" t="s">
        <v>3365</v>
      </c>
      <c r="E124" s="2997" t="s">
        <v>3218</v>
      </c>
      <c r="F124" s="2997" t="s">
        <v>3364</v>
      </c>
      <c r="G124" s="2998" t="s">
        <v>3359</v>
      </c>
      <c r="H124" s="2997" t="s">
        <v>3360</v>
      </c>
      <c r="I124" s="2997">
        <v>7.56</v>
      </c>
    </row>
    <row r="125" spans="1:10">
      <c r="A125" s="2997">
        <v>124</v>
      </c>
      <c r="B125" s="2997" t="s">
        <v>3361</v>
      </c>
      <c r="C125" s="2997" t="s">
        <v>3362</v>
      </c>
      <c r="D125" s="2998" t="s">
        <v>3366</v>
      </c>
      <c r="E125" s="2997" t="s">
        <v>3218</v>
      </c>
      <c r="F125" s="2997" t="s">
        <v>3364</v>
      </c>
      <c r="G125" s="2998" t="s">
        <v>3359</v>
      </c>
      <c r="H125" s="2997" t="s">
        <v>3360</v>
      </c>
      <c r="I125" s="2997">
        <v>36.07</v>
      </c>
    </row>
    <row r="126" spans="1:10">
      <c r="A126" s="2997">
        <v>125</v>
      </c>
      <c r="B126" s="2997" t="s">
        <v>3361</v>
      </c>
      <c r="C126" s="2997" t="s">
        <v>3362</v>
      </c>
      <c r="D126" s="2998" t="s">
        <v>3367</v>
      </c>
      <c r="E126" s="2997" t="s">
        <v>3218</v>
      </c>
      <c r="F126" s="2997" t="s">
        <v>3364</v>
      </c>
      <c r="G126" s="2998" t="s">
        <v>3359</v>
      </c>
      <c r="H126" s="2997" t="s">
        <v>3360</v>
      </c>
      <c r="I126" s="2997">
        <v>21.25</v>
      </c>
    </row>
    <row r="127" spans="1:10">
      <c r="A127" s="2997">
        <v>126</v>
      </c>
      <c r="B127" s="2997" t="s">
        <v>3361</v>
      </c>
      <c r="C127" s="2997" t="s">
        <v>3362</v>
      </c>
      <c r="D127" s="2998" t="s">
        <v>3368</v>
      </c>
      <c r="E127" s="2997" t="s">
        <v>3218</v>
      </c>
      <c r="F127" s="2997" t="s">
        <v>3364</v>
      </c>
      <c r="G127" s="2998" t="s">
        <v>3359</v>
      </c>
      <c r="H127" s="2997" t="s">
        <v>3360</v>
      </c>
      <c r="I127" s="2997">
        <v>57.48</v>
      </c>
    </row>
    <row r="128" spans="1:10">
      <c r="A128" s="2997">
        <v>127</v>
      </c>
      <c r="B128" s="2997" t="s">
        <v>3361</v>
      </c>
      <c r="C128" s="2997" t="s">
        <v>3362</v>
      </c>
      <c r="D128" s="2998" t="s">
        <v>3369</v>
      </c>
      <c r="E128" s="2997" t="s">
        <v>3218</v>
      </c>
      <c r="F128" s="2997" t="s">
        <v>3364</v>
      </c>
      <c r="G128" s="2998" t="s">
        <v>3359</v>
      </c>
      <c r="H128" s="2997" t="s">
        <v>3360</v>
      </c>
      <c r="I128" s="2997">
        <v>50.19</v>
      </c>
    </row>
    <row r="129" spans="1:9">
      <c r="A129" s="2997">
        <v>128</v>
      </c>
      <c r="B129" s="2997" t="s">
        <v>3361</v>
      </c>
      <c r="C129" s="2997" t="s">
        <v>3362</v>
      </c>
      <c r="D129" s="2998" t="s">
        <v>3370</v>
      </c>
      <c r="E129" s="2997" t="s">
        <v>3218</v>
      </c>
      <c r="F129" s="2997" t="s">
        <v>3364</v>
      </c>
      <c r="G129" s="2998" t="s">
        <v>3359</v>
      </c>
      <c r="H129" s="2997" t="s">
        <v>3360</v>
      </c>
      <c r="I129" s="2997">
        <v>6828.51</v>
      </c>
    </row>
    <row r="130" spans="1:9" s="2994" customFormat="1">
      <c r="A130" s="2992">
        <v>129</v>
      </c>
      <c r="B130" s="2992" t="s">
        <v>3361</v>
      </c>
      <c r="C130" s="2992" t="s">
        <v>3362</v>
      </c>
      <c r="D130" s="2993" t="s">
        <v>3371</v>
      </c>
      <c r="E130" s="2992" t="s">
        <v>3218</v>
      </c>
      <c r="F130" s="2992" t="s">
        <v>3364</v>
      </c>
      <c r="G130" s="2993" t="s">
        <v>3359</v>
      </c>
      <c r="H130" s="2992" t="s">
        <v>3372</v>
      </c>
      <c r="I130" s="2992">
        <v>1940.16</v>
      </c>
    </row>
    <row r="131" spans="1:9">
      <c r="A131" s="2997">
        <v>130</v>
      </c>
      <c r="B131" s="2997" t="s">
        <v>3361</v>
      </c>
      <c r="C131" s="2997" t="s">
        <v>3362</v>
      </c>
      <c r="D131" s="2998" t="s">
        <v>3373</v>
      </c>
      <c r="E131" s="2997" t="s">
        <v>3218</v>
      </c>
      <c r="F131" s="2997" t="s">
        <v>3364</v>
      </c>
      <c r="G131" s="2998" t="s">
        <v>3359</v>
      </c>
      <c r="H131" s="2997" t="s">
        <v>3360</v>
      </c>
      <c r="I131" s="2997">
        <v>69.25</v>
      </c>
    </row>
    <row r="132" spans="1:9">
      <c r="A132" s="2997">
        <v>131</v>
      </c>
      <c r="B132" s="2997" t="s">
        <v>3361</v>
      </c>
      <c r="C132" s="2997" t="s">
        <v>3362</v>
      </c>
      <c r="D132" s="2998" t="s">
        <v>3374</v>
      </c>
      <c r="E132" s="2997" t="s">
        <v>3218</v>
      </c>
      <c r="F132" s="2997" t="s">
        <v>3364</v>
      </c>
      <c r="G132" s="2998" t="s">
        <v>3359</v>
      </c>
      <c r="H132" s="2997" t="s">
        <v>3360</v>
      </c>
      <c r="I132" s="2997">
        <v>48.56</v>
      </c>
    </row>
    <row r="133" spans="1:9">
      <c r="A133" s="2997">
        <v>132</v>
      </c>
      <c r="B133" s="2997" t="s">
        <v>3361</v>
      </c>
      <c r="C133" s="2997" t="s">
        <v>3362</v>
      </c>
      <c r="D133" s="2998" t="s">
        <v>3375</v>
      </c>
      <c r="E133" s="2997" t="s">
        <v>3218</v>
      </c>
      <c r="F133" s="2997" t="s">
        <v>3364</v>
      </c>
      <c r="G133" s="2998" t="s">
        <v>3359</v>
      </c>
      <c r="H133" s="2997" t="s">
        <v>3360</v>
      </c>
      <c r="I133" s="2997">
        <v>48.56</v>
      </c>
    </row>
    <row r="134" spans="1:9">
      <c r="A134" s="2997">
        <v>133</v>
      </c>
      <c r="B134" s="2997" t="s">
        <v>3361</v>
      </c>
      <c r="C134" s="2997" t="s">
        <v>3362</v>
      </c>
      <c r="D134" s="2998" t="s">
        <v>3376</v>
      </c>
      <c r="E134" s="2997" t="s">
        <v>3218</v>
      </c>
      <c r="F134" s="2997" t="s">
        <v>3364</v>
      </c>
      <c r="G134" s="2998" t="s">
        <v>3359</v>
      </c>
      <c r="H134" s="2997" t="s">
        <v>3360</v>
      </c>
      <c r="I134" s="2997">
        <v>47.76</v>
      </c>
    </row>
    <row r="135" spans="1:9">
      <c r="A135" s="2997">
        <v>134</v>
      </c>
      <c r="B135" s="2997" t="s">
        <v>3361</v>
      </c>
      <c r="C135" s="2997" t="s">
        <v>3362</v>
      </c>
      <c r="D135" s="2998" t="s">
        <v>3377</v>
      </c>
      <c r="E135" s="2997" t="s">
        <v>3218</v>
      </c>
      <c r="F135" s="2997" t="s">
        <v>3364</v>
      </c>
      <c r="G135" s="2998" t="s">
        <v>3359</v>
      </c>
      <c r="H135" s="2997" t="s">
        <v>3360</v>
      </c>
      <c r="I135" s="2997">
        <v>53.68</v>
      </c>
    </row>
    <row r="136" spans="1:9">
      <c r="A136" s="2997">
        <v>135</v>
      </c>
      <c r="B136" s="2997" t="s">
        <v>3361</v>
      </c>
      <c r="C136" s="2997" t="s">
        <v>3362</v>
      </c>
      <c r="D136" s="2998" t="s">
        <v>3378</v>
      </c>
      <c r="E136" s="2997" t="s">
        <v>3218</v>
      </c>
      <c r="F136" s="2997" t="s">
        <v>3364</v>
      </c>
      <c r="G136" s="2998" t="s">
        <v>3359</v>
      </c>
      <c r="H136" s="2997" t="s">
        <v>3360</v>
      </c>
      <c r="I136" s="2997">
        <v>53.68</v>
      </c>
    </row>
    <row r="137" spans="1:9">
      <c r="A137" s="2997">
        <v>136</v>
      </c>
      <c r="B137" s="2997" t="s">
        <v>3361</v>
      </c>
      <c r="C137" s="2997" t="s">
        <v>3362</v>
      </c>
      <c r="D137" s="2998" t="s">
        <v>3379</v>
      </c>
      <c r="E137" s="2997" t="s">
        <v>3218</v>
      </c>
      <c r="F137" s="2997" t="s">
        <v>3364</v>
      </c>
      <c r="G137" s="2998" t="s">
        <v>3359</v>
      </c>
      <c r="H137" s="2997" t="s">
        <v>3360</v>
      </c>
      <c r="I137" s="2997">
        <v>53.68</v>
      </c>
    </row>
    <row r="138" spans="1:9">
      <c r="A138" s="2997">
        <v>137</v>
      </c>
      <c r="B138" s="2997" t="s">
        <v>3361</v>
      </c>
      <c r="C138" s="2997" t="s">
        <v>3362</v>
      </c>
      <c r="D138" s="2998" t="s">
        <v>3380</v>
      </c>
      <c r="E138" s="2997" t="s">
        <v>3218</v>
      </c>
      <c r="F138" s="2997" t="s">
        <v>3364</v>
      </c>
      <c r="G138" s="2998" t="s">
        <v>3359</v>
      </c>
      <c r="H138" s="2997" t="s">
        <v>3360</v>
      </c>
      <c r="I138" s="2997">
        <v>53.68</v>
      </c>
    </row>
    <row r="139" spans="1:9">
      <c r="A139" s="2997">
        <v>138</v>
      </c>
      <c r="B139" s="2997" t="s">
        <v>3361</v>
      </c>
      <c r="C139" s="2997" t="s">
        <v>3362</v>
      </c>
      <c r="D139" s="2998" t="s">
        <v>3381</v>
      </c>
      <c r="E139" s="2997" t="s">
        <v>3218</v>
      </c>
      <c r="F139" s="2997" t="s">
        <v>3364</v>
      </c>
      <c r="G139" s="2998" t="s">
        <v>3359</v>
      </c>
      <c r="H139" s="2997" t="s">
        <v>3360</v>
      </c>
      <c r="I139" s="2997">
        <v>47.55</v>
      </c>
    </row>
    <row r="140" spans="1:9">
      <c r="A140" s="2997">
        <v>139</v>
      </c>
      <c r="B140" s="2997" t="s">
        <v>3361</v>
      </c>
      <c r="C140" s="2997" t="s">
        <v>3362</v>
      </c>
      <c r="D140" s="2998" t="s">
        <v>3382</v>
      </c>
      <c r="E140" s="2997" t="s">
        <v>3218</v>
      </c>
      <c r="F140" s="2997" t="s">
        <v>3364</v>
      </c>
      <c r="G140" s="2998" t="s">
        <v>3359</v>
      </c>
      <c r="H140" s="2997" t="s">
        <v>3360</v>
      </c>
      <c r="I140" s="2997">
        <v>54.7</v>
      </c>
    </row>
    <row r="141" spans="1:9">
      <c r="A141" s="2997">
        <v>140</v>
      </c>
      <c r="B141" s="2997" t="s">
        <v>3361</v>
      </c>
      <c r="C141" s="2997" t="s">
        <v>3362</v>
      </c>
      <c r="D141" s="2998" t="s">
        <v>3383</v>
      </c>
      <c r="E141" s="2997" t="s">
        <v>3218</v>
      </c>
      <c r="F141" s="2997" t="s">
        <v>3364</v>
      </c>
      <c r="G141" s="2998" t="s">
        <v>3384</v>
      </c>
      <c r="H141" s="2997" t="s">
        <v>3360</v>
      </c>
      <c r="I141" s="2997">
        <v>21.21</v>
      </c>
    </row>
    <row r="142" spans="1:9">
      <c r="A142" s="2997">
        <v>141</v>
      </c>
      <c r="B142" s="2997" t="s">
        <v>3361</v>
      </c>
      <c r="C142" s="2997" t="s">
        <v>3362</v>
      </c>
      <c r="D142" s="2998" t="s">
        <v>3385</v>
      </c>
      <c r="E142" s="2997" t="s">
        <v>3218</v>
      </c>
      <c r="F142" s="2997" t="s">
        <v>3364</v>
      </c>
      <c r="G142" s="2998" t="s">
        <v>3384</v>
      </c>
      <c r="H142" s="2997" t="s">
        <v>3360</v>
      </c>
      <c r="I142" s="2997">
        <v>46.3</v>
      </c>
    </row>
    <row r="143" spans="1:9">
      <c r="A143" s="2997">
        <v>142</v>
      </c>
      <c r="B143" s="2997" t="s">
        <v>3361</v>
      </c>
      <c r="C143" s="2997" t="s">
        <v>3362</v>
      </c>
      <c r="D143" s="2998" t="s">
        <v>3386</v>
      </c>
      <c r="E143" s="2997" t="s">
        <v>3218</v>
      </c>
      <c r="F143" s="2997" t="s">
        <v>3364</v>
      </c>
      <c r="G143" s="2998" t="s">
        <v>3384</v>
      </c>
      <c r="H143" s="2997" t="s">
        <v>3360</v>
      </c>
      <c r="I143" s="2997">
        <v>37.840000000000003</v>
      </c>
    </row>
    <row r="144" spans="1:9">
      <c r="A144" s="2997">
        <v>143</v>
      </c>
      <c r="B144" s="2997" t="s">
        <v>3361</v>
      </c>
      <c r="C144" s="2997" t="s">
        <v>3362</v>
      </c>
      <c r="D144" s="2998" t="s">
        <v>3387</v>
      </c>
      <c r="E144" s="2997" t="s">
        <v>3218</v>
      </c>
      <c r="F144" s="2997" t="s">
        <v>3364</v>
      </c>
      <c r="G144" s="2998" t="s">
        <v>3384</v>
      </c>
      <c r="H144" s="2997" t="s">
        <v>3360</v>
      </c>
      <c r="I144" s="2997">
        <v>50.82</v>
      </c>
    </row>
    <row r="145" spans="1:9">
      <c r="A145" s="2997">
        <v>144</v>
      </c>
      <c r="B145" s="2997" t="s">
        <v>3361</v>
      </c>
      <c r="C145" s="2997" t="s">
        <v>3362</v>
      </c>
      <c r="D145" s="2998" t="s">
        <v>3388</v>
      </c>
      <c r="E145" s="2997" t="s">
        <v>3218</v>
      </c>
      <c r="F145" s="2997" t="s">
        <v>3364</v>
      </c>
      <c r="G145" s="2998" t="s">
        <v>3384</v>
      </c>
      <c r="H145" s="2997" t="s">
        <v>3360</v>
      </c>
      <c r="I145" s="2997">
        <v>1951.24</v>
      </c>
    </row>
    <row r="146" spans="1:9">
      <c r="A146" s="2997">
        <v>145</v>
      </c>
      <c r="B146" s="2997" t="s">
        <v>3361</v>
      </c>
      <c r="C146" s="2997" t="s">
        <v>3362</v>
      </c>
      <c r="D146" s="2998" t="s">
        <v>3389</v>
      </c>
      <c r="E146" s="2997" t="s">
        <v>3218</v>
      </c>
      <c r="F146" s="2997" t="s">
        <v>3364</v>
      </c>
      <c r="G146" s="2998" t="s">
        <v>3390</v>
      </c>
      <c r="H146" s="2997" t="s">
        <v>3360</v>
      </c>
      <c r="I146" s="2997">
        <v>179.13</v>
      </c>
    </row>
    <row r="147" spans="1:9">
      <c r="A147" s="2997">
        <v>146</v>
      </c>
      <c r="B147" s="2997" t="s">
        <v>3361</v>
      </c>
      <c r="C147" s="2997" t="s">
        <v>3362</v>
      </c>
      <c r="D147" s="2998" t="s">
        <v>3391</v>
      </c>
      <c r="E147" s="2997" t="s">
        <v>3218</v>
      </c>
      <c r="F147" s="2997" t="s">
        <v>3364</v>
      </c>
      <c r="G147" s="2998" t="s">
        <v>3390</v>
      </c>
      <c r="H147" s="2997" t="s">
        <v>3360</v>
      </c>
      <c r="I147" s="2997">
        <v>21.21</v>
      </c>
    </row>
    <row r="148" spans="1:9">
      <c r="A148" s="2997">
        <v>147</v>
      </c>
      <c r="B148" s="2997" t="s">
        <v>3361</v>
      </c>
      <c r="C148" s="2997" t="s">
        <v>3362</v>
      </c>
      <c r="D148" s="2998" t="s">
        <v>3392</v>
      </c>
      <c r="E148" s="2997" t="s">
        <v>3218</v>
      </c>
      <c r="F148" s="2997" t="s">
        <v>3364</v>
      </c>
      <c r="G148" s="2998" t="s">
        <v>3390</v>
      </c>
      <c r="H148" s="2997" t="s">
        <v>3360</v>
      </c>
      <c r="I148" s="2997">
        <v>49.91</v>
      </c>
    </row>
    <row r="149" spans="1:9">
      <c r="A149" s="2997">
        <v>148</v>
      </c>
      <c r="B149" s="2997" t="s">
        <v>3361</v>
      </c>
      <c r="C149" s="2997" t="s">
        <v>3362</v>
      </c>
      <c r="D149" s="2998" t="s">
        <v>3393</v>
      </c>
      <c r="E149" s="2997" t="s">
        <v>3218</v>
      </c>
      <c r="F149" s="2997" t="s">
        <v>3364</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13">
      <c r="A161" s="2997" t="s">
        <v>3432</v>
      </c>
      <c r="B161" s="2997">
        <f>SUM(B153:B160)</f>
        <v>89988.239999999991</v>
      </c>
      <c r="C161" s="3004"/>
      <c r="D161" s="3004"/>
      <c r="E161" s="3004"/>
      <c r="F161" s="3004"/>
      <c r="G161" s="3004"/>
      <c r="H161" s="3004"/>
      <c r="I161" s="3004"/>
    </row>
    <row r="162" spans="1:13">
      <c r="A162" s="3004"/>
      <c r="B162" s="3004"/>
      <c r="C162" s="3004"/>
      <c r="D162" s="3004"/>
      <c r="E162" s="3004"/>
      <c r="F162" s="3004"/>
      <c r="G162" s="3004"/>
      <c r="H162" s="3004"/>
      <c r="I162" s="3004"/>
    </row>
    <row r="163" spans="1:13">
      <c r="A163" s="3004"/>
      <c r="B163" s="3004"/>
      <c r="C163" s="3004"/>
      <c r="D163" s="3004"/>
      <c r="E163" s="3004"/>
      <c r="F163" s="3004"/>
      <c r="G163" s="3004"/>
      <c r="H163" s="3004"/>
      <c r="I163" s="3004"/>
    </row>
    <row r="164" spans="1:13">
      <c r="A164" s="3000"/>
      <c r="B164" s="3000" t="s">
        <v>3412</v>
      </c>
      <c r="C164" s="3000" t="s">
        <v>3413</v>
      </c>
      <c r="D164" s="3000" t="s">
        <v>3414</v>
      </c>
      <c r="E164" s="3000" t="s">
        <v>3418</v>
      </c>
      <c r="F164" s="3000" t="s">
        <v>3415</v>
      </c>
      <c r="G164" s="3000" t="s">
        <v>3416</v>
      </c>
      <c r="H164" s="3000" t="s">
        <v>3426</v>
      </c>
      <c r="I164" s="3000" t="s">
        <v>3430</v>
      </c>
      <c r="L164" s="2999" t="s">
        <v>3695</v>
      </c>
      <c r="M164" s="2999" t="s">
        <v>3696</v>
      </c>
    </row>
    <row r="165" spans="1:13">
      <c r="A165" s="3000" t="s">
        <v>3417</v>
      </c>
      <c r="B165" s="3000">
        <v>1</v>
      </c>
      <c r="C165" s="3000">
        <f>B153</f>
        <v>9797.0999999999985</v>
      </c>
      <c r="D165" s="3001">
        <v>3903.57</v>
      </c>
      <c r="E165" s="3001">
        <f>C165-D165</f>
        <v>5893.5299999999988</v>
      </c>
      <c r="F165" s="3002">
        <v>1713899.0261666665</v>
      </c>
      <c r="G165" s="3003">
        <v>14.635312685282674</v>
      </c>
      <c r="H165" s="3003">
        <v>8.02</v>
      </c>
      <c r="I165" s="3003">
        <v>13</v>
      </c>
      <c r="J165" s="2999" t="s">
        <v>3427</v>
      </c>
    </row>
    <row r="166" spans="1:13">
      <c r="A166" s="3000" t="s">
        <v>3409</v>
      </c>
      <c r="B166" s="3000">
        <v>0.65</v>
      </c>
      <c r="C166" s="3000">
        <f>B154</f>
        <v>10925.03</v>
      </c>
      <c r="D166" s="3001">
        <v>11050</v>
      </c>
      <c r="E166" s="3001">
        <v>0</v>
      </c>
      <c r="F166" s="3003">
        <v>731009.43125000002</v>
      </c>
      <c r="G166" s="3003">
        <v>2.2051566553544495</v>
      </c>
      <c r="H166" s="3003"/>
      <c r="I166" s="3003">
        <f>$I$165*B166</f>
        <v>8.4500000000000011</v>
      </c>
      <c r="J166" s="2999" t="s">
        <v>3424</v>
      </c>
    </row>
    <row r="167" spans="1:13">
      <c r="A167" s="3000" t="s">
        <v>3410</v>
      </c>
      <c r="B167" s="3000">
        <v>0.55000000000000004</v>
      </c>
      <c r="C167" s="3000">
        <f>B155</f>
        <v>10957.28</v>
      </c>
      <c r="D167" s="3001">
        <v>10989.5</v>
      </c>
      <c r="E167" s="3001">
        <v>0</v>
      </c>
      <c r="F167" s="3003">
        <v>663600.43124999991</v>
      </c>
      <c r="G167" s="3003">
        <v>2.0128317371126982</v>
      </c>
      <c r="H167" s="3003"/>
      <c r="I167" s="3003">
        <f>$I$165*B167</f>
        <v>7.15</v>
      </c>
      <c r="J167" s="2999" t="s">
        <v>3428</v>
      </c>
    </row>
    <row r="168" spans="1:13">
      <c r="A168" s="3000" t="s">
        <v>3411</v>
      </c>
      <c r="B168" s="3000">
        <v>0.45</v>
      </c>
      <c r="C168" s="3000">
        <f>B156</f>
        <v>11174.07</v>
      </c>
      <c r="D168" s="3001">
        <v>4255.2</v>
      </c>
      <c r="E168" s="3001">
        <f>C168-D168</f>
        <v>6918.87</v>
      </c>
      <c r="F168" s="3002">
        <v>860742.125</v>
      </c>
      <c r="G168" s="3003">
        <v>6.7426687738923361</v>
      </c>
      <c r="H168" s="3003"/>
      <c r="I168" s="3003">
        <f>$I$165*B168</f>
        <v>5.8500000000000005</v>
      </c>
      <c r="J168" s="2999" t="s">
        <v>3425</v>
      </c>
    </row>
    <row r="169" spans="1:13">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8.48</v>
      </c>
      <c r="L169" s="2999">
        <f>ROUND(SUMPRODUCT(D165:D168,I165:I168)/SUM(D165:D168),2)</f>
        <v>8.1999999999999993</v>
      </c>
      <c r="M169" s="2999">
        <f>ROUND(SUMPRODUCT(E165:E168,I165:I168)/SUM(E165:E168),2)</f>
        <v>9.14</v>
      </c>
    </row>
    <row r="170" spans="1:13">
      <c r="D170" s="2999"/>
      <c r="G170" s="2999"/>
    </row>
    <row r="171" spans="1:13">
      <c r="D171" s="2999"/>
      <c r="G171" s="2999"/>
    </row>
    <row r="172" spans="1:13">
      <c r="B172" s="2999">
        <f>ROUND(SUMPRODUCT(C165:C168,B165:B168)/SUM(C165:C168),2)</f>
        <v>0.65</v>
      </c>
      <c r="D172" s="2999"/>
      <c r="G172" s="2999"/>
    </row>
    <row r="173" spans="1:13">
      <c r="B173" s="2999">
        <f ca="1">结果表!G20</f>
        <v>39724</v>
      </c>
    </row>
    <row r="174" spans="1:13">
      <c r="B174" s="2999">
        <f ca="1">B173/B172</f>
        <v>61113.846153846149</v>
      </c>
    </row>
  </sheetData>
  <autoFilter ref="A1:T1" xr:uid="{00000000-0009-0000-0000-000010000000}">
    <sortState ref="A2:T150">
      <sortCondition ref="C1"/>
    </sortState>
  </autoFilter>
  <phoneticPr fontId="260" type="noConversion"/>
  <pageMargins left="0.7" right="0.7" top="0.75" bottom="0.75" header="0.3" footer="0.3"/>
  <ignoredErrors>
    <ignoredError sqref="B160" formulaRange="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O23" sqref="AO23"/>
    </sheetView>
  </sheetViews>
  <sheetFormatPr defaultColWidth="13.77734375" defaultRowHeight="13.2"/>
  <cols>
    <col min="1" max="1" width="20.88671875" style="2319" customWidth="1"/>
    <col min="2" max="2" width="12" style="2249" customWidth="1"/>
    <col min="3" max="3" width="10.77734375" style="2249" customWidth="1"/>
    <col min="4" max="4" width="9.109375" style="2320" customWidth="1"/>
    <col min="5" max="5" width="15" style="2249" bestFit="1" customWidth="1"/>
    <col min="6" max="10" width="8.88671875" style="2249" customWidth="1"/>
    <col min="11" max="12" width="12.33203125" style="2164" customWidth="1"/>
    <col min="13" max="13" width="8.6640625" style="2249" customWidth="1"/>
    <col min="14" max="14" width="11.88671875" style="2249" customWidth="1"/>
    <col min="15" max="15" width="8.44140625" style="2249" customWidth="1"/>
    <col min="16" max="17" width="10.88671875" style="2249" customWidth="1"/>
    <col min="18" max="19" width="12.44140625" style="2249" customWidth="1"/>
    <col min="20" max="20" width="12.109375" style="2249" customWidth="1"/>
    <col min="21" max="21" width="7.44140625" style="2249" customWidth="1"/>
    <col min="22" max="22" width="6.33203125" style="2249" customWidth="1"/>
    <col min="23" max="30" width="6.77734375" style="2249" customWidth="1"/>
    <col min="31" max="31" width="8" style="2249" customWidth="1"/>
    <col min="32" max="33" width="7.21875" style="2249" customWidth="1"/>
    <col min="34" max="34" width="13" style="2249" bestFit="1" customWidth="1"/>
    <col min="35" max="39" width="8" style="2249" customWidth="1"/>
    <col min="40" max="40" width="13.77734375" style="2248"/>
    <col min="41" max="41" width="11.6640625" style="2248" customWidth="1"/>
    <col min="42" max="42" width="9.77734375" style="2248" customWidth="1"/>
    <col min="43" max="67" width="13.77734375" style="2248"/>
    <col min="68" max="16384" width="13.77734375" style="2249"/>
  </cols>
  <sheetData>
    <row r="1" spans="1:67" ht="18"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 thickBot="1">
      <c r="A2" s="2250" t="s">
        <v>1957</v>
      </c>
      <c r="B2" s="1248">
        <f>项目基本情况!D3</f>
        <v>43836</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4.4"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3.2">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3046</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3.8">
      <c r="A6" s="2280" t="str">
        <f>'数据-汇总表'!C19</f>
        <v>商业3号楼出租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23.21</v>
      </c>
      <c r="G6" s="73">
        <f>IF(ISERROR(ROUND(POWER(1+H6,D6-F6)*(POWER(1+H6,F6)-1)/(POWER(1+H6,D6)-1),3)),0,ROUND(POWER(1+H6,D6-F6)*(POWER(1+H6,F6)-1)/(POWER(1+H6,D6)-1),3))</f>
        <v>0.80600000000000005</v>
      </c>
      <c r="H6" s="797">
        <v>5.5E-2</v>
      </c>
      <c r="I6" s="797">
        <v>0.06</v>
      </c>
      <c r="J6" s="74">
        <v>8.5000000000000006E-2</v>
      </c>
      <c r="K6" s="1233">
        <f>SUMIF('数据-汇总表'!C$19:C$33,A6,'数据-汇总表'!E$19:E$33)</f>
        <v>29614.890000000003</v>
      </c>
      <c r="L6" s="798">
        <v>3500</v>
      </c>
      <c r="M6" s="75">
        <f t="shared" ref="M6:M14" si="0">ROUND(K6*L6/10000,0)</f>
        <v>10365</v>
      </c>
      <c r="N6" s="796">
        <f>ROUND(1-(2019-2008)/60,2)</f>
        <v>0.82</v>
      </c>
      <c r="O6" s="75" t="str">
        <f>IF($N$5="成新度","——",ROUND(M6*N6,0))</f>
        <v>——</v>
      </c>
      <c r="P6" s="76" t="str">
        <f>IF($N$5="成新度","——",M6-O6)</f>
        <v>——</v>
      </c>
      <c r="Q6" s="799">
        <v>0.25</v>
      </c>
      <c r="R6" s="77">
        <f ca="1">SUMIF('数据-汇总表'!C$19:C$33,A6,'数据-汇总表'!R$19:R$27)</f>
        <v>6799.46</v>
      </c>
      <c r="S6" s="54">
        <f>IF('数据-汇总表'!$I$17="按面积比例",SUMIF('数据-汇总表'!C$19:C$33,A6,'数据-汇总表'!K$19:K$33),SUMIF('数据-汇总表'!C$19:C$33,A6,'数据-汇总表'!N$19:N$33))</f>
        <v>0</v>
      </c>
      <c r="T6" s="1424">
        <f>ROUND($L$14*S6/10000,0)</f>
        <v>0</v>
      </c>
      <c r="U6" s="3408">
        <v>6.09</v>
      </c>
      <c r="V6" s="3409">
        <v>0</v>
      </c>
      <c r="W6" s="3409">
        <v>0</v>
      </c>
      <c r="X6" s="3410"/>
      <c r="Y6" s="3411">
        <f>N6</f>
        <v>0.82</v>
      </c>
      <c r="Z6" s="3422">
        <f>ROUND(4.86*(1+AA6)^AF6,2)</f>
        <v>6.16</v>
      </c>
      <c r="AA6" s="3412">
        <v>0.03</v>
      </c>
      <c r="AB6" s="3412">
        <v>0.05</v>
      </c>
      <c r="AC6" s="3410"/>
      <c r="AD6" s="796">
        <f>ROUND(1-(2028-2008)/60,2)</f>
        <v>0.67</v>
      </c>
      <c r="AE6" s="1244">
        <f ca="1">IF(AN6="",0,SUMIF(INDIRECT("'"&amp;AN6&amp;"'"&amp;"!E:E"),$AE$5,INDIRECT("'"&amp;AN6&amp;"'"&amp;"!F:F")))</f>
        <v>23.21</v>
      </c>
      <c r="AF6" s="3414">
        <v>8.02</v>
      </c>
      <c r="AG6" s="147">
        <f ca="1">IF(AF6="",0,AE6-AF6)</f>
        <v>15.190000000000001</v>
      </c>
      <c r="AH6" s="2955">
        <f>K6</f>
        <v>29614.890000000003</v>
      </c>
      <c r="AI6" s="85">
        <v>365</v>
      </c>
      <c r="AJ6" s="86"/>
      <c r="AK6" s="87">
        <v>1.4999999999999999E-2</v>
      </c>
      <c r="AL6" s="88">
        <v>1.5E-3</v>
      </c>
      <c r="AM6" s="89">
        <v>0.03</v>
      </c>
      <c r="AN6" s="2283" t="s">
        <v>3679</v>
      </c>
      <c r="AO6" s="55">
        <f ca="1">SUMIF(INDIRECT("'"&amp;AN6&amp;"'"&amp;"!A:A"),"总价",INDIRECT("'"&amp;AN6&amp;"'"&amp;"!B:B"))</f>
        <v>66821</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3.8">
      <c r="A7" s="2280" t="str">
        <f>'数据-汇总表'!C20</f>
        <v>商业3号楼自用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23.21</v>
      </c>
      <c r="G7" s="73">
        <f t="shared" ref="G7:G11" si="2">IF(ISERROR(ROUND(POWER(1+H7,D7-F7)*(POWER(1+H7,F7)-1)/(POWER(1+H7,D7)-1),3)),0,ROUND(POWER(1+H7,D7-F7)*(POWER(1+H7,F7)-1)/(POWER(1+H7,D7)-1),3))</f>
        <v>0.80600000000000005</v>
      </c>
      <c r="H7" s="797">
        <v>5.5E-2</v>
      </c>
      <c r="I7" s="797">
        <v>0.06</v>
      </c>
      <c r="J7" s="74">
        <v>8.5000000000000006E-2</v>
      </c>
      <c r="K7" s="1233">
        <f>SUMIF('数据-汇总表'!C$19:C$33,A7,'数据-汇总表'!E$19:E$33)</f>
        <v>12128.399999999991</v>
      </c>
      <c r="L7" s="798">
        <f>L6</f>
        <v>3500</v>
      </c>
      <c r="M7" s="75">
        <f t="shared" si="0"/>
        <v>4245</v>
      </c>
      <c r="N7" s="796">
        <f>N6</f>
        <v>0.82</v>
      </c>
      <c r="O7" s="75" t="str">
        <f t="shared" ref="O7:O14" si="3">IF($N$5="成新度","——",ROUND(M7*N7,0))</f>
        <v>——</v>
      </c>
      <c r="P7" s="76" t="str">
        <f t="shared" ref="P7:P14" si="4">IF($N$5="成新度","——",M7-O7)</f>
        <v>——</v>
      </c>
      <c r="Q7" s="799">
        <v>0.25</v>
      </c>
      <c r="R7" s="77">
        <f ca="1">SUMIF('数据-汇总表'!C$19:C$33,A7,'数据-汇总表'!R$19:R$27)</f>
        <v>2784.63</v>
      </c>
      <c r="S7" s="54">
        <f>IF('数据-汇总表'!$I$17="按面积比例",SUMIF('数据-汇总表'!C$19:C$33,A7,'数据-汇总表'!K$19:K$33),SUMIF('数据-汇总表'!C$19:C$33,A7,'数据-汇总表'!N$19:N$33))</f>
        <v>0</v>
      </c>
      <c r="T7" s="1424">
        <f t="shared" ref="T7:T13" si="5">ROUND($L$14*S7/10000,0)</f>
        <v>0</v>
      </c>
      <c r="U7" s="3421">
        <v>11.59</v>
      </c>
      <c r="V7" s="79">
        <v>0.03</v>
      </c>
      <c r="W7" s="79">
        <v>0.05</v>
      </c>
      <c r="X7" s="1243"/>
      <c r="Y7" s="80">
        <f t="shared" ref="Y7:Y8" si="6">N7</f>
        <v>0.82</v>
      </c>
      <c r="Z7" s="81"/>
      <c r="AA7" s="74"/>
      <c r="AB7" s="74"/>
      <c r="AC7" s="1243"/>
      <c r="AD7" s="82"/>
      <c r="AE7" s="1244">
        <f t="shared" ref="AE7:AE13" ca="1" si="7">IF(AN7="",0,SUMIF(INDIRECT("'"&amp;AN7&amp;"'"&amp;"!E:E"),$AE$5,INDIRECT("'"&amp;AN7&amp;"'"&amp;"!F:F")))</f>
        <v>23.21</v>
      </c>
      <c r="AF7" s="3401"/>
      <c r="AG7" s="147">
        <f t="shared" ref="AG7:AG13" si="8">IF(AF7="",0,AE7-AF7)</f>
        <v>0</v>
      </c>
      <c r="AH7" s="2955">
        <f t="shared" ref="AH7:AH9" si="9">K7</f>
        <v>12128.399999999991</v>
      </c>
      <c r="AI7" s="85">
        <v>365</v>
      </c>
      <c r="AJ7" s="86"/>
      <c r="AK7" s="87">
        <v>1.4999999999999999E-2</v>
      </c>
      <c r="AL7" s="88">
        <f>AL6</f>
        <v>1.5E-3</v>
      </c>
      <c r="AM7" s="89">
        <v>0.03</v>
      </c>
      <c r="AN7" s="2283" t="s">
        <v>3680</v>
      </c>
      <c r="AO7" s="55">
        <f t="shared" ref="AO7:AO13" ca="1" si="10">SUMIF(INDIRECT("'"&amp;AN7&amp;"'"&amp;"!A:A"),"总价",INDIRECT("'"&amp;AN7&amp;"'"&amp;"!B:B"))</f>
        <v>61727</v>
      </c>
      <c r="AP7" s="2284">
        <f t="shared" ref="AP7:AP13" si="11">IF(C7="住宅",K7*L7,0)</f>
        <v>0</v>
      </c>
      <c r="AQ7" s="55">
        <f t="shared" ref="AQ7:AQ13" si="12">ROUND($L$14*$N$14*S7/10000,0)</f>
        <v>0</v>
      </c>
      <c r="AR7" s="55">
        <f t="shared" ref="AR7:AR13" si="13">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3.8">
      <c r="A8" s="2280" t="str">
        <f>'数据-汇总表'!C21</f>
        <v>商业1号楼出租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23.21</v>
      </c>
      <c r="G8" s="73">
        <f t="shared" si="2"/>
        <v>0.80600000000000005</v>
      </c>
      <c r="H8" s="797">
        <v>5.5E-2</v>
      </c>
      <c r="I8" s="797">
        <v>0.06</v>
      </c>
      <c r="J8" s="74">
        <v>8.5000000000000006E-2</v>
      </c>
      <c r="K8" s="1233">
        <f>SUMIF('数据-汇总表'!C$19:C$33,A8,'数据-汇总表'!E$19:E$33)</f>
        <v>389</v>
      </c>
      <c r="L8" s="798">
        <f>L6</f>
        <v>3500</v>
      </c>
      <c r="M8" s="75">
        <f>ROUND(K8*L8/10000,0)</f>
        <v>136</v>
      </c>
      <c r="N8" s="796">
        <f>N6</f>
        <v>0.82</v>
      </c>
      <c r="O8" s="75" t="str">
        <f t="shared" si="3"/>
        <v>——</v>
      </c>
      <c r="P8" s="76" t="str">
        <f t="shared" si="4"/>
        <v>——</v>
      </c>
      <c r="Q8" s="799">
        <v>0.2</v>
      </c>
      <c r="R8" s="77">
        <f ca="1">SUMIF('数据-汇总表'!C$19:C$33,A8,'数据-汇总表'!R$19:R$27)</f>
        <v>89.31</v>
      </c>
      <c r="S8" s="54">
        <f>IF('数据-汇总表'!$I$17="按面积比例",SUMIF('数据-汇总表'!C$19:C$33,A8,'数据-汇总表'!K$19:K$33),SUMIF('数据-汇总表'!C$19:C$33,A8,'数据-汇总表'!N$19:N$33))</f>
        <v>0</v>
      </c>
      <c r="T8" s="1424">
        <f t="shared" si="5"/>
        <v>0</v>
      </c>
      <c r="U8" s="3413">
        <v>9.5</v>
      </c>
      <c r="V8" s="3409">
        <v>0</v>
      </c>
      <c r="W8" s="3409">
        <v>0</v>
      </c>
      <c r="X8" s="1243"/>
      <c r="Y8" s="80">
        <f t="shared" si="6"/>
        <v>0.82</v>
      </c>
      <c r="Z8" s="3422">
        <f>ROUND(8.37*(1+AA8)^AF8,2)</f>
        <v>9.57</v>
      </c>
      <c r="AA8" s="3412">
        <v>0.03</v>
      </c>
      <c r="AB8" s="3412">
        <v>0.05</v>
      </c>
      <c r="AC8" s="1243"/>
      <c r="AD8" s="796">
        <f>ROUND(1-(2024-2008)/60,2)</f>
        <v>0.73</v>
      </c>
      <c r="AE8" s="1244">
        <f t="shared" ca="1" si="7"/>
        <v>23.21</v>
      </c>
      <c r="AF8" s="3401">
        <v>4.53</v>
      </c>
      <c r="AG8" s="147">
        <f t="shared" ca="1" si="8"/>
        <v>18.68</v>
      </c>
      <c r="AH8" s="2955">
        <f t="shared" si="9"/>
        <v>389</v>
      </c>
      <c r="AI8" s="85">
        <v>365</v>
      </c>
      <c r="AJ8" s="86"/>
      <c r="AK8" s="87">
        <v>1.4999999999999999E-2</v>
      </c>
      <c r="AL8" s="88">
        <f>AL7</f>
        <v>1.5E-3</v>
      </c>
      <c r="AM8" s="89">
        <v>0.03</v>
      </c>
      <c r="AN8" s="2283" t="s">
        <v>3716</v>
      </c>
      <c r="AO8" s="55">
        <f t="shared" ca="1" si="10"/>
        <v>1469</v>
      </c>
      <c r="AP8" s="2284">
        <f t="shared" si="11"/>
        <v>0</v>
      </c>
      <c r="AQ8" s="55">
        <f t="shared" si="12"/>
        <v>0</v>
      </c>
      <c r="AR8" s="55">
        <f t="shared" si="13"/>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3.8">
      <c r="A9" s="2280" t="str">
        <f>'数据-汇总表'!C22</f>
        <v>商业2号楼自用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23.21</v>
      </c>
      <c r="G9" s="73">
        <f t="shared" si="2"/>
        <v>0.80600000000000005</v>
      </c>
      <c r="H9" s="797">
        <v>5.5E-2</v>
      </c>
      <c r="I9" s="797">
        <v>0.06</v>
      </c>
      <c r="J9" s="74">
        <v>8.5000000000000006E-2</v>
      </c>
      <c r="K9" s="1233">
        <f>SUMIF('数据-汇总表'!C$19:C$33,A9,'数据-汇总表'!E$19:E$33)</f>
        <v>31.96</v>
      </c>
      <c r="L9" s="798">
        <f>L7</f>
        <v>3500</v>
      </c>
      <c r="M9" s="75">
        <f t="shared" si="0"/>
        <v>11</v>
      </c>
      <c r="N9" s="796">
        <f>N8</f>
        <v>0.82</v>
      </c>
      <c r="O9" s="75" t="str">
        <f t="shared" si="3"/>
        <v>——</v>
      </c>
      <c r="P9" s="76" t="str">
        <f t="shared" si="4"/>
        <v>——</v>
      </c>
      <c r="Q9" s="90">
        <v>0.2</v>
      </c>
      <c r="R9" s="77">
        <f ca="1">SUMIF('数据-汇总表'!C$19:C$33,A9,'数据-汇总表'!R$19:R$27)</f>
        <v>7.34</v>
      </c>
      <c r="S9" s="54">
        <f>IF('数据-汇总表'!$I$17="按面积比例",SUMIF('数据-汇总表'!C$19:C$33,A9,'数据-汇总表'!K$19:K$33),SUMIF('数据-汇总表'!C$19:C$33,A9,'数据-汇总表'!N$19:N$33))</f>
        <v>0</v>
      </c>
      <c r="T9" s="1424">
        <f t="shared" si="5"/>
        <v>0</v>
      </c>
      <c r="U9" s="78">
        <v>15</v>
      </c>
      <c r="V9" s="79">
        <v>0.03</v>
      </c>
      <c r="W9" s="79">
        <v>0.05</v>
      </c>
      <c r="X9" s="1243"/>
      <c r="Y9" s="80">
        <f>Y8</f>
        <v>0.82</v>
      </c>
      <c r="Z9" s="81"/>
      <c r="AA9" s="74"/>
      <c r="AB9" s="74"/>
      <c r="AC9" s="1243"/>
      <c r="AD9" s="82"/>
      <c r="AE9" s="1244">
        <f t="shared" ca="1" si="7"/>
        <v>23.21</v>
      </c>
      <c r="AF9" s="1784"/>
      <c r="AG9" s="147">
        <f t="shared" si="8"/>
        <v>0</v>
      </c>
      <c r="AH9" s="2955">
        <f t="shared" si="9"/>
        <v>31.96</v>
      </c>
      <c r="AI9" s="85">
        <v>365</v>
      </c>
      <c r="AJ9" s="86"/>
      <c r="AK9" s="87">
        <v>1.4999999999999999E-2</v>
      </c>
      <c r="AL9" s="88">
        <f>AL8</f>
        <v>1.5E-3</v>
      </c>
      <c r="AM9" s="89">
        <v>0.03</v>
      </c>
      <c r="AN9" s="2283" t="s">
        <v>3717</v>
      </c>
      <c r="AO9" s="55">
        <f t="shared" ca="1" si="10"/>
        <v>211</v>
      </c>
      <c r="AP9" s="2284">
        <f t="shared" si="11"/>
        <v>0</v>
      </c>
      <c r="AQ9" s="55">
        <f t="shared" si="12"/>
        <v>0</v>
      </c>
      <c r="AR9" s="55">
        <f t="shared" si="13"/>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3.8">
      <c r="A10" s="2280">
        <f>'数据-汇总表'!C23</f>
        <v>0</v>
      </c>
      <c r="B10" s="2281" t="str">
        <f t="shared" si="1"/>
        <v/>
      </c>
      <c r="C10" s="2282" t="s">
        <v>3419</v>
      </c>
      <c r="D10" s="1041">
        <f>SUMIF(项目基本情况!D$12:I$12,C10,项目基本情况!D$14:I$14)</f>
        <v>50</v>
      </c>
      <c r="E10" s="1038" t="str">
        <f>IF(B10="","",SUMIF(项目基本情况!D$12:I$12,C10,项目基本情况!D$13:I$13))</f>
        <v/>
      </c>
      <c r="F10" s="72">
        <f>SUMIF(项目基本情况!D$12:I$12,C10,项目基本情况!D$15:I$15)</f>
        <v>33.21</v>
      </c>
      <c r="G10" s="73">
        <f t="shared" si="2"/>
        <v>0</v>
      </c>
      <c r="H10" s="797"/>
      <c r="I10" s="797"/>
      <c r="J10" s="74"/>
      <c r="K10" s="1233">
        <f>SUMIF('数据-汇总表'!C$19:C$33,A10,'数据-汇总表'!E$19:E$33)</f>
        <v>0</v>
      </c>
      <c r="L10" s="798"/>
      <c r="M10" s="75">
        <f t="shared" si="0"/>
        <v>0</v>
      </c>
      <c r="N10" s="796"/>
      <c r="O10" s="75" t="str">
        <f t="shared" si="3"/>
        <v>——</v>
      </c>
      <c r="P10" s="76" t="str">
        <f t="shared" si="4"/>
        <v>——</v>
      </c>
      <c r="Q10" s="799">
        <v>0.05</v>
      </c>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f>Y9</f>
        <v>0.82</v>
      </c>
      <c r="Z10" s="81"/>
      <c r="AA10" s="74"/>
      <c r="AB10" s="74"/>
      <c r="AC10" s="1243"/>
      <c r="AD10" s="82"/>
      <c r="AE10" s="1244">
        <f t="shared" ca="1" si="7"/>
        <v>0</v>
      </c>
      <c r="AF10" s="1784"/>
      <c r="AG10" s="147">
        <f t="shared" si="8"/>
        <v>0</v>
      </c>
      <c r="AH10" s="2955"/>
      <c r="AI10" s="85"/>
      <c r="AJ10" s="86"/>
      <c r="AK10" s="87"/>
      <c r="AL10" s="88"/>
      <c r="AM10" s="89"/>
      <c r="AN10" s="2283"/>
      <c r="AO10" s="55" t="e">
        <f t="shared" ca="1" si="10"/>
        <v>#REF!</v>
      </c>
      <c r="AP10" s="2284">
        <f t="shared" si="11"/>
        <v>0</v>
      </c>
      <c r="AQ10" s="55">
        <f t="shared" si="12"/>
        <v>0</v>
      </c>
      <c r="AR10" s="55">
        <f t="shared" si="13"/>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3.8">
      <c r="A11" s="2280">
        <f>'数据-汇总表'!C24</f>
        <v>0</v>
      </c>
      <c r="B11" s="2281" t="str">
        <f t="shared" si="1"/>
        <v/>
      </c>
      <c r="C11" s="2282" t="s">
        <v>1366</v>
      </c>
      <c r="D11" s="1041">
        <f>SUMIF(项目基本情况!D$12:I$12,C11,项目基本情况!D$14:I$14)</f>
        <v>40</v>
      </c>
      <c r="E11" s="1038" t="str">
        <f>IF(B11="","",SUMIF(项目基本情况!D$12:I$12,C11,项目基本情况!D$13:I$13))</f>
        <v/>
      </c>
      <c r="F11" s="72">
        <f>SUMIF(项目基本情况!D$12:I$12,C11,项目基本情况!D$15:I$15)</f>
        <v>23.21</v>
      </c>
      <c r="G11" s="73">
        <f t="shared" si="2"/>
        <v>0</v>
      </c>
      <c r="H11" s="797"/>
      <c r="I11" s="797"/>
      <c r="J11" s="74"/>
      <c r="K11" s="1233">
        <f>SUMIF('数据-汇总表'!C$19:C$33,A11,'数据-汇总表'!E$19:E$33)</f>
        <v>0</v>
      </c>
      <c r="L11" s="798"/>
      <c r="M11" s="75">
        <f t="shared" si="0"/>
        <v>0</v>
      </c>
      <c r="N11" s="796"/>
      <c r="O11" s="75" t="str">
        <f t="shared" si="3"/>
        <v>——</v>
      </c>
      <c r="P11" s="76" t="str">
        <f t="shared" si="4"/>
        <v>——</v>
      </c>
      <c r="Q11" s="90">
        <v>0.2</v>
      </c>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f>Y10</f>
        <v>0.82</v>
      </c>
      <c r="Z11" s="93"/>
      <c r="AA11" s="74"/>
      <c r="AB11" s="74"/>
      <c r="AC11" s="1243"/>
      <c r="AD11" s="82"/>
      <c r="AE11" s="1244">
        <f t="shared" ca="1" si="7"/>
        <v>0</v>
      </c>
      <c r="AF11" s="1784"/>
      <c r="AG11" s="147">
        <f t="shared" si="8"/>
        <v>0</v>
      </c>
      <c r="AH11" s="2955"/>
      <c r="AI11" s="85"/>
      <c r="AJ11" s="86"/>
      <c r="AK11" s="87"/>
      <c r="AL11" s="88"/>
      <c r="AM11" s="89"/>
      <c r="AN11" s="2283"/>
      <c r="AO11" s="55" t="e">
        <f t="shared" ca="1" si="10"/>
        <v>#REF!</v>
      </c>
      <c r="AP11" s="2284">
        <f t="shared" si="11"/>
        <v>0</v>
      </c>
      <c r="AQ11" s="55">
        <f t="shared" si="12"/>
        <v>0</v>
      </c>
      <c r="AR11" s="55">
        <f t="shared" si="13"/>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3.8">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7"/>
        <v>0</v>
      </c>
      <c r="AF12" s="1784"/>
      <c r="AG12" s="147">
        <f t="shared" si="8"/>
        <v>0</v>
      </c>
      <c r="AH12" s="83"/>
      <c r="AI12" s="85"/>
      <c r="AJ12" s="86"/>
      <c r="AK12" s="94"/>
      <c r="AL12" s="95"/>
      <c r="AM12" s="96"/>
      <c r="AN12" s="2283"/>
      <c r="AO12" s="55" t="e">
        <f t="shared" ca="1" si="10"/>
        <v>#REF!</v>
      </c>
      <c r="AP12" s="2284">
        <f t="shared" si="11"/>
        <v>0</v>
      </c>
      <c r="AQ12" s="55">
        <f t="shared" si="12"/>
        <v>0</v>
      </c>
      <c r="AR12" s="55">
        <f t="shared" si="13"/>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3.8">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7"/>
        <v>0</v>
      </c>
      <c r="AF13" s="1784"/>
      <c r="AG13" s="147">
        <f t="shared" si="8"/>
        <v>0</v>
      </c>
      <c r="AH13" s="83"/>
      <c r="AI13" s="85"/>
      <c r="AJ13" s="86"/>
      <c r="AK13" s="87"/>
      <c r="AL13" s="88"/>
      <c r="AM13" s="89"/>
      <c r="AN13" s="2283"/>
      <c r="AO13" s="55" t="e">
        <f t="shared" ca="1" si="10"/>
        <v>#REF!</v>
      </c>
      <c r="AP13" s="2284">
        <f t="shared" si="11"/>
        <v>0</v>
      </c>
      <c r="AQ13" s="55">
        <f t="shared" si="12"/>
        <v>0</v>
      </c>
      <c r="AR13" s="55">
        <f t="shared" si="13"/>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4">
      <c r="A14" s="2285" t="s">
        <v>2001</v>
      </c>
      <c r="B14" s="2281" t="s">
        <v>2002</v>
      </c>
      <c r="C14" s="2286"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8.8">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 thickBot="1">
      <c r="A16" s="2287" t="s">
        <v>2005</v>
      </c>
      <c r="B16" s="97"/>
      <c r="C16" s="995"/>
      <c r="D16" s="2288"/>
      <c r="E16" s="97"/>
      <c r="F16" s="97"/>
      <c r="G16" s="98">
        <f>ROUND(SUMPRODUCT(G6:G13,K6:K13)/SUMPRODUCT((G6:G13&gt;0)*(K6:K13)),3)</f>
        <v>0.80600000000000005</v>
      </c>
      <c r="H16" s="99">
        <f>ROUND(SUMPRODUCT(H6:H13,K6:K13)/SUMPRODUCT((H6:H13&gt;0)*(K6:K13)),3)</f>
        <v>5.5E-2</v>
      </c>
      <c r="I16" s="100"/>
      <c r="J16" s="100"/>
      <c r="K16" s="101">
        <f>SUM(K6:K15)</f>
        <v>42164.249999999993</v>
      </c>
      <c r="L16" s="102">
        <f>ROUND(M16*10000/SUM(K6:K14),0)</f>
        <v>3500</v>
      </c>
      <c r="M16" s="102">
        <f>SUM(M6:M14)</f>
        <v>14757</v>
      </c>
      <c r="N16" s="103">
        <f>ROUND(SUMPRODUCT(M6:M14,N6:N14)/M16,3)</f>
        <v>0.82</v>
      </c>
      <c r="O16" s="102">
        <f>SUM(O6:O14)</f>
        <v>0</v>
      </c>
      <c r="P16" s="102">
        <f>SUM(P6:P14)</f>
        <v>0</v>
      </c>
      <c r="Q16" s="104">
        <f>ROUND(SUMPRODUCT(Q6:Q13,K6:K13)/SUMPRODUCT((Q6:Q13&gt;0)*(K6:K13)),2)</f>
        <v>0.25</v>
      </c>
      <c r="R16" s="1237">
        <f ca="1">SUM(R6:R13)</f>
        <v>9680.74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8"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4">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4">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4">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4">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4">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4.4"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8.8">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8.8">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9.4" thickBot="1">
      <c r="A29" s="2301" t="s">
        <v>2021</v>
      </c>
      <c r="B29" s="121">
        <f ca="1">成本法!C10</f>
        <v>843</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8.8">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8.8">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9.4"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4">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4">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4">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4">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4">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4">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4">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4">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4">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4">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4">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4">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4">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4">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4">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8.8">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4">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4">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4">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4">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4">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4">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4">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4">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4">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5" customWidth="1"/>
    <col min="2" max="9" width="10" style="1005" customWidth="1"/>
    <col min="10" max="16384" width="9" style="1005"/>
  </cols>
  <sheetData>
    <row r="36" spans="1:9">
      <c r="A36" s="1004" t="s">
        <v>818</v>
      </c>
      <c r="B36" s="1004" t="s">
        <v>819</v>
      </c>
    </row>
    <row r="37" spans="1:9" ht="27.75" customHeight="1">
      <c r="A37" s="1004"/>
      <c r="B37" s="3473" t="str">
        <f>项目基本情况!B1</f>
        <v>北京市朝阳区广顺北大街16号院1、2、3号楼房地产抵押价值预评估</v>
      </c>
      <c r="C37" s="3473"/>
      <c r="D37" s="3473"/>
      <c r="E37" s="3473"/>
      <c r="F37" s="3473"/>
      <c r="G37" s="3473"/>
      <c r="H37" s="3473"/>
      <c r="I37" s="3473"/>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2342" customWidth="1"/>
    <col min="2" max="2" width="24.44140625" style="2387" customWidth="1"/>
    <col min="3" max="3" width="24.44140625" style="2386" customWidth="1"/>
    <col min="4" max="4" width="2.6640625" style="2386" customWidth="1"/>
    <col min="5" max="5" width="5.88671875" style="2386" customWidth="1"/>
    <col min="6" max="6" width="27" style="2387" customWidth="1"/>
    <col min="7" max="7" width="27" style="2388" customWidth="1"/>
    <col min="8" max="8" width="11.88671875" style="2366" customWidth="1"/>
    <col min="9" max="9" width="16.77734375" style="2367" customWidth="1"/>
    <col min="10" max="10" width="2.6640625" style="2366" customWidth="1"/>
    <col min="11" max="11" width="11.88671875" style="2366" customWidth="1"/>
    <col min="12" max="12" width="16.77734375" style="2367" customWidth="1"/>
    <col min="13" max="13" width="2.6640625" style="2366" customWidth="1"/>
    <col min="14" max="14" width="11.88671875" style="2366" customWidth="1"/>
    <col min="15" max="15" width="16.77734375" style="2367" customWidth="1"/>
    <col min="16" max="16" width="2.6640625" style="2366" customWidth="1"/>
    <col min="17" max="17" width="11.88671875" style="2366" customWidth="1"/>
    <col min="18" max="18" width="16.77734375" style="2368" customWidth="1"/>
    <col min="19" max="29" width="9" style="2341"/>
    <col min="30" max="16384" width="9" style="2342"/>
  </cols>
  <sheetData>
    <row r="1" spans="1:29" s="2335" customFormat="1" ht="18" thickBot="1">
      <c r="A1" s="3575" t="s">
        <v>2072</v>
      </c>
      <c r="B1" s="3576"/>
      <c r="C1" s="3576"/>
      <c r="D1" s="3576"/>
      <c r="E1" s="3576"/>
      <c r="F1" s="3576"/>
      <c r="G1" s="3576"/>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 thickBot="1">
      <c r="A2" s="2336"/>
      <c r="B2" s="2337"/>
      <c r="C2" s="2338" t="s">
        <v>2073</v>
      </c>
      <c r="D2" s="2339"/>
      <c r="E2" s="2340"/>
      <c r="F2" s="2260"/>
      <c r="G2" s="2338" t="s">
        <v>2074</v>
      </c>
      <c r="H2" s="2341"/>
      <c r="I2" s="2341"/>
      <c r="J2" s="2341"/>
      <c r="K2" s="2341"/>
      <c r="L2" s="2341"/>
      <c r="M2" s="2341"/>
      <c r="N2" s="2341"/>
      <c r="O2" s="2341"/>
      <c r="P2" s="2341"/>
      <c r="Q2" s="2341"/>
      <c r="R2" s="2341"/>
    </row>
    <row r="3" spans="1:29" ht="43.2">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7.6">
      <c r="A4" s="430"/>
      <c r="B4" s="1775" t="s">
        <v>2079</v>
      </c>
      <c r="C4" s="2959" t="s">
        <v>3437</v>
      </c>
      <c r="D4" s="2343"/>
      <c r="E4" s="2346"/>
      <c r="F4" s="42" t="s">
        <v>2080</v>
      </c>
      <c r="G4" s="2347" t="s">
        <v>2081</v>
      </c>
      <c r="H4" s="2341"/>
      <c r="I4" s="2341"/>
      <c r="J4" s="2341"/>
      <c r="K4" s="2341"/>
      <c r="L4" s="2341"/>
      <c r="M4" s="2341"/>
      <c r="N4" s="2341"/>
      <c r="O4" s="2341"/>
      <c r="P4" s="2341"/>
      <c r="Q4" s="2341"/>
      <c r="R4" s="2341"/>
    </row>
    <row r="5" spans="1:29" ht="57.6">
      <c r="A5" s="430"/>
      <c r="B5" s="1775" t="s">
        <v>2082</v>
      </c>
      <c r="C5" s="2959" t="s">
        <v>3623</v>
      </c>
      <c r="D5" s="2343"/>
      <c r="E5" s="2346"/>
      <c r="F5" s="1775" t="s">
        <v>2083</v>
      </c>
      <c r="G5" s="2347" t="s">
        <v>2084</v>
      </c>
      <c r="H5" s="2341"/>
      <c r="I5" s="2341"/>
      <c r="J5" s="2341"/>
      <c r="K5" s="2341"/>
      <c r="L5" s="2341"/>
      <c r="M5" s="2341"/>
      <c r="N5" s="2341"/>
      <c r="O5" s="2341"/>
      <c r="P5" s="2341"/>
      <c r="Q5" s="2341"/>
      <c r="R5" s="2341"/>
    </row>
    <row r="6" spans="1:29" ht="72">
      <c r="A6" s="430"/>
      <c r="B6" s="1775" t="s">
        <v>2085</v>
      </c>
      <c r="C6" s="2960" t="s">
        <v>3439</v>
      </c>
      <c r="D6" s="2343"/>
      <c r="E6" s="2346"/>
      <c r="F6" s="1775" t="s">
        <v>2086</v>
      </c>
      <c r="G6" s="2347" t="s">
        <v>2087</v>
      </c>
      <c r="H6" s="2341"/>
      <c r="I6" s="2341"/>
      <c r="J6" s="2341"/>
      <c r="K6" s="2341"/>
      <c r="L6" s="2341"/>
      <c r="M6" s="2341"/>
      <c r="N6" s="2341"/>
      <c r="O6" s="2341"/>
      <c r="P6" s="2341"/>
      <c r="Q6" s="2341"/>
      <c r="R6" s="2341"/>
    </row>
    <row r="7" spans="1:29" ht="43.8" thickBot="1">
      <c r="A7" s="430"/>
      <c r="B7" s="1775" t="s">
        <v>2083</v>
      </c>
      <c r="C7" s="2960" t="s">
        <v>3438</v>
      </c>
      <c r="D7" s="2348"/>
      <c r="E7" s="2349"/>
      <c r="F7" s="2350" t="s">
        <v>2088</v>
      </c>
      <c r="G7" s="2351" t="s">
        <v>2089</v>
      </c>
      <c r="H7" s="2341"/>
      <c r="I7" s="2341"/>
      <c r="J7" s="2341"/>
      <c r="K7" s="2341"/>
      <c r="L7" s="2341"/>
      <c r="M7" s="2341"/>
      <c r="N7" s="2341"/>
      <c r="O7" s="2341"/>
      <c r="P7" s="2341"/>
      <c r="Q7" s="2341"/>
      <c r="R7" s="2341"/>
    </row>
    <row r="8" spans="1:29" ht="28.8">
      <c r="A8" s="430"/>
      <c r="B8" s="1775" t="s">
        <v>2086</v>
      </c>
      <c r="C8" s="2960" t="s">
        <v>3061</v>
      </c>
      <c r="D8" s="2348"/>
      <c r="E8" s="2348"/>
      <c r="F8" s="1116"/>
      <c r="G8" s="1116"/>
      <c r="H8" s="2341"/>
      <c r="I8" s="2341"/>
      <c r="J8" s="2341"/>
      <c r="K8" s="2341"/>
      <c r="L8" s="2341"/>
      <c r="M8" s="2341"/>
      <c r="N8" s="2341"/>
      <c r="O8" s="2341"/>
      <c r="P8" s="2341"/>
      <c r="Q8" s="2341"/>
      <c r="R8" s="2341"/>
    </row>
    <row r="9" spans="1:29" ht="57.6">
      <c r="A9" s="430"/>
      <c r="B9" s="1775" t="s">
        <v>2090</v>
      </c>
      <c r="C9" s="2959" t="s">
        <v>3440</v>
      </c>
      <c r="D9" s="2343"/>
      <c r="E9" s="2348"/>
      <c r="F9" s="1116"/>
      <c r="G9" s="1116"/>
      <c r="H9" s="2341"/>
      <c r="I9" s="2341"/>
      <c r="J9" s="2341"/>
      <c r="K9" s="2341"/>
      <c r="L9" s="2341"/>
      <c r="M9" s="2341"/>
      <c r="N9" s="2341"/>
      <c r="O9" s="2341"/>
      <c r="P9" s="2341"/>
      <c r="Q9" s="2341"/>
      <c r="R9" s="2341"/>
    </row>
    <row r="10" spans="1:29" s="117" customFormat="1" ht="15" thickBot="1">
      <c r="A10" s="2352"/>
      <c r="B10" s="2353" t="s">
        <v>2091</v>
      </c>
      <c r="C10" s="2961" t="s">
        <v>3441</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7.399999999999999">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8" thickBot="1">
      <c r="A13" s="2364" t="s">
        <v>2092</v>
      </c>
      <c r="B13" s="2358"/>
      <c r="C13" s="2358"/>
      <c r="D13" s="2365"/>
      <c r="E13" s="2358"/>
      <c r="F13" s="2358"/>
      <c r="G13" s="2358"/>
    </row>
    <row r="14" spans="1:29" ht="15" thickBot="1">
      <c r="A14" s="2369"/>
      <c r="B14" s="2370"/>
      <c r="C14" s="2371" t="s">
        <v>2093</v>
      </c>
      <c r="D14" s="2343"/>
      <c r="E14" s="2372"/>
      <c r="F14" s="2372"/>
      <c r="G14" s="2338" t="s">
        <v>2094</v>
      </c>
    </row>
    <row r="15" spans="1:29" ht="41.4">
      <c r="A15" s="68" t="s">
        <v>2095</v>
      </c>
      <c r="B15" s="1249" t="s">
        <v>2076</v>
      </c>
      <c r="C15" s="2373">
        <f>C3</f>
        <v>0</v>
      </c>
      <c r="D15" s="2343"/>
      <c r="E15" s="2374" t="s">
        <v>2096</v>
      </c>
      <c r="F15" s="1249" t="s">
        <v>2097</v>
      </c>
      <c r="G15" s="135" t="str">
        <f>G3</f>
        <v>估价对象位于XX开发区，园区建设成熟度XX，产业集聚程度XX</v>
      </c>
    </row>
    <row r="16" spans="1:29" ht="55.2">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55.2">
      <c r="A17" s="644"/>
      <c r="B17" s="2375" t="s">
        <v>2082</v>
      </c>
      <c r="C17" s="2376" t="str">
        <f>C5</f>
        <v>估价对象位于望京商圈，周边办公楼项目较多，入驻率较高，办公集聚程度较好</v>
      </c>
      <c r="D17" s="2348"/>
      <c r="E17" s="2377"/>
      <c r="F17" s="2378" t="s">
        <v>2098</v>
      </c>
      <c r="G17" s="1549"/>
    </row>
    <row r="18" spans="1:18" ht="69">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8">
      <c r="A19" s="644"/>
      <c r="B19" s="2378" t="s">
        <v>2099</v>
      </c>
      <c r="C19" s="2962" t="s">
        <v>3062</v>
      </c>
      <c r="D19" s="2343"/>
      <c r="E19" s="2377"/>
      <c r="F19" s="1775" t="s">
        <v>2083</v>
      </c>
      <c r="G19" s="136" t="str">
        <f>G5</f>
        <v>估价对象所在区域公共配套设施齐备情况</v>
      </c>
    </row>
    <row r="20" spans="1:18" ht="55.2">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7.6">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 thickBot="1">
      <c r="A23" s="644"/>
      <c r="B23" s="2378" t="s">
        <v>2102</v>
      </c>
      <c r="C23" s="2963" t="s">
        <v>3063</v>
      </c>
      <c r="D23" s="2366"/>
      <c r="E23" s="2380"/>
      <c r="F23" s="2381" t="s">
        <v>2103</v>
      </c>
      <c r="G23" s="2382"/>
      <c r="H23" s="2366"/>
      <c r="I23" s="2367"/>
      <c r="J23" s="2366"/>
      <c r="K23" s="2366"/>
      <c r="L23" s="2367"/>
      <c r="M23" s="2366"/>
      <c r="N23" s="2366"/>
      <c r="O23" s="2367"/>
      <c r="P23" s="2366"/>
      <c r="Q23" s="2366"/>
      <c r="R23" s="2368"/>
    </row>
    <row r="24" spans="1:18" s="2341" customFormat="1" ht="1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J23"/>
  <sheetViews>
    <sheetView workbookViewId="0">
      <selection activeCell="K10" sqref="K10"/>
    </sheetView>
  </sheetViews>
  <sheetFormatPr defaultColWidth="9" defaultRowHeight="14.4"/>
  <cols>
    <col min="1" max="1" width="23.33203125" style="1718" customWidth="1"/>
    <col min="2" max="9" width="15.77734375" style="1718" customWidth="1"/>
    <col min="10" max="16384" width="9" style="1718"/>
  </cols>
  <sheetData>
    <row r="1" spans="1:10" ht="16.2">
      <c r="A1" s="1723" t="s">
        <v>1354</v>
      </c>
      <c r="B1" s="3397">
        <f>B14+B15+B16+B17</f>
        <v>88048.079999999987</v>
      </c>
      <c r="C1" s="1722"/>
      <c r="D1" s="1722"/>
      <c r="E1" s="1722"/>
      <c r="F1" s="1722"/>
      <c r="G1" s="1720"/>
    </row>
    <row r="2" spans="1:10" ht="16.2">
      <c r="A2" s="1723" t="s">
        <v>1342</v>
      </c>
      <c r="B2" s="1723">
        <f>C14+C15+C16+C17</f>
        <v>20215.480000000003</v>
      </c>
      <c r="C2" s="1722"/>
      <c r="D2" s="1722"/>
      <c r="E2" s="1722"/>
      <c r="F2" s="1722"/>
      <c r="G2" s="1720"/>
    </row>
    <row r="3" spans="1:10" ht="15.6">
      <c r="A3" s="1723" t="s">
        <v>1351</v>
      </c>
      <c r="B3" s="1724">
        <f>项目基本情况!D3</f>
        <v>43836</v>
      </c>
      <c r="C3" s="1722"/>
      <c r="D3" s="1722"/>
      <c r="E3" s="1722"/>
      <c r="F3" s="1722"/>
      <c r="G3" s="1720"/>
    </row>
    <row r="4" spans="1:10" ht="31.2">
      <c r="A4" s="1723" t="s">
        <v>1350</v>
      </c>
      <c r="B4" s="1723" t="s">
        <v>1349</v>
      </c>
      <c r="C4" s="1723" t="s">
        <v>1348</v>
      </c>
      <c r="D4" s="1723" t="s">
        <v>1347</v>
      </c>
      <c r="E4" s="1722"/>
      <c r="F4" s="1720"/>
      <c r="G4" s="1720"/>
    </row>
    <row r="5" spans="1:10" ht="15.6">
      <c r="A5" s="1723" t="s">
        <v>1346</v>
      </c>
      <c r="B5" s="3397">
        <f ca="1">D14+D15+D16+D17</f>
        <v>290778</v>
      </c>
      <c r="C5" s="1723">
        <f ca="1">ROUND(B5*10000/$B$1,0)</f>
        <v>33025</v>
      </c>
      <c r="D5" s="1723">
        <f ca="1">ROUND(B5*10000/$B$2,0)</f>
        <v>143839</v>
      </c>
      <c r="E5" s="1722"/>
      <c r="F5" s="1720"/>
      <c r="G5" s="1720"/>
    </row>
    <row r="6" spans="1:10" ht="15.6">
      <c r="A6" s="1723" t="s">
        <v>1345</v>
      </c>
      <c r="B6" s="1723">
        <f ca="1">G14+G15+G16+G17</f>
        <v>290778</v>
      </c>
      <c r="C6" s="1723">
        <f ca="1">ROUND(B6*10000/$B$1,0)</f>
        <v>33025</v>
      </c>
      <c r="D6" s="1723">
        <f ca="1">ROUND(B6*10000/$B$2,0)</f>
        <v>143839</v>
      </c>
      <c r="E6" s="1722"/>
      <c r="F6" s="1720"/>
      <c r="G6" s="1720"/>
    </row>
    <row r="7" spans="1:10" ht="15.6">
      <c r="A7" s="1723" t="s">
        <v>1353</v>
      </c>
      <c r="B7" s="1723">
        <f>SUM(H14:H23)</f>
        <v>0</v>
      </c>
      <c r="C7" s="1723">
        <f>ROUND(B7*10000/$B$1,0)</f>
        <v>0</v>
      </c>
      <c r="D7" s="1723">
        <f>ROUND(B7*10000/$B$2,0)</f>
        <v>0</v>
      </c>
      <c r="E7" s="1722"/>
      <c r="F7" s="1720"/>
      <c r="G7" s="1720"/>
    </row>
    <row r="8" spans="1:10" ht="15.6">
      <c r="A8" s="1723" t="s">
        <v>1274</v>
      </c>
      <c r="B8" s="1723">
        <f>SUM(I14:I23)</f>
        <v>0</v>
      </c>
      <c r="C8" s="1723">
        <f>ROUND(B8*10000/$B$1,0)</f>
        <v>0</v>
      </c>
      <c r="D8" s="1723">
        <f>ROUND(B8*10000/$B$2,0)</f>
        <v>0</v>
      </c>
      <c r="E8" s="1722"/>
      <c r="F8" s="1720"/>
      <c r="G8" s="1720"/>
    </row>
    <row r="9" spans="1:10" ht="15.6">
      <c r="A9" s="1723" t="s">
        <v>1344</v>
      </c>
      <c r="B9" s="1725"/>
      <c r="C9" s="1722"/>
      <c r="D9" s="1722"/>
      <c r="E9" s="1722"/>
      <c r="F9" s="1720"/>
      <c r="G9" s="1720"/>
    </row>
    <row r="10" spans="1:10" ht="15.6">
      <c r="A10" s="1723" t="s">
        <v>1343</v>
      </c>
      <c r="B10" s="1725"/>
      <c r="C10" s="1722"/>
      <c r="D10" s="1722"/>
      <c r="E10" s="1722"/>
      <c r="F10" s="1720"/>
      <c r="G10" s="1720"/>
    </row>
    <row r="11" spans="1:10" ht="15.6">
      <c r="A11" s="1723" t="s">
        <v>1359</v>
      </c>
      <c r="B11" s="1725"/>
      <c r="C11" s="1722"/>
      <c r="D11" s="1722"/>
      <c r="E11" s="1722"/>
      <c r="F11" s="1720"/>
      <c r="G11" s="1720"/>
    </row>
    <row r="12" spans="1:10" ht="15.6">
      <c r="A12" s="1722"/>
      <c r="B12" s="1722"/>
      <c r="C12" s="1722"/>
      <c r="D12" s="1722"/>
      <c r="E12" s="1722"/>
      <c r="F12" s="1720"/>
      <c r="G12" s="1720"/>
    </row>
    <row r="13" spans="1:10" ht="31.8">
      <c r="A13" s="1728" t="s">
        <v>1358</v>
      </c>
      <c r="B13" s="1721" t="s">
        <v>1355</v>
      </c>
      <c r="C13" s="1721" t="s">
        <v>1357</v>
      </c>
      <c r="D13" s="1721" t="s">
        <v>1356</v>
      </c>
      <c r="E13" s="1723" t="s">
        <v>1348</v>
      </c>
      <c r="F13" s="1723" t="s">
        <v>1347</v>
      </c>
      <c r="G13" s="1721" t="s">
        <v>1341</v>
      </c>
      <c r="H13" s="1721" t="s">
        <v>1352</v>
      </c>
      <c r="I13" s="1721" t="s">
        <v>1340</v>
      </c>
      <c r="J13" s="1720"/>
    </row>
    <row r="14" spans="1:10" ht="15.6">
      <c r="A14" s="1719" t="s">
        <v>1339</v>
      </c>
      <c r="B14" s="1721">
        <f>结果表!B118</f>
        <v>42164.249999999993</v>
      </c>
      <c r="C14" s="1721">
        <f>结果表!C118</f>
        <v>9680.74</v>
      </c>
      <c r="D14" s="1721">
        <f ca="1">结果表!H118</f>
        <v>167491</v>
      </c>
      <c r="E14" s="1721">
        <f ca="1">ROUND(D14*10000/B14,0)</f>
        <v>39723</v>
      </c>
      <c r="F14" s="1721">
        <f ca="1">ROUND(D14*10000/C14,0)</f>
        <v>173015</v>
      </c>
      <c r="G14" s="1721">
        <f ca="1">结果表!D122</f>
        <v>167491</v>
      </c>
      <c r="H14" s="1721" t="str">
        <f>结果表!D124</f>
        <v>——</v>
      </c>
      <c r="I14" s="1721" t="str">
        <f>结果表!D126</f>
        <v>——</v>
      </c>
      <c r="J14" s="1720"/>
    </row>
    <row r="15" spans="1:10" ht="15.6">
      <c r="A15" s="1719" t="s">
        <v>1338</v>
      </c>
      <c r="B15" s="3424">
        <f>结果表汇总!B4</f>
        <v>16569.82</v>
      </c>
      <c r="C15" s="3424">
        <f>结果表汇总!C4</f>
        <v>3804.36</v>
      </c>
      <c r="D15" s="3424">
        <f>结果表汇总!H4</f>
        <v>52771</v>
      </c>
      <c r="E15" s="1721">
        <f t="shared" ref="E15:E23" si="0">ROUND(D15*10000/B15,0)</f>
        <v>31848</v>
      </c>
      <c r="F15" s="1721">
        <f t="shared" ref="F15:F23" si="1">ROUND(D15*10000/C15,0)</f>
        <v>138712</v>
      </c>
      <c r="G15" s="3425">
        <f>D15</f>
        <v>52771</v>
      </c>
      <c r="H15" s="1727"/>
      <c r="I15" s="1726"/>
      <c r="J15" s="1720"/>
    </row>
    <row r="16" spans="1:10" ht="15.6">
      <c r="A16" s="1719" t="s">
        <v>1337</v>
      </c>
      <c r="B16" s="3424">
        <f>结果表汇总!B5</f>
        <v>16157.019999999999</v>
      </c>
      <c r="C16" s="3424">
        <f>结果表汇总!C5</f>
        <v>3709.59</v>
      </c>
      <c r="D16" s="3424">
        <f>结果表汇总!H5</f>
        <v>59895</v>
      </c>
      <c r="E16" s="1721">
        <f t="shared" si="0"/>
        <v>37071</v>
      </c>
      <c r="F16" s="1721">
        <f t="shared" si="1"/>
        <v>161460</v>
      </c>
      <c r="G16" s="3425">
        <f t="shared" ref="G16:G17" si="2">D16</f>
        <v>59895</v>
      </c>
      <c r="H16" s="1727"/>
      <c r="I16" s="1726"/>
    </row>
    <row r="17" spans="1:9" ht="15.6">
      <c r="A17" s="1719" t="s">
        <v>1336</v>
      </c>
      <c r="B17" s="3424">
        <f>结果表汇总!B6</f>
        <v>13156.989999999996</v>
      </c>
      <c r="C17" s="3424">
        <f>结果表汇总!C6</f>
        <v>3020.79</v>
      </c>
      <c r="D17" s="3424">
        <f>结果表汇总!H6</f>
        <v>10621</v>
      </c>
      <c r="E17" s="1721">
        <f t="shared" si="0"/>
        <v>8073</v>
      </c>
      <c r="F17" s="1721">
        <f t="shared" si="1"/>
        <v>35160</v>
      </c>
      <c r="G17" s="3425">
        <f t="shared" si="2"/>
        <v>10621</v>
      </c>
      <c r="H17" s="1727"/>
      <c r="I17" s="1726"/>
    </row>
    <row r="18" spans="1:9" ht="15.6">
      <c r="A18" s="1719" t="s">
        <v>1335</v>
      </c>
      <c r="B18" s="1726"/>
      <c r="C18" s="1726"/>
      <c r="D18" s="1726"/>
      <c r="E18" s="1721" t="e">
        <f t="shared" si="0"/>
        <v>#DIV/0!</v>
      </c>
      <c r="F18" s="1721" t="e">
        <f t="shared" si="1"/>
        <v>#DIV/0!</v>
      </c>
      <c r="G18" s="1726"/>
      <c r="H18" s="1726"/>
      <c r="I18" s="1726"/>
    </row>
    <row r="19" spans="1:9" ht="15.6">
      <c r="A19" s="1719" t="s">
        <v>1334</v>
      </c>
      <c r="B19" s="1726"/>
      <c r="C19" s="1726"/>
      <c r="D19" s="1726"/>
      <c r="E19" s="1721" t="e">
        <f t="shared" si="0"/>
        <v>#DIV/0!</v>
      </c>
      <c r="F19" s="1721" t="e">
        <f t="shared" si="1"/>
        <v>#DIV/0!</v>
      </c>
      <c r="G19" s="1726"/>
      <c r="H19" s="1726"/>
      <c r="I19" s="1726"/>
    </row>
    <row r="20" spans="1:9" ht="15.6">
      <c r="A20" s="1719" t="s">
        <v>1333</v>
      </c>
      <c r="B20" s="1726"/>
      <c r="C20" s="1726"/>
      <c r="D20" s="1726"/>
      <c r="E20" s="1721" t="e">
        <f t="shared" si="0"/>
        <v>#DIV/0!</v>
      </c>
      <c r="F20" s="1721" t="e">
        <f t="shared" si="1"/>
        <v>#DIV/0!</v>
      </c>
      <c r="G20" s="1726"/>
      <c r="H20" s="1726"/>
      <c r="I20" s="1726"/>
    </row>
    <row r="21" spans="1:9" ht="15.6">
      <c r="A21" s="1719" t="s">
        <v>1332</v>
      </c>
      <c r="B21" s="1726"/>
      <c r="C21" s="1726"/>
      <c r="D21" s="1726"/>
      <c r="E21" s="1721" t="e">
        <f t="shared" si="0"/>
        <v>#DIV/0!</v>
      </c>
      <c r="F21" s="1721" t="e">
        <f t="shared" si="1"/>
        <v>#DIV/0!</v>
      </c>
      <c r="G21" s="1726"/>
      <c r="H21" s="1726"/>
      <c r="I21" s="1726"/>
    </row>
    <row r="22" spans="1:9" ht="15.6">
      <c r="A22" s="1719" t="s">
        <v>1331</v>
      </c>
      <c r="B22" s="1726"/>
      <c r="C22" s="1726"/>
      <c r="D22" s="1726"/>
      <c r="E22" s="1721" t="e">
        <f t="shared" si="0"/>
        <v>#DIV/0!</v>
      </c>
      <c r="F22" s="1721" t="e">
        <f t="shared" si="1"/>
        <v>#DIV/0!</v>
      </c>
      <c r="G22" s="1726"/>
      <c r="H22" s="1726"/>
      <c r="I22" s="1726"/>
    </row>
    <row r="23" spans="1:9" ht="15.6">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sheetPr>
  <dimension ref="A1:K61"/>
  <sheetViews>
    <sheetView topLeftCell="A28" workbookViewId="0">
      <selection activeCell="E57" sqref="E57:J58"/>
    </sheetView>
  </sheetViews>
  <sheetFormatPr defaultColWidth="9" defaultRowHeight="12"/>
  <cols>
    <col min="1" max="1" width="9.109375" style="2980" bestFit="1" customWidth="1"/>
    <col min="2" max="2" width="9.109375" style="2980" customWidth="1"/>
    <col min="3" max="3" width="11.77734375" style="2980" customWidth="1"/>
    <col min="4" max="4" width="9.109375" style="2980" bestFit="1" customWidth="1"/>
    <col min="5" max="6" width="10.88671875" style="2980" customWidth="1"/>
    <col min="7" max="8" width="9.109375" style="2980" bestFit="1" customWidth="1"/>
    <col min="9" max="10" width="10.77734375" style="2980" customWidth="1"/>
    <col min="11" max="16384" width="9" style="2980"/>
  </cols>
  <sheetData>
    <row r="1" spans="1:11" ht="28.5" customHeight="1">
      <c r="A1" s="3577" t="s">
        <v>3153</v>
      </c>
      <c r="B1" s="3577" t="s">
        <v>3154</v>
      </c>
      <c r="C1" s="3577" t="s">
        <v>3155</v>
      </c>
      <c r="D1" s="3577" t="s">
        <v>3156</v>
      </c>
      <c r="E1" s="3577" t="s">
        <v>3157</v>
      </c>
      <c r="F1" s="3577"/>
      <c r="G1" s="3577" t="s">
        <v>3158</v>
      </c>
      <c r="H1" s="3577"/>
      <c r="I1" s="3577" t="s">
        <v>3159</v>
      </c>
      <c r="J1" s="3577"/>
    </row>
    <row r="2" spans="1:11">
      <c r="A2" s="3577"/>
      <c r="B2" s="3577"/>
      <c r="C2" s="3577"/>
      <c r="D2" s="3577"/>
      <c r="E2" s="2981" t="s">
        <v>3160</v>
      </c>
      <c r="F2" s="2981" t="s">
        <v>3161</v>
      </c>
      <c r="G2" s="2981" t="s">
        <v>3162</v>
      </c>
      <c r="H2" s="2981" t="s">
        <v>3161</v>
      </c>
      <c r="I2" s="2981" t="s">
        <v>3162</v>
      </c>
      <c r="J2" s="2981" t="s">
        <v>3161</v>
      </c>
    </row>
    <row r="3" spans="1:11" ht="13.2">
      <c r="A3" s="2957" t="s">
        <v>3103</v>
      </c>
      <c r="B3" s="2957" t="s">
        <v>3163</v>
      </c>
      <c r="C3" s="2982">
        <v>60</v>
      </c>
      <c r="D3" s="2957">
        <v>5.69</v>
      </c>
      <c r="E3" s="2983">
        <f ca="1">I3-G3</f>
        <v>3089</v>
      </c>
      <c r="F3" s="2983">
        <f ca="1">J3-H3</f>
        <v>-339494</v>
      </c>
      <c r="G3" s="2983">
        <f ca="1">ROUND(I3*$K$3,0)</f>
        <v>2339</v>
      </c>
      <c r="H3" s="2983">
        <f ca="1">ROUND(G3/C3*10000,0)</f>
        <v>389833</v>
      </c>
      <c r="I3" s="2983">
        <f>典型户型修正!S24</f>
        <v>5428</v>
      </c>
      <c r="J3" s="2983">
        <f>典型户型修正!R24</f>
        <v>50339</v>
      </c>
      <c r="K3" s="2980">
        <f ca="1">收益法商租!C13/收益法商租!C40</f>
        <v>0.43097211997055151</v>
      </c>
    </row>
    <row r="4" spans="1:11" ht="13.2">
      <c r="A4" s="2957" t="s">
        <v>3164</v>
      </c>
      <c r="B4" s="2957" t="s">
        <v>3163</v>
      </c>
      <c r="C4" s="2982">
        <v>238.29</v>
      </c>
      <c r="D4" s="2957">
        <v>22.6</v>
      </c>
      <c r="E4" s="2983">
        <f t="shared" ref="E4:F55" ca="1" si="0">I4-G4</f>
        <v>4135</v>
      </c>
      <c r="F4" s="2983">
        <f t="shared" ca="1" si="0"/>
        <v>-81097</v>
      </c>
      <c r="G4" s="2983">
        <f t="shared" ref="G4:G14" ca="1" si="1">ROUND(I4*$K$3,0)</f>
        <v>3132</v>
      </c>
      <c r="H4" s="2983">
        <f t="shared" ref="H4:H13" ca="1" si="2">ROUND(G4/C4*10000,0)</f>
        <v>131436</v>
      </c>
      <c r="I4" s="2983">
        <f>典型户型修正!S25</f>
        <v>7267</v>
      </c>
      <c r="J4" s="2983">
        <f>典型户型修正!R25</f>
        <v>50339</v>
      </c>
    </row>
    <row r="5" spans="1:11" ht="13.2">
      <c r="A5" s="2957" t="s">
        <v>3104</v>
      </c>
      <c r="B5" s="2957" t="s">
        <v>3163</v>
      </c>
      <c r="C5" s="2982">
        <v>57.27</v>
      </c>
      <c r="D5" s="2957">
        <v>5.43</v>
      </c>
      <c r="E5" s="2983">
        <f t="shared" ca="1" si="0"/>
        <v>4135</v>
      </c>
      <c r="F5" s="2983">
        <f t="shared" ca="1" si="0"/>
        <v>-496544</v>
      </c>
      <c r="G5" s="2983">
        <f t="shared" ca="1" si="1"/>
        <v>3132</v>
      </c>
      <c r="H5" s="2983">
        <f t="shared" ca="1" si="2"/>
        <v>546883</v>
      </c>
      <c r="I5" s="2983">
        <f>典型户型修正!S26</f>
        <v>7267</v>
      </c>
      <c r="J5" s="2983">
        <f>典型户型修正!R26</f>
        <v>50339</v>
      </c>
    </row>
    <row r="6" spans="1:11" ht="13.2">
      <c r="A6" s="2957" t="s">
        <v>3105</v>
      </c>
      <c r="B6" s="2957" t="s">
        <v>3163</v>
      </c>
      <c r="C6" s="2982">
        <v>114.92</v>
      </c>
      <c r="D6" s="2957">
        <v>10.91</v>
      </c>
      <c r="E6" s="2983">
        <f t="shared" ca="1" si="0"/>
        <v>4135</v>
      </c>
      <c r="F6" s="2983">
        <f t="shared" ca="1" si="0"/>
        <v>-222198</v>
      </c>
      <c r="G6" s="2983">
        <f t="shared" ca="1" si="1"/>
        <v>3132</v>
      </c>
      <c r="H6" s="2983">
        <f t="shared" ca="1" si="2"/>
        <v>272537</v>
      </c>
      <c r="I6" s="2983">
        <f>典型户型修正!S27</f>
        <v>7267</v>
      </c>
      <c r="J6" s="2983">
        <f>典型户型修正!R27</f>
        <v>50339</v>
      </c>
    </row>
    <row r="7" spans="1:11" ht="13.2">
      <c r="A7" s="2957" t="s">
        <v>3106</v>
      </c>
      <c r="B7" s="2957" t="s">
        <v>3163</v>
      </c>
      <c r="C7" s="2982">
        <v>74.16</v>
      </c>
      <c r="D7" s="2957">
        <v>7.03</v>
      </c>
      <c r="E7" s="2983">
        <f t="shared" ca="1" si="0"/>
        <v>4135</v>
      </c>
      <c r="F7" s="2983">
        <f t="shared" ca="1" si="0"/>
        <v>-371991</v>
      </c>
      <c r="G7" s="2983">
        <f t="shared" ca="1" si="1"/>
        <v>3132</v>
      </c>
      <c r="H7" s="2983">
        <f t="shared" ca="1" si="2"/>
        <v>422330</v>
      </c>
      <c r="I7" s="2983">
        <f>典型户型修正!S28</f>
        <v>7267</v>
      </c>
      <c r="J7" s="2983">
        <f>典型户型修正!R28</f>
        <v>50339</v>
      </c>
    </row>
    <row r="8" spans="1:11" ht="13.2">
      <c r="A8" s="2957" t="s">
        <v>3107</v>
      </c>
      <c r="B8" s="2957" t="s">
        <v>3163</v>
      </c>
      <c r="C8" s="2982">
        <v>142.44999999999999</v>
      </c>
      <c r="D8" s="2957">
        <v>13.52</v>
      </c>
      <c r="E8" s="2983">
        <f t="shared" ca="1" si="0"/>
        <v>4135</v>
      </c>
      <c r="F8" s="2983">
        <f t="shared" ca="1" si="0"/>
        <v>-169528</v>
      </c>
      <c r="G8" s="2983">
        <f t="shared" ca="1" si="1"/>
        <v>3132</v>
      </c>
      <c r="H8" s="2983">
        <f t="shared" ca="1" si="2"/>
        <v>219867</v>
      </c>
      <c r="I8" s="2983">
        <f>典型户型修正!S29</f>
        <v>7267</v>
      </c>
      <c r="J8" s="2983">
        <f>典型户型修正!R29</f>
        <v>50339</v>
      </c>
    </row>
    <row r="9" spans="1:11" ht="13.2">
      <c r="A9" s="2957" t="s">
        <v>3108</v>
      </c>
      <c r="B9" s="2957" t="s">
        <v>3163</v>
      </c>
      <c r="C9" s="2982">
        <v>238.29</v>
      </c>
      <c r="D9" s="2957">
        <v>22.6</v>
      </c>
      <c r="E9" s="2983">
        <f t="shared" ca="1" si="0"/>
        <v>4135</v>
      </c>
      <c r="F9" s="2983">
        <f t="shared" ca="1" si="0"/>
        <v>-81097</v>
      </c>
      <c r="G9" s="2983">
        <f t="shared" ca="1" si="1"/>
        <v>3132</v>
      </c>
      <c r="H9" s="2983">
        <f t="shared" ca="1" si="2"/>
        <v>131436</v>
      </c>
      <c r="I9" s="2983">
        <f>典型户型修正!S30</f>
        <v>7267</v>
      </c>
      <c r="J9" s="2983">
        <f>典型户型修正!R30</f>
        <v>50339</v>
      </c>
    </row>
    <row r="10" spans="1:11" ht="13.2">
      <c r="A10" s="2957" t="s">
        <v>3109</v>
      </c>
      <c r="B10" s="2957" t="s">
        <v>3163</v>
      </c>
      <c r="C10" s="2982">
        <v>149.43</v>
      </c>
      <c r="D10" s="2957">
        <v>14.18</v>
      </c>
      <c r="E10" s="2983">
        <f t="shared" ca="1" si="0"/>
        <v>4135</v>
      </c>
      <c r="F10" s="2983">
        <f t="shared" ca="1" si="0"/>
        <v>-159257</v>
      </c>
      <c r="G10" s="2983">
        <f t="shared" ca="1" si="1"/>
        <v>3132</v>
      </c>
      <c r="H10" s="2983">
        <f t="shared" ca="1" si="2"/>
        <v>209596</v>
      </c>
      <c r="I10" s="2983">
        <f>典型户型修正!S31</f>
        <v>7267</v>
      </c>
      <c r="J10" s="2983">
        <f>典型户型修正!R31</f>
        <v>50339</v>
      </c>
    </row>
    <row r="11" spans="1:11" ht="13.2">
      <c r="A11" s="2957" t="s">
        <v>3110</v>
      </c>
      <c r="B11" s="2957" t="s">
        <v>3163</v>
      </c>
      <c r="C11" s="2982">
        <v>84.25</v>
      </c>
      <c r="D11" s="2957">
        <v>7.99</v>
      </c>
      <c r="E11" s="2983">
        <f t="shared" ca="1" si="0"/>
        <v>4135</v>
      </c>
      <c r="F11" s="2983">
        <f t="shared" ca="1" si="0"/>
        <v>-321412</v>
      </c>
      <c r="G11" s="2983">
        <f t="shared" ca="1" si="1"/>
        <v>3132</v>
      </c>
      <c r="H11" s="2983">
        <f t="shared" ca="1" si="2"/>
        <v>371751</v>
      </c>
      <c r="I11" s="2983">
        <f>典型户型修正!S32</f>
        <v>7267</v>
      </c>
      <c r="J11" s="2983">
        <f>典型户型修正!R32</f>
        <v>50339</v>
      </c>
    </row>
    <row r="12" spans="1:11" ht="13.2">
      <c r="A12" s="2957" t="s">
        <v>3111</v>
      </c>
      <c r="B12" s="2957" t="s">
        <v>3163</v>
      </c>
      <c r="C12" s="2982">
        <v>2160.11</v>
      </c>
      <c r="D12" s="2957">
        <v>204.91</v>
      </c>
      <c r="E12" s="2983">
        <f t="shared" ca="1" si="0"/>
        <v>3102</v>
      </c>
      <c r="F12" s="2983">
        <f t="shared" ca="1" si="0"/>
        <v>26880</v>
      </c>
      <c r="G12" s="2983">
        <f t="shared" ca="1" si="1"/>
        <v>2349</v>
      </c>
      <c r="H12" s="2983">
        <f t="shared" ca="1" si="2"/>
        <v>10874</v>
      </c>
      <c r="I12" s="2983">
        <f>典型户型修正!S33</f>
        <v>5451</v>
      </c>
      <c r="J12" s="2983">
        <f>典型户型修正!R33</f>
        <v>37754</v>
      </c>
    </row>
    <row r="13" spans="1:11" ht="13.2">
      <c r="A13" s="2957" t="s">
        <v>3112</v>
      </c>
      <c r="B13" s="2957" t="s">
        <v>3163</v>
      </c>
      <c r="C13" s="2982">
        <v>771.83</v>
      </c>
      <c r="D13" s="2957">
        <v>73.209999999999994</v>
      </c>
      <c r="E13" s="2983">
        <f t="shared" ca="1" si="0"/>
        <v>0</v>
      </c>
      <c r="F13" s="2983">
        <f t="shared" ca="1" si="0"/>
        <v>0</v>
      </c>
      <c r="G13" s="2983">
        <f t="shared" ca="1" si="1"/>
        <v>0</v>
      </c>
      <c r="H13" s="2983">
        <f t="shared" ca="1" si="2"/>
        <v>0</v>
      </c>
      <c r="I13" s="2983">
        <f>典型户型修正!S34</f>
        <v>0</v>
      </c>
      <c r="J13" s="2983">
        <f>典型户型修正!R34</f>
        <v>0</v>
      </c>
    </row>
    <row r="14" spans="1:11" ht="13.2">
      <c r="A14" s="2957" t="s">
        <v>3113</v>
      </c>
      <c r="B14" s="2957" t="s">
        <v>3163</v>
      </c>
      <c r="C14" s="2982">
        <v>419.37</v>
      </c>
      <c r="D14" s="2957">
        <v>39.78</v>
      </c>
      <c r="E14" s="2983">
        <f t="shared" ca="1" si="0"/>
        <v>0</v>
      </c>
      <c r="F14" s="2983">
        <f t="shared" ca="1" si="0"/>
        <v>0</v>
      </c>
      <c r="G14" s="2983">
        <f t="shared" ca="1" si="1"/>
        <v>0</v>
      </c>
      <c r="H14" s="2983">
        <f ca="1">ROUND(G14/C14*10000,0)</f>
        <v>0</v>
      </c>
      <c r="I14" s="2983">
        <f>典型户型修正!S35</f>
        <v>0</v>
      </c>
      <c r="J14" s="2983">
        <f>典型户型修正!R35</f>
        <v>0</v>
      </c>
    </row>
    <row r="15" spans="1:11" s="2986" customFormat="1" ht="13.2">
      <c r="A15" s="3580" t="s">
        <v>3165</v>
      </c>
      <c r="B15" s="3581"/>
      <c r="C15" s="2984">
        <f>SUM(C3:C14)</f>
        <v>4510.37</v>
      </c>
      <c r="D15" s="2984">
        <f t="shared" ref="D15" si="3">SUM(D3:D14)</f>
        <v>427.85</v>
      </c>
      <c r="E15" s="2985">
        <f ca="1">SUM(E3:E14)</f>
        <v>39271</v>
      </c>
      <c r="F15" s="2985">
        <f ca="1">J15-H15</f>
        <v>87068</v>
      </c>
      <c r="G15" s="2985">
        <f ca="1">SUM(G3:G14)</f>
        <v>29744</v>
      </c>
      <c r="H15" s="2985">
        <f ca="1">ROUND(G15/C15*10000,0)</f>
        <v>65946</v>
      </c>
      <c r="I15" s="2985">
        <f>SUM(I3:I14)</f>
        <v>69015</v>
      </c>
      <c r="J15" s="2985">
        <f>ROUND(I15/C15*10000,0)</f>
        <v>153014</v>
      </c>
      <c r="K15" s="2986">
        <f ca="1">G15+E15</f>
        <v>69015</v>
      </c>
    </row>
    <row r="16" spans="1:11" ht="13.2">
      <c r="A16" s="2957" t="str">
        <f>面积表!G14</f>
        <v>-1</v>
      </c>
      <c r="B16" s="2957" t="s">
        <v>3166</v>
      </c>
      <c r="C16" s="2982">
        <f>面积表!I14</f>
        <v>701.01</v>
      </c>
      <c r="D16" s="2957" t="str">
        <f>面积表!H14</f>
        <v>地下车库</v>
      </c>
      <c r="E16" s="2983" t="e">
        <f t="shared" ca="1" si="0"/>
        <v>#N/A</v>
      </c>
      <c r="F16" s="2983" t="e">
        <f t="shared" ca="1" si="0"/>
        <v>#N/A</v>
      </c>
      <c r="G16" s="2983" t="e">
        <f ca="1">ROUND(I16*$K$16,0)</f>
        <v>#N/A</v>
      </c>
      <c r="H16" s="2983" t="e">
        <f ca="1">ROUND(G16/C16*10000,0)</f>
        <v>#N/A</v>
      </c>
      <c r="I16" s="2983">
        <f>典型户型修正办!S24</f>
        <v>628</v>
      </c>
      <c r="J16" s="2983">
        <f>典型户型修正办!R24</f>
        <v>39114</v>
      </c>
      <c r="K16" s="2980" t="e">
        <f ca="1">收益法办自!C13/收益法办自!C40</f>
        <v>#N/A</v>
      </c>
    </row>
    <row r="17" spans="1:10" ht="13.2">
      <c r="A17" s="2975" t="str">
        <f>面积表!G15</f>
        <v>1</v>
      </c>
      <c r="B17" s="2975" t="s">
        <v>3166</v>
      </c>
      <c r="C17" s="2982">
        <f>面积表!I15</f>
        <v>31.96</v>
      </c>
      <c r="D17" s="2975" t="str">
        <f>面积表!H15</f>
        <v>商业综合</v>
      </c>
      <c r="E17" s="2983" t="e">
        <f t="shared" ca="1" si="0"/>
        <v>#N/A</v>
      </c>
      <c r="F17" s="2983" t="e">
        <f t="shared" ca="1" si="0"/>
        <v>#N/A</v>
      </c>
      <c r="G17" s="2983" t="e">
        <f t="shared" ref="G17:G52" ca="1" si="4">ROUND(I17*$K$16,0)</f>
        <v>#N/A</v>
      </c>
      <c r="H17" s="2983" t="e">
        <f t="shared" ref="H17:H52" ca="1" si="5">ROUND(G17/C17*10000,0)</f>
        <v>#N/A</v>
      </c>
      <c r="I17" s="2983">
        <f>典型户型修正办!S25</f>
        <v>595</v>
      </c>
      <c r="J17" s="2983">
        <f>典型户型修正办!R25</f>
        <v>39114</v>
      </c>
    </row>
    <row r="18" spans="1:10" ht="13.2">
      <c r="A18" s="2975" t="str">
        <f>面积表!G16</f>
        <v>5</v>
      </c>
      <c r="B18" s="2975" t="s">
        <v>3166</v>
      </c>
      <c r="C18" s="2982">
        <f>面积表!I16</f>
        <v>160.65</v>
      </c>
      <c r="D18" s="2975" t="str">
        <f>面积表!H16</f>
        <v>商业综合</v>
      </c>
      <c r="E18" s="2983" t="e">
        <f t="shared" ca="1" si="0"/>
        <v>#N/A</v>
      </c>
      <c r="F18" s="2983" t="e">
        <f t="shared" ca="1" si="0"/>
        <v>#N/A</v>
      </c>
      <c r="G18" s="2983" t="e">
        <f t="shared" ca="1" si="4"/>
        <v>#N/A</v>
      </c>
      <c r="H18" s="2983" t="e">
        <f t="shared" ca="1" si="5"/>
        <v>#N/A</v>
      </c>
      <c r="I18" s="2983">
        <f>典型户型修正办!S26</f>
        <v>595</v>
      </c>
      <c r="J18" s="2983">
        <f>典型户型修正办!R26</f>
        <v>39114</v>
      </c>
    </row>
    <row r="19" spans="1:10" ht="13.2">
      <c r="A19" s="2975" t="str">
        <f>面积表!G17</f>
        <v>5</v>
      </c>
      <c r="B19" s="2975" t="s">
        <v>3166</v>
      </c>
      <c r="C19" s="2982">
        <f>面积表!I17</f>
        <v>152</v>
      </c>
      <c r="D19" s="2975" t="str">
        <f>面积表!H17</f>
        <v>商业综合</v>
      </c>
      <c r="E19" s="2983" t="e">
        <f t="shared" ca="1" si="0"/>
        <v>#N/A</v>
      </c>
      <c r="F19" s="2983" t="e">
        <f t="shared" ca="1" si="0"/>
        <v>#N/A</v>
      </c>
      <c r="G19" s="2983" t="e">
        <f t="shared" ca="1" si="4"/>
        <v>#N/A</v>
      </c>
      <c r="H19" s="2983" t="e">
        <f t="shared" ca="1" si="5"/>
        <v>#N/A</v>
      </c>
      <c r="I19" s="2983">
        <f>典型户型修正办!S27</f>
        <v>595</v>
      </c>
      <c r="J19" s="2983">
        <f>典型户型修正办!R27</f>
        <v>39114</v>
      </c>
    </row>
    <row r="20" spans="1:10" ht="13.2">
      <c r="A20" s="2975" t="str">
        <f>面积表!G18</f>
        <v>5</v>
      </c>
      <c r="B20" s="2975" t="s">
        <v>3166</v>
      </c>
      <c r="C20" s="2982">
        <f>面积表!I18</f>
        <v>152</v>
      </c>
      <c r="D20" s="2975" t="str">
        <f>面积表!H18</f>
        <v>商业综合</v>
      </c>
      <c r="E20" s="2983" t="e">
        <f t="shared" ca="1" si="0"/>
        <v>#N/A</v>
      </c>
      <c r="F20" s="2983" t="e">
        <f t="shared" ca="1" si="0"/>
        <v>#N/A</v>
      </c>
      <c r="G20" s="2983" t="e">
        <f t="shared" ca="1" si="4"/>
        <v>#N/A</v>
      </c>
      <c r="H20" s="2983" t="e">
        <f t="shared" ca="1" si="5"/>
        <v>#N/A</v>
      </c>
      <c r="I20" s="2983">
        <f>典型户型修正办!S28</f>
        <v>595</v>
      </c>
      <c r="J20" s="2983">
        <f>典型户型修正办!R28</f>
        <v>39114</v>
      </c>
    </row>
    <row r="21" spans="1:10" ht="13.2">
      <c r="A21" s="2975" t="str">
        <f>面积表!G19</f>
        <v>5</v>
      </c>
      <c r="B21" s="2975" t="s">
        <v>3166</v>
      </c>
      <c r="C21" s="2982">
        <f>面积表!I19</f>
        <v>152</v>
      </c>
      <c r="D21" s="2975" t="str">
        <f>面积表!H19</f>
        <v>商业综合</v>
      </c>
      <c r="E21" s="2983" t="e">
        <f t="shared" ca="1" si="0"/>
        <v>#N/A</v>
      </c>
      <c r="F21" s="2983" t="e">
        <f t="shared" ca="1" si="0"/>
        <v>#N/A</v>
      </c>
      <c r="G21" s="2983" t="e">
        <f t="shared" ca="1" si="4"/>
        <v>#N/A</v>
      </c>
      <c r="H21" s="2983" t="e">
        <f t="shared" ca="1" si="5"/>
        <v>#N/A</v>
      </c>
      <c r="I21" s="2983">
        <f>典型户型修正办!S29</f>
        <v>815</v>
      </c>
      <c r="J21" s="2983">
        <f>典型户型修正办!R29</f>
        <v>39114</v>
      </c>
    </row>
    <row r="22" spans="1:10" ht="13.2">
      <c r="A22" s="2975" t="str">
        <f>面积表!G20</f>
        <v>5</v>
      </c>
      <c r="B22" s="2975" t="s">
        <v>3166</v>
      </c>
      <c r="C22" s="2982">
        <f>面积表!I20</f>
        <v>152</v>
      </c>
      <c r="D22" s="2975" t="str">
        <f>面积表!H20</f>
        <v>商业综合</v>
      </c>
      <c r="E22" s="2983" t="e">
        <f t="shared" ca="1" si="0"/>
        <v>#N/A</v>
      </c>
      <c r="F22" s="2983" t="e">
        <f t="shared" ca="1" si="0"/>
        <v>#N/A</v>
      </c>
      <c r="G22" s="2983" t="e">
        <f t="shared" ca="1" si="4"/>
        <v>#N/A</v>
      </c>
      <c r="H22" s="2983" t="e">
        <f t="shared" ca="1" si="5"/>
        <v>#N/A</v>
      </c>
      <c r="I22" s="2983">
        <f>典型户型修正办!S30</f>
        <v>872</v>
      </c>
      <c r="J22" s="2983">
        <f>典型户型修正办!R30</f>
        <v>39114</v>
      </c>
    </row>
    <row r="23" spans="1:10" ht="13.2">
      <c r="A23" s="2975" t="str">
        <f>面积表!G21</f>
        <v>5</v>
      </c>
      <c r="B23" s="2975" t="s">
        <v>3166</v>
      </c>
      <c r="C23" s="2982">
        <f>面积表!I21</f>
        <v>208.31</v>
      </c>
      <c r="D23" s="2975" t="str">
        <f>面积表!H21</f>
        <v>商业综合</v>
      </c>
      <c r="E23" s="2983" t="e">
        <f t="shared" ca="1" si="0"/>
        <v>#N/A</v>
      </c>
      <c r="F23" s="2983" t="e">
        <f t="shared" ca="1" si="0"/>
        <v>#N/A</v>
      </c>
      <c r="G23" s="2983" t="e">
        <f t="shared" ca="1" si="4"/>
        <v>#N/A</v>
      </c>
      <c r="H23" s="2983" t="e">
        <f t="shared" ca="1" si="5"/>
        <v>#N/A</v>
      </c>
      <c r="I23" s="2983">
        <f>典型户型修正办!S31</f>
        <v>595</v>
      </c>
      <c r="J23" s="2983">
        <f>典型户型修正办!R31</f>
        <v>39114</v>
      </c>
    </row>
    <row r="24" spans="1:10" ht="13.2">
      <c r="A24" s="2975" t="str">
        <f>面积表!G22</f>
        <v>5</v>
      </c>
      <c r="B24" s="2975" t="s">
        <v>3166</v>
      </c>
      <c r="C24" s="2982">
        <f>面积表!I22</f>
        <v>222.93</v>
      </c>
      <c r="D24" s="2975" t="str">
        <f>面积表!H22</f>
        <v>商业综合</v>
      </c>
      <c r="E24" s="2983" t="e">
        <f t="shared" ca="1" si="0"/>
        <v>#N/A</v>
      </c>
      <c r="F24" s="2983" t="e">
        <f t="shared" ca="1" si="0"/>
        <v>#N/A</v>
      </c>
      <c r="G24" s="2983" t="e">
        <f t="shared" ca="1" si="4"/>
        <v>#N/A</v>
      </c>
      <c r="H24" s="2983" t="e">
        <f t="shared" ca="1" si="5"/>
        <v>#N/A</v>
      </c>
      <c r="I24" s="2983">
        <f>典型户型修正办!S32</f>
        <v>457</v>
      </c>
      <c r="J24" s="2983">
        <f>典型户型修正办!R32</f>
        <v>39114</v>
      </c>
    </row>
    <row r="25" spans="1:10" ht="13.2">
      <c r="A25" s="2975" t="str">
        <f>面积表!G23</f>
        <v>5</v>
      </c>
      <c r="B25" s="2975" t="s">
        <v>3166</v>
      </c>
      <c r="C25" s="2982">
        <f>面积表!I23</f>
        <v>152.03</v>
      </c>
      <c r="D25" s="2975" t="str">
        <f>面积表!H23</f>
        <v>商业综合</v>
      </c>
      <c r="E25" s="2983" t="e">
        <f t="shared" ca="1" si="0"/>
        <v>#N/A</v>
      </c>
      <c r="F25" s="2983" t="e">
        <f t="shared" ca="1" si="0"/>
        <v>#N/A</v>
      </c>
      <c r="G25" s="2983" t="e">
        <f t="shared" ca="1" si="4"/>
        <v>#N/A</v>
      </c>
      <c r="H25" s="2983" t="e">
        <f t="shared" ca="1" si="5"/>
        <v>#N/A</v>
      </c>
      <c r="I25" s="2983">
        <f>典型户型修正办!S33</f>
        <v>654</v>
      </c>
      <c r="J25" s="2983">
        <f>典型户型修正办!R33</f>
        <v>40679</v>
      </c>
    </row>
    <row r="26" spans="1:10" ht="13.2">
      <c r="A26" s="2975" t="str">
        <f>面积表!G24</f>
        <v>5</v>
      </c>
      <c r="B26" s="2975" t="s">
        <v>3166</v>
      </c>
      <c r="C26" s="2982">
        <f>面积表!I24</f>
        <v>116.9</v>
      </c>
      <c r="D26" s="2975" t="str">
        <f>面积表!H24</f>
        <v>商业综合</v>
      </c>
      <c r="E26" s="2983" t="e">
        <f t="shared" ca="1" si="0"/>
        <v>#N/A</v>
      </c>
      <c r="F26" s="2983" t="e">
        <f t="shared" ca="1" si="0"/>
        <v>#N/A</v>
      </c>
      <c r="G26" s="2983" t="e">
        <f t="shared" ca="1" si="4"/>
        <v>#N/A</v>
      </c>
      <c r="H26" s="2983" t="e">
        <f t="shared" ca="1" si="5"/>
        <v>#N/A</v>
      </c>
      <c r="I26" s="2983">
        <f>典型户型修正办!S34</f>
        <v>618</v>
      </c>
      <c r="J26" s="2983">
        <f>典型户型修正办!R34</f>
        <v>40679</v>
      </c>
    </row>
    <row r="27" spans="1:10" ht="13.2">
      <c r="A27" s="2975" t="str">
        <f>面积表!G25</f>
        <v>6</v>
      </c>
      <c r="B27" s="2975" t="s">
        <v>3166</v>
      </c>
      <c r="C27" s="2982">
        <f>面积表!I25</f>
        <v>160.65</v>
      </c>
      <c r="D27" s="2975" t="str">
        <f>面积表!H25</f>
        <v>商业综合</v>
      </c>
      <c r="E27" s="2983" t="e">
        <f t="shared" ca="1" si="0"/>
        <v>#N/A</v>
      </c>
      <c r="F27" s="2983" t="e">
        <f t="shared" ca="1" si="0"/>
        <v>#N/A</v>
      </c>
      <c r="G27" s="2983" t="e">
        <f t="shared" ca="1" si="4"/>
        <v>#N/A</v>
      </c>
      <c r="H27" s="2983" t="e">
        <f t="shared" ca="1" si="5"/>
        <v>#N/A</v>
      </c>
      <c r="I27" s="2983">
        <f>典型户型修正办!S35</f>
        <v>618</v>
      </c>
      <c r="J27" s="2983">
        <f>典型户型修正办!R35</f>
        <v>40679</v>
      </c>
    </row>
    <row r="28" spans="1:10" ht="13.2">
      <c r="A28" s="2975" t="str">
        <f>面积表!G26</f>
        <v>6</v>
      </c>
      <c r="B28" s="2975" t="s">
        <v>3166</v>
      </c>
      <c r="C28" s="2982">
        <f>面积表!I26</f>
        <v>152</v>
      </c>
      <c r="D28" s="2975" t="str">
        <f>面积表!H26</f>
        <v>商业综合</v>
      </c>
      <c r="E28" s="2983" t="e">
        <f t="shared" ca="1" si="0"/>
        <v>#N/A</v>
      </c>
      <c r="F28" s="2983" t="e">
        <f t="shared" ca="1" si="0"/>
        <v>#N/A</v>
      </c>
      <c r="G28" s="2983" t="e">
        <f t="shared" ca="1" si="4"/>
        <v>#N/A</v>
      </c>
      <c r="H28" s="2983" t="e">
        <f t="shared" ca="1" si="5"/>
        <v>#N/A</v>
      </c>
      <c r="I28" s="2983">
        <f>典型户型修正办!S36</f>
        <v>618</v>
      </c>
      <c r="J28" s="2983">
        <f>典型户型修正办!R36</f>
        <v>40679</v>
      </c>
    </row>
    <row r="29" spans="1:10" ht="13.2">
      <c r="A29" s="2975" t="str">
        <f>面积表!G27</f>
        <v>6</v>
      </c>
      <c r="B29" s="2975" t="s">
        <v>3166</v>
      </c>
      <c r="C29" s="2982">
        <f>面积表!I27</f>
        <v>152</v>
      </c>
      <c r="D29" s="2975" t="str">
        <f>面积表!H27</f>
        <v>商业综合</v>
      </c>
      <c r="E29" s="2983" t="e">
        <f t="shared" ca="1" si="0"/>
        <v>#N/A</v>
      </c>
      <c r="F29" s="2983" t="e">
        <f t="shared" ca="1" si="0"/>
        <v>#N/A</v>
      </c>
      <c r="G29" s="2983" t="e">
        <f t="shared" ca="1" si="4"/>
        <v>#N/A</v>
      </c>
      <c r="H29" s="2983" t="e">
        <f t="shared" ca="1" si="5"/>
        <v>#N/A</v>
      </c>
      <c r="I29" s="2983">
        <f>典型户型修正办!S37</f>
        <v>618</v>
      </c>
      <c r="J29" s="2983">
        <f>典型户型修正办!R37</f>
        <v>40679</v>
      </c>
    </row>
    <row r="30" spans="1:10" ht="13.2">
      <c r="A30" s="2975" t="str">
        <f>面积表!G28</f>
        <v>6</v>
      </c>
      <c r="B30" s="2975" t="s">
        <v>3166</v>
      </c>
      <c r="C30" s="2982">
        <f>面积表!I28</f>
        <v>152</v>
      </c>
      <c r="D30" s="2975" t="str">
        <f>面积表!H28</f>
        <v>商业综合</v>
      </c>
      <c r="E30" s="2983" t="e">
        <f t="shared" ca="1" si="0"/>
        <v>#N/A</v>
      </c>
      <c r="F30" s="2983" t="e">
        <f t="shared" ca="1" si="0"/>
        <v>#N/A</v>
      </c>
      <c r="G30" s="2983" t="e">
        <f t="shared" ca="1" si="4"/>
        <v>#N/A</v>
      </c>
      <c r="H30" s="2983" t="e">
        <f t="shared" ca="1" si="5"/>
        <v>#N/A</v>
      </c>
      <c r="I30" s="2983">
        <f>典型户型修正办!S38</f>
        <v>847</v>
      </c>
      <c r="J30" s="2983">
        <f>典型户型修正办!R38</f>
        <v>40679</v>
      </c>
    </row>
    <row r="31" spans="1:10" ht="13.2">
      <c r="A31" s="2975" t="str">
        <f>面积表!G29</f>
        <v>6</v>
      </c>
      <c r="B31" s="2975" t="s">
        <v>3166</v>
      </c>
      <c r="C31" s="2982">
        <f>面积表!I29</f>
        <v>152</v>
      </c>
      <c r="D31" s="2975" t="str">
        <f>面积表!H29</f>
        <v>商业综合</v>
      </c>
      <c r="E31" s="2983" t="e">
        <f t="shared" ca="1" si="0"/>
        <v>#N/A</v>
      </c>
      <c r="F31" s="2983" t="e">
        <f t="shared" ca="1" si="0"/>
        <v>#N/A</v>
      </c>
      <c r="G31" s="2983" t="e">
        <f t="shared" ca="1" si="4"/>
        <v>#N/A</v>
      </c>
      <c r="H31" s="2983" t="e">
        <f t="shared" ca="1" si="5"/>
        <v>#N/A</v>
      </c>
      <c r="I31" s="2983">
        <f>典型户型修正办!S39</f>
        <v>907</v>
      </c>
      <c r="J31" s="2983">
        <f>典型户型修正办!R39</f>
        <v>40679</v>
      </c>
    </row>
    <row r="32" spans="1:10" ht="13.2">
      <c r="A32" s="2975" t="str">
        <f>面积表!G30</f>
        <v>6</v>
      </c>
      <c r="B32" s="2975" t="s">
        <v>3166</v>
      </c>
      <c r="C32" s="2982">
        <f>面积表!I30</f>
        <v>208.31</v>
      </c>
      <c r="D32" s="2975" t="str">
        <f>面积表!H30</f>
        <v>商业综合</v>
      </c>
      <c r="E32" s="2983" t="e">
        <f t="shared" ca="1" si="0"/>
        <v>#N/A</v>
      </c>
      <c r="F32" s="2983" t="e">
        <f t="shared" ca="1" si="0"/>
        <v>#N/A</v>
      </c>
      <c r="G32" s="2983" t="e">
        <f t="shared" ca="1" si="4"/>
        <v>#N/A</v>
      </c>
      <c r="H32" s="2983" t="e">
        <f t="shared" ca="1" si="5"/>
        <v>#N/A</v>
      </c>
      <c r="I32" s="2983">
        <f>典型户型修正办!S40</f>
        <v>618</v>
      </c>
      <c r="J32" s="2983">
        <f>典型户型修正办!R40</f>
        <v>40679</v>
      </c>
    </row>
    <row r="33" spans="1:10" ht="13.2">
      <c r="A33" s="2975" t="str">
        <f>面积表!G31</f>
        <v>6</v>
      </c>
      <c r="B33" s="2975" t="s">
        <v>3166</v>
      </c>
      <c r="C33" s="2982">
        <f>面积表!I31</f>
        <v>222.93</v>
      </c>
      <c r="D33" s="2975" t="str">
        <f>面积表!H31</f>
        <v>商业综合</v>
      </c>
      <c r="E33" s="2983" t="e">
        <f t="shared" ca="1" si="0"/>
        <v>#N/A</v>
      </c>
      <c r="F33" s="2983" t="e">
        <f t="shared" ca="1" si="0"/>
        <v>#N/A</v>
      </c>
      <c r="G33" s="2983" t="e">
        <f t="shared" ca="1" si="4"/>
        <v>#N/A</v>
      </c>
      <c r="H33" s="2983" t="e">
        <f t="shared" ca="1" si="5"/>
        <v>#N/A</v>
      </c>
      <c r="I33" s="2983">
        <f>典型户型修正办!S41</f>
        <v>476</v>
      </c>
      <c r="J33" s="2983">
        <f>典型户型修正办!R41</f>
        <v>40679</v>
      </c>
    </row>
    <row r="34" spans="1:10" ht="13.2">
      <c r="A34" s="2975" t="str">
        <f>面积表!G32</f>
        <v>6</v>
      </c>
      <c r="B34" s="2975" t="s">
        <v>3166</v>
      </c>
      <c r="C34" s="2982">
        <f>面积表!I32</f>
        <v>152.03</v>
      </c>
      <c r="D34" s="2975" t="str">
        <f>面积表!H32</f>
        <v>商业综合</v>
      </c>
      <c r="E34" s="2983" t="e">
        <f t="shared" ca="1" si="0"/>
        <v>#N/A</v>
      </c>
      <c r="F34" s="2983" t="e">
        <f t="shared" ca="1" si="0"/>
        <v>#N/A</v>
      </c>
      <c r="G34" s="2983" t="e">
        <f t="shared" ca="1" si="4"/>
        <v>#N/A</v>
      </c>
      <c r="H34" s="2983" t="e">
        <f t="shared" ca="1" si="5"/>
        <v>#N/A</v>
      </c>
      <c r="I34" s="2983">
        <f>典型户型修正办!S42</f>
        <v>654</v>
      </c>
      <c r="J34" s="2983">
        <f>典型户型修正办!R42</f>
        <v>40679</v>
      </c>
    </row>
    <row r="35" spans="1:10" ht="13.2">
      <c r="A35" s="2975" t="str">
        <f>面积表!G33</f>
        <v>6</v>
      </c>
      <c r="B35" s="2975" t="s">
        <v>3166</v>
      </c>
      <c r="C35" s="2982">
        <f>面积表!I33</f>
        <v>116.9</v>
      </c>
      <c r="D35" s="2975" t="str">
        <f>面积表!H33</f>
        <v>商业综合</v>
      </c>
      <c r="E35" s="2983" t="e">
        <f t="shared" ca="1" si="0"/>
        <v>#N/A</v>
      </c>
      <c r="F35" s="2983" t="e">
        <f t="shared" ca="1" si="0"/>
        <v>#N/A</v>
      </c>
      <c r="G35" s="2983" t="e">
        <f t="shared" ca="1" si="4"/>
        <v>#N/A</v>
      </c>
      <c r="H35" s="2983" t="e">
        <f t="shared" ca="1" si="5"/>
        <v>#N/A</v>
      </c>
      <c r="I35" s="2983">
        <f>典型户型修正办!S43</f>
        <v>618</v>
      </c>
      <c r="J35" s="2983">
        <f>典型户型修正办!R43</f>
        <v>40679</v>
      </c>
    </row>
    <row r="36" spans="1:10" ht="13.2">
      <c r="A36" s="2975" t="str">
        <f>面积表!G34</f>
        <v>7</v>
      </c>
      <c r="B36" s="2975" t="s">
        <v>3166</v>
      </c>
      <c r="C36" s="2982">
        <f>面积表!I34</f>
        <v>160.65</v>
      </c>
      <c r="D36" s="2975" t="str">
        <f>面积表!H34</f>
        <v>商业综合</v>
      </c>
      <c r="E36" s="2983" t="e">
        <f t="shared" ca="1" si="0"/>
        <v>#N/A</v>
      </c>
      <c r="F36" s="2983" t="e">
        <f t="shared" ca="1" si="0"/>
        <v>#N/A</v>
      </c>
      <c r="G36" s="2983" t="e">
        <f t="shared" ca="1" si="4"/>
        <v>#N/A</v>
      </c>
      <c r="H36" s="2983" t="e">
        <f t="shared" ca="1" si="5"/>
        <v>#N/A</v>
      </c>
      <c r="I36" s="2983">
        <f>典型户型修正办!S44</f>
        <v>618</v>
      </c>
      <c r="J36" s="2983">
        <f>典型户型修正办!R44</f>
        <v>40679</v>
      </c>
    </row>
    <row r="37" spans="1:10" ht="13.2">
      <c r="A37" s="2975" t="str">
        <f>面积表!G35</f>
        <v>7</v>
      </c>
      <c r="B37" s="2975" t="s">
        <v>3166</v>
      </c>
      <c r="C37" s="2982">
        <f>面积表!I35</f>
        <v>152</v>
      </c>
      <c r="D37" s="2975" t="str">
        <f>面积表!H35</f>
        <v>商业综合</v>
      </c>
      <c r="E37" s="2983" t="e">
        <f t="shared" ca="1" si="0"/>
        <v>#N/A</v>
      </c>
      <c r="F37" s="2983" t="e">
        <f t="shared" ca="1" si="0"/>
        <v>#N/A</v>
      </c>
      <c r="G37" s="2983" t="e">
        <f t="shared" ca="1" si="4"/>
        <v>#N/A</v>
      </c>
      <c r="H37" s="2983" t="e">
        <f t="shared" ca="1" si="5"/>
        <v>#N/A</v>
      </c>
      <c r="I37" s="2983">
        <f>典型户型修正办!S45</f>
        <v>618</v>
      </c>
      <c r="J37" s="2983">
        <f>典型户型修正办!R45</f>
        <v>40679</v>
      </c>
    </row>
    <row r="38" spans="1:10" ht="13.2">
      <c r="A38" s="2975" t="str">
        <f>面积表!G36</f>
        <v>7</v>
      </c>
      <c r="B38" s="2975" t="s">
        <v>3166</v>
      </c>
      <c r="C38" s="2982">
        <f>面积表!I36</f>
        <v>152</v>
      </c>
      <c r="D38" s="2975" t="str">
        <f>面积表!H36</f>
        <v>商业综合</v>
      </c>
      <c r="E38" s="2983" t="e">
        <f t="shared" ca="1" si="0"/>
        <v>#N/A</v>
      </c>
      <c r="F38" s="2983" t="e">
        <f t="shared" ca="1" si="0"/>
        <v>#N/A</v>
      </c>
      <c r="G38" s="2983" t="e">
        <f t="shared" ca="1" si="4"/>
        <v>#N/A</v>
      </c>
      <c r="H38" s="2983" t="e">
        <f t="shared" ca="1" si="5"/>
        <v>#N/A</v>
      </c>
      <c r="I38" s="2983">
        <f>典型户型修正办!S46</f>
        <v>618</v>
      </c>
      <c r="J38" s="2983">
        <f>典型户型修正办!R46</f>
        <v>40679</v>
      </c>
    </row>
    <row r="39" spans="1:10" ht="13.2">
      <c r="A39" s="2975" t="str">
        <f>面积表!G37</f>
        <v>7</v>
      </c>
      <c r="B39" s="2975" t="s">
        <v>3166</v>
      </c>
      <c r="C39" s="2982">
        <f>面积表!I37</f>
        <v>152</v>
      </c>
      <c r="D39" s="2975" t="str">
        <f>面积表!H37</f>
        <v>商业综合</v>
      </c>
      <c r="E39" s="2983" t="e">
        <f t="shared" ca="1" si="0"/>
        <v>#N/A</v>
      </c>
      <c r="F39" s="2983" t="e">
        <f t="shared" ca="1" si="0"/>
        <v>#N/A</v>
      </c>
      <c r="G39" s="2983" t="e">
        <f t="shared" ca="1" si="4"/>
        <v>#N/A</v>
      </c>
      <c r="H39" s="2983" t="e">
        <f t="shared" ca="1" si="5"/>
        <v>#N/A</v>
      </c>
      <c r="I39" s="2983">
        <f>典型户型修正办!S47</f>
        <v>847</v>
      </c>
      <c r="J39" s="2983">
        <f>典型户型修正办!R47</f>
        <v>40679</v>
      </c>
    </row>
    <row r="40" spans="1:10" ht="13.2">
      <c r="A40" s="2975" t="str">
        <f>面积表!G38</f>
        <v>7</v>
      </c>
      <c r="B40" s="2975" t="s">
        <v>3166</v>
      </c>
      <c r="C40" s="2982">
        <f>面积表!I38</f>
        <v>152</v>
      </c>
      <c r="D40" s="2975" t="str">
        <f>面积表!H38</f>
        <v>商业综合</v>
      </c>
      <c r="E40" s="2983" t="e">
        <f t="shared" ca="1" si="0"/>
        <v>#N/A</v>
      </c>
      <c r="F40" s="2983" t="e">
        <f t="shared" ca="1" si="0"/>
        <v>#N/A</v>
      </c>
      <c r="G40" s="2983" t="e">
        <f t="shared" ca="1" si="4"/>
        <v>#N/A</v>
      </c>
      <c r="H40" s="2983" t="e">
        <f t="shared" ca="1" si="5"/>
        <v>#N/A</v>
      </c>
      <c r="I40" s="2983">
        <f>典型户型修正办!S48</f>
        <v>907</v>
      </c>
      <c r="J40" s="2983">
        <f>典型户型修正办!R48</f>
        <v>40679</v>
      </c>
    </row>
    <row r="41" spans="1:10" ht="13.2">
      <c r="A41" s="2975" t="str">
        <f>面积表!G39</f>
        <v>7</v>
      </c>
      <c r="B41" s="2975" t="s">
        <v>3166</v>
      </c>
      <c r="C41" s="2982">
        <f>面积表!I39</f>
        <v>208.31</v>
      </c>
      <c r="D41" s="2975" t="str">
        <f>面积表!H39</f>
        <v>商业综合</v>
      </c>
      <c r="E41" s="2983" t="e">
        <f t="shared" ca="1" si="0"/>
        <v>#N/A</v>
      </c>
      <c r="F41" s="2983" t="e">
        <f t="shared" ca="1" si="0"/>
        <v>#N/A</v>
      </c>
      <c r="G41" s="2983" t="e">
        <f t="shared" ca="1" si="4"/>
        <v>#N/A</v>
      </c>
      <c r="H41" s="2983" t="e">
        <f t="shared" ca="1" si="5"/>
        <v>#N/A</v>
      </c>
      <c r="I41" s="2983">
        <f>典型户型修正办!S49</f>
        <v>618</v>
      </c>
      <c r="J41" s="2983">
        <f>典型户型修正办!R49</f>
        <v>40679</v>
      </c>
    </row>
    <row r="42" spans="1:10" ht="13.2">
      <c r="A42" s="2975" t="str">
        <f>面积表!G40</f>
        <v>7</v>
      </c>
      <c r="B42" s="2975" t="s">
        <v>3166</v>
      </c>
      <c r="C42" s="2982">
        <f>面积表!I40</f>
        <v>222.93</v>
      </c>
      <c r="D42" s="2975" t="str">
        <f>面积表!H40</f>
        <v>商业综合</v>
      </c>
      <c r="E42" s="2983" t="e">
        <f t="shared" ca="1" si="0"/>
        <v>#N/A</v>
      </c>
      <c r="F42" s="2983" t="e">
        <f t="shared" ca="1" si="0"/>
        <v>#N/A</v>
      </c>
      <c r="G42" s="2983" t="e">
        <f t="shared" ca="1" si="4"/>
        <v>#N/A</v>
      </c>
      <c r="H42" s="2983" t="e">
        <f t="shared" ca="1" si="5"/>
        <v>#N/A</v>
      </c>
      <c r="I42" s="2983">
        <f>典型户型修正办!S50</f>
        <v>476</v>
      </c>
      <c r="J42" s="2983">
        <f>典型户型修正办!R50</f>
        <v>40679</v>
      </c>
    </row>
    <row r="43" spans="1:10" ht="13.2">
      <c r="A43" s="2975" t="str">
        <f>面积表!G41</f>
        <v>7</v>
      </c>
      <c r="B43" s="2975" t="s">
        <v>3166</v>
      </c>
      <c r="C43" s="2982">
        <f>面积表!I41</f>
        <v>152.03</v>
      </c>
      <c r="D43" s="2975" t="str">
        <f>面积表!H41</f>
        <v>商业综合</v>
      </c>
      <c r="E43" s="2983" t="e">
        <f t="shared" ca="1" si="0"/>
        <v>#N/A</v>
      </c>
      <c r="F43" s="2983" t="e">
        <f t="shared" ca="1" si="0"/>
        <v>#N/A</v>
      </c>
      <c r="G43" s="2983" t="e">
        <f t="shared" ca="1" si="4"/>
        <v>#N/A</v>
      </c>
      <c r="H43" s="2983" t="e">
        <f t="shared" ca="1" si="5"/>
        <v>#N/A</v>
      </c>
      <c r="I43" s="2983">
        <f>典型户型修正办!S51</f>
        <v>654</v>
      </c>
      <c r="J43" s="2983">
        <f>典型户型修正办!R51</f>
        <v>40679</v>
      </c>
    </row>
    <row r="44" spans="1:10" ht="13.2">
      <c r="A44" s="2975" t="str">
        <f>面积表!G42</f>
        <v>7</v>
      </c>
      <c r="B44" s="2975" t="s">
        <v>3166</v>
      </c>
      <c r="C44" s="2982">
        <f>面积表!I42</f>
        <v>116.9</v>
      </c>
      <c r="D44" s="2975" t="str">
        <f>面积表!H42</f>
        <v>商业综合</v>
      </c>
      <c r="E44" s="2983" t="e">
        <f t="shared" ca="1" si="0"/>
        <v>#N/A</v>
      </c>
      <c r="F44" s="2983" t="e">
        <f t="shared" ca="1" si="0"/>
        <v>#N/A</v>
      </c>
      <c r="G44" s="2983" t="e">
        <f t="shared" ca="1" si="4"/>
        <v>#N/A</v>
      </c>
      <c r="H44" s="2983" t="e">
        <f t="shared" ca="1" si="5"/>
        <v>#N/A</v>
      </c>
      <c r="I44" s="2983">
        <f>典型户型修正办!S52</f>
        <v>618</v>
      </c>
      <c r="J44" s="2983">
        <f>典型户型修正办!R52</f>
        <v>40679</v>
      </c>
    </row>
    <row r="45" spans="1:10" ht="13.2">
      <c r="A45" s="2975" t="str">
        <f>面积表!G43</f>
        <v>8</v>
      </c>
      <c r="B45" s="2975" t="s">
        <v>3166</v>
      </c>
      <c r="C45" s="2982">
        <f>面积表!I43</f>
        <v>160.65</v>
      </c>
      <c r="D45" s="2975" t="str">
        <f>面积表!H43</f>
        <v>商业综合</v>
      </c>
      <c r="E45" s="2983" t="e">
        <f t="shared" ca="1" si="0"/>
        <v>#N/A</v>
      </c>
      <c r="F45" s="2983" t="e">
        <f t="shared" ca="1" si="0"/>
        <v>#N/A</v>
      </c>
      <c r="G45" s="2983" t="e">
        <f t="shared" ca="1" si="4"/>
        <v>#N/A</v>
      </c>
      <c r="H45" s="2983" t="e">
        <f t="shared" ca="1" si="5"/>
        <v>#N/A</v>
      </c>
      <c r="I45" s="2983">
        <f>典型户型修正办!S53</f>
        <v>618</v>
      </c>
      <c r="J45" s="2983">
        <f>典型户型修正办!R53</f>
        <v>40679</v>
      </c>
    </row>
    <row r="46" spans="1:10" ht="13.2">
      <c r="A46" s="2975" t="str">
        <f>面积表!G44</f>
        <v>8</v>
      </c>
      <c r="B46" s="2975" t="s">
        <v>3166</v>
      </c>
      <c r="C46" s="2982">
        <f>面积表!I44</f>
        <v>152</v>
      </c>
      <c r="D46" s="2975" t="str">
        <f>面积表!H44</f>
        <v>商业综合</v>
      </c>
      <c r="E46" s="2983" t="e">
        <f t="shared" ca="1" si="0"/>
        <v>#N/A</v>
      </c>
      <c r="F46" s="2983" t="e">
        <f t="shared" ca="1" si="0"/>
        <v>#N/A</v>
      </c>
      <c r="G46" s="2983" t="e">
        <f t="shared" ca="1" si="4"/>
        <v>#N/A</v>
      </c>
      <c r="H46" s="2983" t="e">
        <f t="shared" ca="1" si="5"/>
        <v>#N/A</v>
      </c>
      <c r="I46" s="2983">
        <f>典型户型修正办!S54</f>
        <v>618</v>
      </c>
      <c r="J46" s="2983">
        <f>典型户型修正办!R54</f>
        <v>40679</v>
      </c>
    </row>
    <row r="47" spans="1:10" ht="13.2">
      <c r="A47" s="2975" t="str">
        <f>面积表!G45</f>
        <v>8</v>
      </c>
      <c r="B47" s="2975" t="s">
        <v>3166</v>
      </c>
      <c r="C47" s="2982">
        <f>面积表!I45</f>
        <v>152</v>
      </c>
      <c r="D47" s="2975" t="str">
        <f>面积表!H45</f>
        <v>商业综合</v>
      </c>
      <c r="E47" s="2983" t="e">
        <f t="shared" ca="1" si="0"/>
        <v>#N/A</v>
      </c>
      <c r="F47" s="2983" t="e">
        <f t="shared" ca="1" si="0"/>
        <v>#N/A</v>
      </c>
      <c r="G47" s="2983" t="e">
        <f t="shared" ca="1" si="4"/>
        <v>#N/A</v>
      </c>
      <c r="H47" s="2983" t="e">
        <f t="shared" ca="1" si="5"/>
        <v>#N/A</v>
      </c>
      <c r="I47" s="2983">
        <f>典型户型修正办!S55</f>
        <v>618</v>
      </c>
      <c r="J47" s="2983">
        <f>典型户型修正办!R55</f>
        <v>40679</v>
      </c>
    </row>
    <row r="48" spans="1:10" ht="13.2">
      <c r="A48" s="2975" t="str">
        <f>面积表!G46</f>
        <v>8</v>
      </c>
      <c r="B48" s="2975" t="s">
        <v>3166</v>
      </c>
      <c r="C48" s="2982">
        <f>面积表!I46</f>
        <v>152</v>
      </c>
      <c r="D48" s="2975" t="str">
        <f>面积表!H46</f>
        <v>商业综合</v>
      </c>
      <c r="E48" s="2983" t="e">
        <f t="shared" ca="1" si="0"/>
        <v>#N/A</v>
      </c>
      <c r="F48" s="2983" t="e">
        <f t="shared" ca="1" si="0"/>
        <v>#N/A</v>
      </c>
      <c r="G48" s="2983" t="e">
        <f t="shared" ca="1" si="4"/>
        <v>#N/A</v>
      </c>
      <c r="H48" s="2983" t="e">
        <f t="shared" ca="1" si="5"/>
        <v>#N/A</v>
      </c>
      <c r="I48" s="2983">
        <f>典型户型修正办!S56</f>
        <v>847</v>
      </c>
      <c r="J48" s="2983">
        <f>典型户型修正办!R56</f>
        <v>40679</v>
      </c>
    </row>
    <row r="49" spans="1:11" ht="13.2">
      <c r="A49" s="2975" t="str">
        <f>面积表!G47</f>
        <v>8</v>
      </c>
      <c r="B49" s="2975" t="s">
        <v>3166</v>
      </c>
      <c r="C49" s="2982">
        <f>面积表!I47</f>
        <v>152</v>
      </c>
      <c r="D49" s="2975" t="str">
        <f>面积表!H47</f>
        <v>商业综合</v>
      </c>
      <c r="E49" s="2983" t="e">
        <f t="shared" ca="1" si="0"/>
        <v>#N/A</v>
      </c>
      <c r="F49" s="2983" t="e">
        <f t="shared" ca="1" si="0"/>
        <v>#N/A</v>
      </c>
      <c r="G49" s="2983" t="e">
        <f t="shared" ca="1" si="4"/>
        <v>#N/A</v>
      </c>
      <c r="H49" s="2983" t="e">
        <f t="shared" ca="1" si="5"/>
        <v>#N/A</v>
      </c>
      <c r="I49" s="2983">
        <f>典型户型修正办!S57</f>
        <v>907</v>
      </c>
      <c r="J49" s="2983">
        <f>典型户型修正办!R57</f>
        <v>40679</v>
      </c>
    </row>
    <row r="50" spans="1:11" ht="13.2">
      <c r="A50" s="2975" t="str">
        <f>面积表!G48</f>
        <v>8</v>
      </c>
      <c r="B50" s="2975" t="s">
        <v>3166</v>
      </c>
      <c r="C50" s="2982">
        <f>面积表!I48</f>
        <v>208.31</v>
      </c>
      <c r="D50" s="2975" t="str">
        <f>面积表!H48</f>
        <v>商业综合</v>
      </c>
      <c r="E50" s="2983" t="e">
        <f t="shared" ca="1" si="0"/>
        <v>#N/A</v>
      </c>
      <c r="F50" s="2983" t="e">
        <f t="shared" ca="1" si="0"/>
        <v>#N/A</v>
      </c>
      <c r="G50" s="2983" t="e">
        <f t="shared" ca="1" si="4"/>
        <v>#N/A</v>
      </c>
      <c r="H50" s="2983" t="e">
        <f t="shared" ca="1" si="5"/>
        <v>#N/A</v>
      </c>
      <c r="I50" s="2983">
        <f>典型户型修正办!S58</f>
        <v>618</v>
      </c>
      <c r="J50" s="2983">
        <f>典型户型修正办!R58</f>
        <v>40679</v>
      </c>
    </row>
    <row r="51" spans="1:11" ht="13.2">
      <c r="A51" s="2975" t="str">
        <f>面积表!G49</f>
        <v>8</v>
      </c>
      <c r="B51" s="2975" t="s">
        <v>3166</v>
      </c>
      <c r="C51" s="2982">
        <f>面积表!I49</f>
        <v>222.93</v>
      </c>
      <c r="D51" s="2975" t="str">
        <f>面积表!H49</f>
        <v>商业综合</v>
      </c>
      <c r="E51" s="2983" t="e">
        <f t="shared" ca="1" si="0"/>
        <v>#N/A</v>
      </c>
      <c r="F51" s="2983" t="e">
        <f t="shared" ca="1" si="0"/>
        <v>#N/A</v>
      </c>
      <c r="G51" s="2983" t="e">
        <f t="shared" ca="1" si="4"/>
        <v>#N/A</v>
      </c>
      <c r="H51" s="2983" t="e">
        <f t="shared" ca="1" si="5"/>
        <v>#N/A</v>
      </c>
      <c r="I51" s="2983">
        <f>典型户型修正办!S59</f>
        <v>476</v>
      </c>
      <c r="J51" s="2983">
        <f>典型户型修正办!R59</f>
        <v>40679</v>
      </c>
    </row>
    <row r="52" spans="1:11" ht="13.2">
      <c r="A52" s="2975" t="str">
        <f>面积表!G50</f>
        <v>8</v>
      </c>
      <c r="B52" s="2975" t="s">
        <v>3166</v>
      </c>
      <c r="C52" s="2982">
        <f>面积表!I50</f>
        <v>152.03</v>
      </c>
      <c r="D52" s="2975" t="str">
        <f>面积表!H50</f>
        <v>商业综合</v>
      </c>
      <c r="E52" s="2983" t="e">
        <f t="shared" ca="1" si="0"/>
        <v>#N/A</v>
      </c>
      <c r="F52" s="2983" t="e">
        <f t="shared" ca="1" si="0"/>
        <v>#N/A</v>
      </c>
      <c r="G52" s="2983" t="e">
        <f t="shared" ca="1" si="4"/>
        <v>#N/A</v>
      </c>
      <c r="H52" s="2983" t="e">
        <f t="shared" ca="1" si="5"/>
        <v>#N/A</v>
      </c>
      <c r="I52" s="2983">
        <f>典型户型修正办!S60</f>
        <v>654</v>
      </c>
      <c r="J52" s="2983">
        <f>典型户型修正办!R60</f>
        <v>40679</v>
      </c>
    </row>
    <row r="53" spans="1:11" s="2986" customFormat="1" ht="13.2">
      <c r="A53" s="3580" t="s">
        <v>3167</v>
      </c>
      <c r="B53" s="3581"/>
      <c r="C53" s="2984">
        <f>SUM(C16:C52)</f>
        <v>6491.35</v>
      </c>
      <c r="D53" s="2984">
        <f>SUM(D16:D52)</f>
        <v>0</v>
      </c>
      <c r="E53" s="2985" t="e">
        <f ca="1">SUM(E16:E52)</f>
        <v>#N/A</v>
      </c>
      <c r="F53" s="2985" t="e">
        <f t="shared" ca="1" si="0"/>
        <v>#N/A</v>
      </c>
      <c r="G53" s="2985" t="e">
        <f ca="1">SUM(G16:G52)</f>
        <v>#N/A</v>
      </c>
      <c r="H53" s="2985" t="e">
        <f ca="1">ROUND(G53/C53*10000,0)</f>
        <v>#N/A</v>
      </c>
      <c r="I53" s="2985">
        <f>SUM(I16:I52)</f>
        <v>24323</v>
      </c>
      <c r="J53" s="2985">
        <f>ROUND(I53/C53*10000,0)</f>
        <v>37470</v>
      </c>
      <c r="K53" s="2986" t="e">
        <f ca="1">G53+E53</f>
        <v>#N/A</v>
      </c>
    </row>
    <row r="54" spans="1:11" ht="13.2">
      <c r="A54" s="2957" t="s">
        <v>3151</v>
      </c>
      <c r="B54" s="2957" t="s">
        <v>3168</v>
      </c>
      <c r="C54" s="2982">
        <v>1949.34</v>
      </c>
      <c r="D54" s="2957">
        <v>184.92</v>
      </c>
      <c r="E54" s="2983" t="e">
        <f t="shared" ca="1" si="0"/>
        <v>#N/A</v>
      </c>
      <c r="F54" s="2983" t="e">
        <f t="shared" ca="1" si="0"/>
        <v>#N/A</v>
      </c>
      <c r="G54" s="2983" t="e">
        <f ca="1">ROUND(I54*$K$54,0)</f>
        <v>#N/A</v>
      </c>
      <c r="H54" s="2983" t="e">
        <f ca="1">ROUND(G54/C54*10000,0)</f>
        <v>#N/A</v>
      </c>
      <c r="I54" s="2983" t="e">
        <f ca="1">ROUND(J54*C54/10000,0)</f>
        <v>#N/A</v>
      </c>
      <c r="J54" s="2983" t="e">
        <f ca="1">结果表酒店!G20</f>
        <v>#N/A</v>
      </c>
      <c r="K54" s="2980" t="e">
        <f ca="1">收益法酒店!C13/收益法酒店!C40</f>
        <v>#N/A</v>
      </c>
    </row>
    <row r="55" spans="1:11" ht="13.2">
      <c r="A55" s="2957" t="s">
        <v>3152</v>
      </c>
      <c r="B55" s="2957" t="s">
        <v>3169</v>
      </c>
      <c r="C55" s="2982">
        <v>153.44999999999999</v>
      </c>
      <c r="D55" s="2957">
        <v>14.56</v>
      </c>
      <c r="E55" s="2983" t="e">
        <f t="shared" ca="1" si="0"/>
        <v>#N/A</v>
      </c>
      <c r="F55" s="2983" t="e">
        <f t="shared" ca="1" si="0"/>
        <v>#N/A</v>
      </c>
      <c r="G55" s="2983" t="e">
        <f ca="1">ROUND(I55*$K$54,0)</f>
        <v>#N/A</v>
      </c>
      <c r="H55" s="2983" t="e">
        <f ca="1">H54</f>
        <v>#N/A</v>
      </c>
      <c r="I55" s="2983" t="e">
        <f ca="1">结果表酒店!G19-I54</f>
        <v>#N/A</v>
      </c>
      <c r="J55" s="2983" t="e">
        <f ca="1">J54</f>
        <v>#N/A</v>
      </c>
    </row>
    <row r="56" spans="1:11" s="2986" customFormat="1" ht="13.2">
      <c r="A56" s="3580" t="s">
        <v>3170</v>
      </c>
      <c r="B56" s="3581"/>
      <c r="C56" s="2984">
        <f>SUM(C54:C55)</f>
        <v>2102.79</v>
      </c>
      <c r="D56" s="2984">
        <f>SUM(D54:D55)</f>
        <v>199.48</v>
      </c>
      <c r="E56" s="2985" t="e">
        <f ca="1">SUM(E54:E55)</f>
        <v>#N/A</v>
      </c>
      <c r="F56" s="2985" t="e">
        <f ca="1">F55</f>
        <v>#N/A</v>
      </c>
      <c r="G56" s="2985" t="e">
        <f ca="1">SUM(G54:G55)</f>
        <v>#N/A</v>
      </c>
      <c r="H56" s="2985" t="e">
        <f ca="1">H55</f>
        <v>#N/A</v>
      </c>
      <c r="I56" s="2985" t="e">
        <f ca="1">SUM(I54:I55)</f>
        <v>#N/A</v>
      </c>
      <c r="J56" s="2985" t="e">
        <f ca="1">J55</f>
        <v>#N/A</v>
      </c>
      <c r="K56" s="2986" t="e">
        <f ca="1">G56+E56</f>
        <v>#N/A</v>
      </c>
    </row>
    <row r="57" spans="1:11" s="2986" customFormat="1" ht="13.2">
      <c r="A57" s="3582" t="s">
        <v>3171</v>
      </c>
      <c r="B57" s="3583"/>
      <c r="C57" s="2984">
        <f>C56+C53+C15</f>
        <v>13104.509999999998</v>
      </c>
      <c r="D57" s="2984">
        <f>D56+D53+D15</f>
        <v>627.33000000000004</v>
      </c>
      <c r="E57" s="3584" t="e">
        <f ca="1">E56+E53+E15</f>
        <v>#N/A</v>
      </c>
      <c r="F57" s="3584"/>
      <c r="G57" s="3584" t="e">
        <f ca="1">G56+G53+G15</f>
        <v>#N/A</v>
      </c>
      <c r="H57" s="3584"/>
      <c r="I57" s="3584" t="e">
        <f ca="1">I56+I53+I15</f>
        <v>#N/A</v>
      </c>
      <c r="J57" s="3584"/>
    </row>
    <row r="58" spans="1:11" ht="13.2">
      <c r="A58" s="2987"/>
      <c r="B58" s="2987"/>
      <c r="C58" s="2988"/>
      <c r="D58" s="2989"/>
      <c r="E58" s="3578" t="e">
        <f ca="1">E57*10000</f>
        <v>#N/A</v>
      </c>
      <c r="F58" s="3578"/>
      <c r="G58" s="3578" t="e">
        <f ca="1">G57*10000</f>
        <v>#N/A</v>
      </c>
      <c r="H58" s="3578"/>
      <c r="I58" s="3578" t="e">
        <f ca="1">I57*10000</f>
        <v>#N/A</v>
      </c>
      <c r="J58" s="3578"/>
    </row>
    <row r="59" spans="1:11">
      <c r="A59" s="3579" t="s">
        <v>3172</v>
      </c>
      <c r="B59" s="3579"/>
      <c r="C59" s="3579"/>
      <c r="D59" s="3579"/>
      <c r="E59" s="3579"/>
      <c r="F59" s="3579"/>
      <c r="G59" s="3579"/>
      <c r="H59" s="3579"/>
      <c r="I59" s="3579"/>
      <c r="J59" s="3579"/>
    </row>
    <row r="60" spans="1:11">
      <c r="C60" s="2980">
        <f>[3]汉威!$C$62</f>
        <v>41487.209999999985</v>
      </c>
    </row>
    <row r="61" spans="1:11">
      <c r="C61" s="2990">
        <f>C57-C60</f>
        <v>-28382.699999999986</v>
      </c>
    </row>
  </sheetData>
  <mergeCells count="1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 ref="E58:F58"/>
    <mergeCell ref="G58:H58"/>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I512"/>
  <sheetViews>
    <sheetView view="pageBreakPreview" topLeftCell="A47" zoomScaleNormal="100" zoomScaleSheetLayoutView="100" zoomScalePageLayoutView="80" workbookViewId="0">
      <selection activeCell="I92" sqref="I92"/>
    </sheetView>
  </sheetViews>
  <sheetFormatPr defaultColWidth="12.6640625" defaultRowHeight="21.75" customHeight="1"/>
  <cols>
    <col min="1" max="2" width="12.6640625" style="2395"/>
    <col min="3" max="4" width="12.6640625" style="2395" customWidth="1"/>
    <col min="5" max="7" width="12.6640625" style="2395"/>
    <col min="8" max="8" width="16" style="2395" customWidth="1"/>
    <col min="9" max="9" width="12.6640625" style="2395"/>
    <col min="10" max="11" width="12.6640625" style="790" customWidth="1"/>
    <col min="12" max="12" width="12.6640625" style="790"/>
    <col min="13" max="13" width="14.109375" style="790" bestFit="1" customWidth="1"/>
    <col min="14" max="26" width="12.6640625" style="790"/>
    <col min="27" max="35" width="12.6640625" style="2394"/>
    <col min="36" max="16384" width="12.6640625" style="2395"/>
  </cols>
  <sheetData>
    <row r="1" spans="1:12" ht="21.75" customHeight="1" thickBot="1">
      <c r="A1" s="2200" t="s">
        <v>2105</v>
      </c>
      <c r="B1" s="2389"/>
      <c r="C1" s="2390"/>
      <c r="D1" s="2389"/>
      <c r="E1" s="2389"/>
      <c r="F1" s="2391" t="s">
        <v>2106</v>
      </c>
      <c r="G1" s="2045" t="s">
        <v>3051</v>
      </c>
      <c r="H1" s="2392" t="str">
        <f>IF(G1="现房","——","估价对象范围")</f>
        <v>——</v>
      </c>
      <c r="I1" s="2393"/>
    </row>
    <row r="2" spans="1:12" ht="21.75" customHeight="1" thickBot="1">
      <c r="A2" s="3648" t="str">
        <f>项目基本情况!S2</f>
        <v>北京市朝阳区广顺北大街16号院1、2、3号楼房地产</v>
      </c>
      <c r="B2" s="3649"/>
      <c r="C2" s="3649"/>
      <c r="D2" s="3649"/>
      <c r="E2" s="3649"/>
      <c r="F2" s="3649"/>
      <c r="G2" s="3649"/>
      <c r="H2" s="3649"/>
      <c r="I2" s="3650"/>
    </row>
    <row r="3" spans="1:12" ht="13.2">
      <c r="A3" s="3651" t="s">
        <v>2107</v>
      </c>
      <c r="B3" s="3652"/>
      <c r="C3" s="3652"/>
      <c r="D3" s="3652"/>
      <c r="E3" s="3652"/>
      <c r="F3" s="3652"/>
      <c r="G3" s="3652"/>
      <c r="H3" s="3652"/>
      <c r="I3" s="3652"/>
    </row>
    <row r="4" spans="1:12" ht="14.4">
      <c r="A4" s="2396" t="s">
        <v>2108</v>
      </c>
      <c r="B4" s="2397" t="s">
        <v>2109</v>
      </c>
      <c r="C4" s="2398" t="s">
        <v>3693</v>
      </c>
      <c r="D4" s="2398" t="s">
        <v>3685</v>
      </c>
      <c r="E4" s="3635" t="s">
        <v>2110</v>
      </c>
      <c r="F4" s="3645"/>
      <c r="G4" s="3645"/>
      <c r="H4" s="3645"/>
      <c r="I4" s="3636"/>
      <c r="K4" s="2399" t="str">
        <f>IF(ISNUMBER(FIND("比较法",结果表!C4)),"比较法",IF(ISNUMBER(FIND("成本法",结果表!C4)),"成本法",IF(ISNUMBER(FIND("假设开发法",结果表!C4)),"假设开发法",IF(ISNUMBER(FIND("收益法",结果表!C4)),"收益法","基准地价系数修正法"))))</f>
        <v>成本法</v>
      </c>
      <c r="L4" s="2399" t="str">
        <f>IF(ISNUMBER(FIND("比较法",结果表!D4)),"比较法",IF(ISNUMBER(FIND("成本法",结果表!D4)),"成本法",IF(ISNUMBER(FIND("假设开发法",结果表!D4)),"假设开发法",IF(ISNUMBER(FIND("收益法",结果表!D4)),"收益法","基准地价系数修正法"))))</f>
        <v>收益法</v>
      </c>
    </row>
    <row r="5" spans="1:12" ht="13.2">
      <c r="A5" s="3626" t="s">
        <v>2111</v>
      </c>
      <c r="B5" s="3521">
        <v>25</v>
      </c>
      <c r="C5" s="3653"/>
      <c r="D5" s="3641"/>
      <c r="E5" s="140" t="s">
        <v>2112</v>
      </c>
      <c r="F5" s="2400"/>
      <c r="G5" s="2400"/>
      <c r="H5" s="2400"/>
      <c r="I5" s="1811"/>
    </row>
    <row r="6" spans="1:12" ht="13.2">
      <c r="A6" s="3626"/>
      <c r="B6" s="3521"/>
      <c r="C6" s="3655"/>
      <c r="D6" s="3641"/>
      <c r="E6" s="140" t="s">
        <v>2113</v>
      </c>
      <c r="F6" s="2400"/>
      <c r="G6" s="2400"/>
      <c r="H6" s="2400"/>
      <c r="I6" s="1811"/>
    </row>
    <row r="7" spans="1:12" ht="13.2">
      <c r="A7" s="3626"/>
      <c r="B7" s="3521"/>
      <c r="C7" s="3654"/>
      <c r="D7" s="3641"/>
      <c r="E7" s="140" t="s">
        <v>2114</v>
      </c>
      <c r="F7" s="2400"/>
      <c r="G7" s="2400"/>
      <c r="H7" s="2400"/>
      <c r="I7" s="1811"/>
    </row>
    <row r="8" spans="1:12" ht="13.2">
      <c r="A8" s="3626" t="s">
        <v>2115</v>
      </c>
      <c r="B8" s="3521">
        <v>15</v>
      </c>
      <c r="C8" s="3653"/>
      <c r="D8" s="3641"/>
      <c r="E8" s="140" t="s">
        <v>2116</v>
      </c>
      <c r="F8" s="2400"/>
      <c r="G8" s="2400"/>
      <c r="H8" s="2400"/>
      <c r="I8" s="1811"/>
    </row>
    <row r="9" spans="1:12" ht="13.2">
      <c r="A9" s="3626"/>
      <c r="B9" s="3521"/>
      <c r="C9" s="3654"/>
      <c r="D9" s="3641"/>
      <c r="E9" s="140" t="s">
        <v>2117</v>
      </c>
      <c r="F9" s="2400"/>
      <c r="G9" s="2400"/>
      <c r="H9" s="2400"/>
      <c r="I9" s="1811"/>
    </row>
    <row r="10" spans="1:12" ht="13.2">
      <c r="A10" s="3626" t="s">
        <v>2118</v>
      </c>
      <c r="B10" s="3521">
        <v>15</v>
      </c>
      <c r="C10" s="3653"/>
      <c r="D10" s="3641"/>
      <c r="E10" s="140" t="s">
        <v>2119</v>
      </c>
      <c r="F10" s="2400"/>
      <c r="G10" s="2400"/>
      <c r="H10" s="2400"/>
      <c r="I10" s="1811"/>
    </row>
    <row r="11" spans="1:12" ht="13.2">
      <c r="A11" s="3626"/>
      <c r="B11" s="3521"/>
      <c r="C11" s="3654"/>
      <c r="D11" s="3641"/>
      <c r="E11" s="140" t="s">
        <v>2120</v>
      </c>
      <c r="F11" s="2400"/>
      <c r="G11" s="2400"/>
      <c r="H11" s="2400"/>
      <c r="I11" s="1811"/>
    </row>
    <row r="12" spans="1:12" ht="13.2">
      <c r="A12" s="3626" t="s">
        <v>2121</v>
      </c>
      <c r="B12" s="3521">
        <v>15</v>
      </c>
      <c r="C12" s="3653"/>
      <c r="D12" s="3641"/>
      <c r="E12" s="140" t="s">
        <v>2122</v>
      </c>
      <c r="F12" s="2400"/>
      <c r="G12" s="2400"/>
      <c r="H12" s="2400"/>
      <c r="I12" s="1811"/>
    </row>
    <row r="13" spans="1:12" ht="13.2">
      <c r="A13" s="3626"/>
      <c r="B13" s="3521"/>
      <c r="C13" s="3654"/>
      <c r="D13" s="3641"/>
      <c r="E13" s="140" t="s">
        <v>2123</v>
      </c>
      <c r="F13" s="2400"/>
      <c r="G13" s="2400"/>
      <c r="H13" s="2400"/>
      <c r="I13" s="1811"/>
    </row>
    <row r="14" spans="1:12" ht="12.75" customHeight="1">
      <c r="A14" s="3626" t="s">
        <v>2124</v>
      </c>
      <c r="B14" s="3521">
        <v>30</v>
      </c>
      <c r="C14" s="3653">
        <v>45</v>
      </c>
      <c r="D14" s="3641">
        <v>55</v>
      </c>
      <c r="E14" s="140" t="s">
        <v>2125</v>
      </c>
      <c r="F14" s="2400"/>
      <c r="G14" s="2400"/>
      <c r="H14" s="2400"/>
      <c r="I14" s="1811"/>
    </row>
    <row r="15" spans="1:12" ht="12.75" customHeight="1">
      <c r="A15" s="3626"/>
      <c r="B15" s="3521"/>
      <c r="C15" s="3655"/>
      <c r="D15" s="3641"/>
      <c r="E15" s="140" t="s">
        <v>2126</v>
      </c>
      <c r="F15" s="2400"/>
      <c r="G15" s="2400"/>
      <c r="H15" s="2400"/>
      <c r="I15" s="1811"/>
    </row>
    <row r="16" spans="1:12" ht="12.75" customHeight="1">
      <c r="A16" s="3626"/>
      <c r="B16" s="3521"/>
      <c r="C16" s="3654"/>
      <c r="D16" s="3641"/>
      <c r="E16" s="140" t="s">
        <v>2127</v>
      </c>
      <c r="F16" s="2400"/>
      <c r="G16" s="2400"/>
      <c r="H16" s="2400"/>
      <c r="I16" s="1811"/>
    </row>
    <row r="17" spans="1:35" ht="14.4">
      <c r="A17" s="2401" t="s">
        <v>2128</v>
      </c>
      <c r="B17" s="64"/>
      <c r="C17" s="141">
        <f>SUM(C5:C16)</f>
        <v>45</v>
      </c>
      <c r="D17" s="141">
        <f>SUM(D5:D16)</f>
        <v>55</v>
      </c>
      <c r="E17" s="138"/>
      <c r="F17" s="138"/>
      <c r="G17" s="138"/>
      <c r="H17" s="138"/>
      <c r="I17" s="138"/>
      <c r="K17" s="2399"/>
      <c r="L17" s="2402" t="s">
        <v>2129</v>
      </c>
      <c r="M17" s="2402" t="s">
        <v>2130</v>
      </c>
    </row>
    <row r="18" spans="1:35" ht="15" thickBot="1">
      <c r="A18" s="2403" t="s">
        <v>2131</v>
      </c>
      <c r="B18" s="2404"/>
      <c r="C18" s="142">
        <f>ROUND(C17/SUM(C17:D17),2)</f>
        <v>0.45</v>
      </c>
      <c r="D18" s="142">
        <f>1-C18</f>
        <v>0.55000000000000004</v>
      </c>
      <c r="E18" s="138"/>
      <c r="F18" s="138"/>
      <c r="G18" s="138"/>
      <c r="H18" s="138"/>
      <c r="I18" s="138"/>
      <c r="K18" s="2399" t="s">
        <v>2132</v>
      </c>
      <c r="L18" s="2399">
        <f>IF(C1="",'数据-汇总表'!E3,SUMIF(项目类型,C1,'数据-汇总表'!E17:E26)+SUMIF(项目类型,C1,'数据-汇总表'!I17:I26))</f>
        <v>42164.249999999993</v>
      </c>
      <c r="M18" s="2399">
        <f>IF(C1="",'数据-汇总表'!E3,SUMIF(项目类型,C1,'数据-汇总表'!E17:E26))</f>
        <v>42164.249999999993</v>
      </c>
    </row>
    <row r="19" spans="1:35" ht="14.4">
      <c r="A19" s="2405" t="s">
        <v>2133</v>
      </c>
      <c r="B19" s="2406" t="s">
        <v>2134</v>
      </c>
      <c r="C19" s="143">
        <f ca="1">SUMIF(INDIRECT("'"&amp;C4&amp;"'"&amp;"!A:A"),结果表!B19,INDIRECT("'"&amp;C4&amp;"'"&amp;"!B:B"))</f>
        <v>213034</v>
      </c>
      <c r="D19" s="144">
        <f ca="1">SUMIF(INDIRECT("'"&amp;D4&amp;"'"&amp;"!A:A"),结果表!B19,INDIRECT("'"&amp;D4&amp;"'"&amp;"!B:B"))</f>
        <v>130228</v>
      </c>
      <c r="E19" s="2405" t="s">
        <v>2135</v>
      </c>
      <c r="F19" s="2406" t="s">
        <v>2134</v>
      </c>
      <c r="G19" s="145">
        <f ca="1">ROUND(C19*$C$18+D19*$D$18,0)</f>
        <v>167491</v>
      </c>
      <c r="H19" s="2407" t="s">
        <v>2136</v>
      </c>
      <c r="I19" s="138"/>
      <c r="K19" s="2399" t="s">
        <v>2137</v>
      </c>
      <c r="L19" s="2399">
        <f>IF(C1="",'数据-汇总表'!D3,SUMIF(项目类型,C1,'数据-汇总表'!D17:D26)+SUMIF(项目类型,C1,'数据-汇总表'!H17:H27))</f>
        <v>9680.74</v>
      </c>
      <c r="M19" s="2399">
        <f>IF(C1="",'数据-汇总表'!D3,SUMIF(项目类型,C1,'数据-汇总表'!D17:D26))</f>
        <v>9680.74</v>
      </c>
    </row>
    <row r="20" spans="1:35" ht="14.4">
      <c r="A20" s="2408"/>
      <c r="B20" s="1229" t="s">
        <v>2138</v>
      </c>
      <c r="C20" s="146">
        <f ca="1">SUMIF(INDIRECT("'"&amp;C4&amp;"'"&amp;"!A:A"),结果表!B20,INDIRECT("'"&amp;C4&amp;"'"&amp;"!B:B"))</f>
        <v>50525</v>
      </c>
      <c r="D20" s="147">
        <f ca="1">SUMIF(INDIRECT("'"&amp;D4&amp;"'"&amp;"!A:A"),结果表!B20,INDIRECT("'"&amp;D4&amp;"'"&amp;"!B:B"))</f>
        <v>30886</v>
      </c>
      <c r="E20" s="2408"/>
      <c r="F20" s="1229" t="s">
        <v>2138</v>
      </c>
      <c r="G20" s="148">
        <f ca="1">ROUND(C20*$C$18+D20*$D$18,0)</f>
        <v>39724</v>
      </c>
      <c r="H20" s="970" t="s">
        <v>2139</v>
      </c>
      <c r="I20" s="138"/>
    </row>
    <row r="21" spans="1:35" ht="15" customHeight="1" thickBot="1">
      <c r="A21" s="990"/>
      <c r="B21" s="2409" t="s">
        <v>2140</v>
      </c>
      <c r="C21" s="784">
        <f ca="1">ROUND(C19*10000/L19,0)</f>
        <v>220060</v>
      </c>
      <c r="D21" s="785">
        <f ca="1">ROUND(D19*10000/L19,0)</f>
        <v>134523</v>
      </c>
      <c r="E21" s="990"/>
      <c r="F21" s="2409" t="s">
        <v>2140</v>
      </c>
      <c r="G21" s="149">
        <f ca="1">ROUND(G19*10000/L19,0)</f>
        <v>173015</v>
      </c>
      <c r="H21" s="2410" t="s">
        <v>2139</v>
      </c>
      <c r="I21" s="138"/>
    </row>
    <row r="22" spans="1:35" ht="15" thickBot="1">
      <c r="A22" s="2255" t="s">
        <v>2141</v>
      </c>
      <c r="B22" s="2411"/>
      <c r="C22" s="2412"/>
      <c r="D22" s="786">
        <f ca="1">IF(C19&lt;D19,D19/C19-1,C19/D19-1)</f>
        <v>0.63585404060570694</v>
      </c>
      <c r="E22" s="138"/>
      <c r="F22" s="138"/>
      <c r="G22" s="138"/>
      <c r="H22" s="138"/>
      <c r="I22" s="138"/>
    </row>
    <row r="23" spans="1:35" ht="13.8" thickBot="1">
      <c r="A23" s="2389"/>
      <c r="B23" s="2389"/>
      <c r="C23" s="2389"/>
      <c r="D23" s="2389"/>
      <c r="E23" s="138"/>
      <c r="F23" s="138"/>
      <c r="G23" s="138"/>
      <c r="H23" s="138"/>
      <c r="I23" s="138"/>
    </row>
    <row r="24" spans="1:35" ht="14.4">
      <c r="A24" s="3662" t="s">
        <v>2142</v>
      </c>
      <c r="B24" s="2406" t="s">
        <v>2134</v>
      </c>
      <c r="C24" s="145">
        <f>IF(B30=0,0,D30)</f>
        <v>0</v>
      </c>
      <c r="D24" s="2413"/>
      <c r="E24" s="138"/>
      <c r="F24" s="138"/>
      <c r="G24" s="138"/>
      <c r="H24" s="138"/>
      <c r="I24" s="138"/>
    </row>
    <row r="25" spans="1:35" ht="14.4">
      <c r="A25" s="366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3.8">
      <c r="A27" s="2415"/>
      <c r="B27" s="151">
        <v>0</v>
      </c>
      <c r="C27" s="151">
        <v>0</v>
      </c>
      <c r="D27" s="152">
        <f>ROUND(C27*B27/10000,0)</f>
        <v>0</v>
      </c>
      <c r="E27" s="138"/>
      <c r="F27" s="138"/>
      <c r="G27" s="138"/>
      <c r="H27" s="138"/>
      <c r="I27" s="138"/>
    </row>
    <row r="28" spans="1:35" ht="13.8">
      <c r="A28" s="2415"/>
      <c r="B28" s="151"/>
      <c r="C28" s="151"/>
      <c r="D28" s="152"/>
      <c r="E28" s="138"/>
      <c r="F28" s="138"/>
      <c r="G28" s="138"/>
      <c r="H28" s="138"/>
      <c r="I28" s="138"/>
    </row>
    <row r="29" spans="1:35" ht="13.8">
      <c r="A29" s="2415"/>
      <c r="B29" s="151"/>
      <c r="C29" s="151"/>
      <c r="D29" s="152"/>
      <c r="E29" s="138"/>
      <c r="F29" s="138"/>
      <c r="G29" s="138"/>
      <c r="H29" s="138"/>
      <c r="I29" s="138"/>
    </row>
    <row r="30" spans="1:35" ht="14.4">
      <c r="A30" s="151" t="s">
        <v>2147</v>
      </c>
      <c r="B30" s="151"/>
      <c r="C30" s="151"/>
      <c r="D30" s="151"/>
      <c r="E30" s="2886" t="s">
        <v>3008</v>
      </c>
      <c r="F30" s="138"/>
      <c r="G30" s="138"/>
      <c r="H30" s="138"/>
      <c r="I30" s="138"/>
    </row>
    <row r="31" spans="1:35" s="2417" customFormat="1" ht="14.4"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 thickBot="1">
      <c r="A32" s="2418" t="s">
        <v>2148</v>
      </c>
      <c r="B32" s="2419"/>
      <c r="C32" s="153">
        <f ca="1">IF(D32="总价",G19-C24,G20-C25)</f>
        <v>167491</v>
      </c>
      <c r="D32" s="2420" t="s">
        <v>2149</v>
      </c>
      <c r="E32" s="138"/>
      <c r="F32" s="138"/>
      <c r="G32" s="138"/>
      <c r="H32" s="138"/>
      <c r="I32" s="138"/>
    </row>
    <row r="33" spans="1:15" ht="14.4">
      <c r="A33" s="947" t="s">
        <v>2150</v>
      </c>
      <c r="B33" s="2421"/>
      <c r="C33" s="2422" t="s">
        <v>3670</v>
      </c>
      <c r="D33" s="2423" t="s">
        <v>3048</v>
      </c>
      <c r="E33" s="2424" t="s">
        <v>2151</v>
      </c>
      <c r="F33" s="2425" t="str">
        <f>IF(D32="楼面单价","取值（单价）","取值（总价）")</f>
        <v>取值（总价）</v>
      </c>
      <c r="G33" s="138"/>
      <c r="H33" s="138"/>
      <c r="I33" s="138"/>
    </row>
    <row r="34" spans="1:15" ht="14.4">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 thickBot="1">
      <c r="A36" s="3642" t="s">
        <v>2156</v>
      </c>
      <c r="B36" s="2432" t="s">
        <v>2157</v>
      </c>
      <c r="C36" s="154"/>
      <c r="D36" s="2433"/>
      <c r="E36" s="2434"/>
      <c r="F36" s="2435"/>
      <c r="G36" s="138"/>
      <c r="H36" s="138"/>
      <c r="I36" s="138"/>
    </row>
    <row r="37" spans="1:15" ht="15" thickBot="1">
      <c r="A37" s="3643"/>
      <c r="B37" s="2241" t="s">
        <v>2158</v>
      </c>
      <c r="C37" s="156"/>
      <c r="D37" s="1373"/>
      <c r="E37" s="1373"/>
      <c r="F37" s="2435"/>
      <c r="G37" s="138"/>
      <c r="H37" s="138"/>
      <c r="I37" s="138"/>
    </row>
    <row r="38" spans="1:15" ht="15" thickBot="1">
      <c r="A38" s="3644"/>
      <c r="B38" s="2436" t="s">
        <v>2159</v>
      </c>
      <c r="C38" s="723"/>
      <c r="D38" s="2437" t="s">
        <v>2160</v>
      </c>
      <c r="E38" s="1373"/>
      <c r="F38" s="2435"/>
      <c r="G38" s="138"/>
      <c r="H38" s="138"/>
      <c r="I38" s="138"/>
    </row>
    <row r="39" spans="1:15" ht="14.4">
      <c r="A39" s="2408" t="s">
        <v>2161</v>
      </c>
      <c r="B39" s="2438" t="s">
        <v>2162</v>
      </c>
      <c r="C39" s="2439" t="s">
        <v>2163</v>
      </c>
      <c r="D39" s="2439" t="s">
        <v>2164</v>
      </c>
      <c r="E39" s="2440" t="s">
        <v>2165</v>
      </c>
      <c r="F39" s="2435"/>
      <c r="G39" s="138"/>
      <c r="H39" s="138"/>
      <c r="I39" s="138"/>
    </row>
    <row r="40" spans="1:15" ht="13.8">
      <c r="A40" s="2441" t="s">
        <v>2166</v>
      </c>
      <c r="B40" s="158"/>
      <c r="C40" s="159"/>
      <c r="D40" s="159"/>
      <c r="E40" s="160"/>
      <c r="F40" s="2435"/>
      <c r="G40" s="138"/>
      <c r="H40" s="138"/>
      <c r="I40" s="138"/>
    </row>
    <row r="41" spans="1:15" ht="13.8">
      <c r="A41" s="2441" t="s">
        <v>2167</v>
      </c>
      <c r="B41" s="158"/>
      <c r="C41" s="159"/>
      <c r="D41" s="159"/>
      <c r="E41" s="160"/>
      <c r="F41" s="2435"/>
      <c r="G41" s="138"/>
      <c r="H41" s="138"/>
      <c r="I41" s="138"/>
    </row>
    <row r="42" spans="1:15" ht="14.4" thickBot="1">
      <c r="A42" s="2442"/>
      <c r="B42" s="161"/>
      <c r="C42" s="162"/>
      <c r="D42" s="162"/>
      <c r="E42" s="163"/>
      <c r="F42" s="2435"/>
      <c r="G42" s="138"/>
      <c r="H42" s="138"/>
      <c r="I42" s="138"/>
    </row>
    <row r="43" spans="1:15" ht="13.2">
      <c r="A43" s="2140"/>
      <c r="B43" s="2140"/>
      <c r="C43" s="2140"/>
      <c r="D43" s="2140"/>
      <c r="E43" s="2140"/>
      <c r="F43" s="2443"/>
      <c r="G43" s="2443"/>
      <c r="H43" s="2443"/>
      <c r="I43" s="2444"/>
    </row>
    <row r="44" spans="1:15" ht="17.399999999999999">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59" t="s">
        <v>2170</v>
      </c>
      <c r="B45" s="3660"/>
      <c r="C45" s="3661"/>
      <c r="D45" s="164">
        <f ca="1">结果表汇总!H32</f>
        <v>175386</v>
      </c>
      <c r="E45" s="165" t="s">
        <v>2171</v>
      </c>
      <c r="F45" s="166">
        <v>1</v>
      </c>
      <c r="G45" s="167" t="s">
        <v>2172</v>
      </c>
      <c r="H45" s="138"/>
      <c r="I45" s="138"/>
      <c r="J45" s="3587" t="s">
        <v>2173</v>
      </c>
      <c r="K45" s="3587"/>
      <c r="L45" s="3587"/>
      <c r="M45" s="3587"/>
      <c r="N45" s="3587"/>
      <c r="O45" s="3587"/>
    </row>
    <row r="46" spans="1:15" ht="14.25" customHeight="1">
      <c r="A46" s="3656" t="s">
        <v>2174</v>
      </c>
      <c r="B46" s="3657"/>
      <c r="C46" s="3657"/>
      <c r="D46" s="3657"/>
      <c r="E46" s="3657"/>
      <c r="F46" s="3657"/>
      <c r="G46" s="3658"/>
      <c r="H46" s="2451"/>
      <c r="I46" s="168"/>
      <c r="J46" s="1789">
        <v>1</v>
      </c>
      <c r="K46" s="3587" t="s">
        <v>2175</v>
      </c>
      <c r="L46" s="3587"/>
      <c r="M46" s="3588"/>
      <c r="N46" s="3588"/>
      <c r="O46" s="3588"/>
    </row>
    <row r="47" spans="1:15" ht="12" customHeight="1">
      <c r="A47" s="169" t="s">
        <v>2176</v>
      </c>
      <c r="B47" s="170"/>
      <c r="C47" s="171"/>
      <c r="D47" s="172" t="s">
        <v>2177</v>
      </c>
      <c r="E47" s="24" t="s">
        <v>2178</v>
      </c>
      <c r="F47" s="173" t="s">
        <v>2179</v>
      </c>
      <c r="G47" s="174" t="s">
        <v>2180</v>
      </c>
      <c r="H47" s="2451"/>
      <c r="I47" s="168"/>
      <c r="J47" s="1789">
        <v>2</v>
      </c>
      <c r="K47" s="3587" t="s">
        <v>2181</v>
      </c>
      <c r="L47" s="3587"/>
      <c r="M47" s="3589">
        <f>'数据-取费表'!B2</f>
        <v>43836</v>
      </c>
      <c r="N47" s="3589"/>
      <c r="O47" s="3589"/>
    </row>
    <row r="48" spans="1:15" ht="26.4">
      <c r="A48" s="3646" t="s">
        <v>2182</v>
      </c>
      <c r="B48" s="3647"/>
      <c r="C48" s="3647"/>
      <c r="D48" s="140">
        <f ca="1">IF(H48="情况1",0,IF(H48="情况2",D52,IF(H48="情况3",D53,IF(H48="情况4",D54))))</f>
        <v>9354</v>
      </c>
      <c r="E48" s="1778" t="str">
        <f>IF(H48="情况4","(销售额-原购置价)×税（费）率","销售额×税（费）率")</f>
        <v>销售额×税（费）率</v>
      </c>
      <c r="F48" s="175">
        <f>IF(H48="情况1","免征",'数据-取费表'!B41)</f>
        <v>5.6000000000000001E-2</v>
      </c>
      <c r="G48" s="2452" t="s">
        <v>2183</v>
      </c>
      <c r="H48" s="2453" t="s">
        <v>3673</v>
      </c>
      <c r="I48" s="2451"/>
      <c r="J48" s="1789">
        <v>3</v>
      </c>
      <c r="K48" s="3587" t="s">
        <v>2185</v>
      </c>
      <c r="L48" s="3587"/>
      <c r="M48" s="3590">
        <f ca="1">D45</f>
        <v>175386</v>
      </c>
      <c r="N48" s="3590"/>
      <c r="O48" s="3590"/>
    </row>
    <row r="49" spans="1:35" ht="25.5" customHeight="1">
      <c r="A49" s="176" t="s">
        <v>2186</v>
      </c>
      <c r="B49" s="3629" t="s">
        <v>2187</v>
      </c>
      <c r="C49" s="3629"/>
      <c r="D49" s="177">
        <v>0</v>
      </c>
      <c r="E49" s="23" t="s">
        <v>2188</v>
      </c>
      <c r="F49" s="28" t="s">
        <v>34</v>
      </c>
      <c r="G49" s="3610"/>
      <c r="H49" s="138"/>
      <c r="I49" s="2454"/>
      <c r="J49" s="1789">
        <v>4</v>
      </c>
      <c r="K49" s="3587" t="str">
        <f>IF(项目基本情况!E8="房地产抵押价值","房地产抵押价值","抵押担保权已注销时的房地产抵押价值")</f>
        <v>房地产抵押价值</v>
      </c>
      <c r="L49" s="3587"/>
      <c r="M49" s="3590">
        <f ca="1">M48</f>
        <v>175386</v>
      </c>
      <c r="N49" s="3590"/>
      <c r="O49" s="3590"/>
    </row>
    <row r="50" spans="1:35" ht="25.5" customHeight="1">
      <c r="A50" s="178"/>
      <c r="B50" s="3629" t="s">
        <v>2189</v>
      </c>
      <c r="C50" s="3629"/>
      <c r="D50" s="179"/>
      <c r="E50" s="31"/>
      <c r="F50" s="180"/>
      <c r="G50" s="3611"/>
      <c r="H50" s="138"/>
      <c r="I50" s="2454"/>
      <c r="J50" s="3587" t="s">
        <v>2190</v>
      </c>
      <c r="K50" s="3587"/>
      <c r="L50" s="3587"/>
      <c r="M50" s="3587"/>
      <c r="N50" s="3587"/>
      <c r="O50" s="3587"/>
    </row>
    <row r="51" spans="1:35" ht="12" customHeight="1">
      <c r="A51" s="181"/>
      <c r="B51" s="3629" t="s">
        <v>2191</v>
      </c>
      <c r="C51" s="3629"/>
      <c r="D51" s="182"/>
      <c r="E51" s="30"/>
      <c r="F51" s="180"/>
      <c r="G51" s="3612"/>
      <c r="H51" s="138"/>
      <c r="I51" s="2454"/>
      <c r="J51" s="2455" t="s">
        <v>2192</v>
      </c>
      <c r="K51" s="3587" t="s">
        <v>2193</v>
      </c>
      <c r="L51" s="3587"/>
      <c r="M51" s="2455" t="s">
        <v>2194</v>
      </c>
      <c r="N51" s="2455" t="s">
        <v>2195</v>
      </c>
      <c r="O51" s="2455" t="s">
        <v>2196</v>
      </c>
    </row>
    <row r="52" spans="1:35" ht="24" customHeight="1">
      <c r="A52" s="183" t="s">
        <v>2197</v>
      </c>
      <c r="B52" s="3629" t="s">
        <v>2198</v>
      </c>
      <c r="C52" s="3629"/>
      <c r="D52" s="182">
        <f ca="1">ROUND(D45*'数据-取费表'!B41/(1+'数据-取费表'!C42),0)</f>
        <v>9354</v>
      </c>
      <c r="E52" s="11" t="s">
        <v>2199</v>
      </c>
      <c r="F52" s="184">
        <f>'数据-取费表'!B41</f>
        <v>5.6000000000000001E-2</v>
      </c>
      <c r="G52" s="2456"/>
      <c r="H52" s="138"/>
      <c r="I52" s="2454"/>
      <c r="J52" s="1789">
        <v>1</v>
      </c>
      <c r="K52" s="3604" t="s">
        <v>2200</v>
      </c>
      <c r="L52" s="3604"/>
      <c r="M52" s="1731">
        <f ca="1">D48</f>
        <v>9354</v>
      </c>
      <c r="N52" s="1789" t="str">
        <f>E48</f>
        <v>销售额×税（费）率</v>
      </c>
      <c r="O52" s="1732">
        <f>F48</f>
        <v>5.6000000000000001E-2</v>
      </c>
    </row>
    <row r="53" spans="1:35" ht="12" customHeight="1">
      <c r="A53" s="183" t="s">
        <v>2201</v>
      </c>
      <c r="B53" s="3630" t="s">
        <v>2202</v>
      </c>
      <c r="C53" s="3631"/>
      <c r="D53" s="182">
        <f ca="1">ROUND(D45*'数据-取费表'!B41/(1+'数据-取费表'!C42),0)</f>
        <v>9354</v>
      </c>
      <c r="E53" s="11" t="s">
        <v>2199</v>
      </c>
      <c r="F53" s="184">
        <f>'数据-取费表'!B41</f>
        <v>5.6000000000000001E-2</v>
      </c>
      <c r="G53" s="2456"/>
      <c r="H53" s="138"/>
      <c r="I53" s="2454"/>
      <c r="J53" s="1789">
        <v>2</v>
      </c>
      <c r="K53" s="3604" t="s">
        <v>2203</v>
      </c>
      <c r="L53" s="3604"/>
      <c r="M53" s="1731">
        <f t="shared" ref="M53:O54" ca="1" si="0">D55</f>
        <v>88</v>
      </c>
      <c r="N53" s="1789" t="str">
        <f t="shared" si="0"/>
        <v>销售额×税（费）率</v>
      </c>
      <c r="O53" s="1732">
        <f t="shared" si="0"/>
        <v>5.0000000000000001E-4</v>
      </c>
    </row>
    <row r="54" spans="1:35" ht="12" customHeight="1">
      <c r="A54" s="183" t="s">
        <v>2204</v>
      </c>
      <c r="B54" s="3630" t="s">
        <v>2205</v>
      </c>
      <c r="C54" s="3631"/>
      <c r="D54" s="182">
        <f ca="1">C68</f>
        <v>9354</v>
      </c>
      <c r="E54" s="30" t="s">
        <v>2206</v>
      </c>
      <c r="F54" s="184">
        <f>'数据-取费表'!B41</f>
        <v>5.6000000000000001E-2</v>
      </c>
      <c r="G54" s="2456"/>
      <c r="H54" s="2457"/>
      <c r="I54" s="2454"/>
      <c r="J54" s="1789">
        <v>3</v>
      </c>
      <c r="K54" s="3604" t="s">
        <v>2207</v>
      </c>
      <c r="L54" s="3604"/>
      <c r="M54" s="1731">
        <f t="shared" ca="1" si="0"/>
        <v>30341</v>
      </c>
      <c r="N54" s="1789" t="str">
        <f t="shared" si="0"/>
        <v>增值额×税（费）率</v>
      </c>
      <c r="O54" s="1733" t="str">
        <f t="shared" si="0"/>
        <v>——</v>
      </c>
    </row>
    <row r="55" spans="1:35" ht="24" customHeight="1">
      <c r="A55" s="3665" t="s">
        <v>2208</v>
      </c>
      <c r="B55" s="3647"/>
      <c r="C55" s="3647"/>
      <c r="D55" s="185">
        <f ca="1">IF(H55="个人住宅",0,ROUND(D45*I55,0))</f>
        <v>88</v>
      </c>
      <c r="E55" s="11" t="s">
        <v>2209</v>
      </c>
      <c r="F55" s="184">
        <f>IF(H55="正常",I55,"免征")</f>
        <v>5.0000000000000001E-4</v>
      </c>
      <c r="G55" s="2456"/>
      <c r="H55" s="2453" t="s">
        <v>2210</v>
      </c>
      <c r="I55" s="186">
        <f>'数据-取费表'!B49</f>
        <v>5.0000000000000001E-4</v>
      </c>
      <c r="J55" s="1789" t="str">
        <f>IF(H59="非个人房产","",4)</f>
        <v/>
      </c>
      <c r="K55" s="3604" t="str">
        <f>IF(H59="非个人房产","——","个人所得税")</f>
        <v>——</v>
      </c>
      <c r="L55" s="3604"/>
      <c r="M55" s="1734" t="str">
        <f>D59</f>
        <v>——</v>
      </c>
      <c r="N55" s="1787" t="str">
        <f>E59</f>
        <v>——</v>
      </c>
      <c r="O55" s="1735" t="str">
        <f>F59</f>
        <v>——</v>
      </c>
    </row>
    <row r="56" spans="1:35" ht="25.2">
      <c r="A56" s="3665" t="s">
        <v>2211</v>
      </c>
      <c r="B56" s="3647"/>
      <c r="C56" s="3647"/>
      <c r="D56" s="185">
        <f ca="1">IF(H56="个人住宅",D57,D58)</f>
        <v>30341</v>
      </c>
      <c r="E56" s="11" t="s">
        <v>2212</v>
      </c>
      <c r="F56" s="184" t="str">
        <f>IF(H56="正常",F58,"免征")</f>
        <v>——</v>
      </c>
      <c r="G56" s="2458" t="s">
        <v>2213</v>
      </c>
      <c r="H56" s="2459" t="s">
        <v>2210</v>
      </c>
      <c r="I56" s="2460"/>
      <c r="J56" s="1789" t="str">
        <f>IF(项目基本情况!K6="上海银行",IF(J55="",4,J55+1),"")</f>
        <v/>
      </c>
      <c r="K56" s="3593" t="str">
        <f>IF(项目基本情况!K6="上海银行","其他处置费用","")</f>
        <v/>
      </c>
      <c r="L56" s="3594"/>
      <c r="M56" s="1731" t="str">
        <f>IF(项目基本情况!K6="上海银行",M69,"")</f>
        <v/>
      </c>
      <c r="N56" s="3596" t="str">
        <f>IF(项目基本情况!K6="上海银行","包含处置中涉及的律师、诉讼、拍卖、评估等费用","")</f>
        <v/>
      </c>
      <c r="O56" s="3597"/>
    </row>
    <row r="57" spans="1:35" ht="13.2">
      <c r="A57" s="183" t="s">
        <v>2186</v>
      </c>
      <c r="B57" s="3635" t="s">
        <v>2214</v>
      </c>
      <c r="C57" s="3636"/>
      <c r="D57" s="187">
        <v>0</v>
      </c>
      <c r="E57" s="23" t="s">
        <v>2188</v>
      </c>
      <c r="F57" s="155"/>
      <c r="G57" s="2456"/>
      <c r="H57" s="2460"/>
      <c r="I57" s="2460"/>
      <c r="J57" s="3604">
        <f>IF(AND(J55="",J56=""),4,IF(项目基本情况!K6="上海银行",结果表!J56+1,结果表!J55+1))</f>
        <v>4</v>
      </c>
      <c r="K57" s="3604" t="s">
        <v>2215</v>
      </c>
      <c r="L57" s="2461" t="s">
        <v>2216</v>
      </c>
      <c r="M57" s="1736"/>
      <c r="N57" s="1737">
        <f ca="1">SUMIF(M52:M56,"&lt;9e307")</f>
        <v>39783</v>
      </c>
      <c r="O57" s="2462"/>
      <c r="P57" s="1730">
        <f ca="1">N57/M49</f>
        <v>0.22683110396496869</v>
      </c>
    </row>
    <row r="58" spans="1:35" ht="25.2">
      <c r="A58" s="183" t="s">
        <v>2197</v>
      </c>
      <c r="B58" s="3635" t="s">
        <v>2217</v>
      </c>
      <c r="C58" s="3645"/>
      <c r="D58" s="185">
        <f ca="1">IF(H58="转让取得",C81,C97)</f>
        <v>30341</v>
      </c>
      <c r="E58" s="11" t="s">
        <v>2212</v>
      </c>
      <c r="F58" s="24" t="s">
        <v>34</v>
      </c>
      <c r="G58" s="2456"/>
      <c r="H58" s="2459" t="s">
        <v>2218</v>
      </c>
      <c r="I58" s="2460"/>
      <c r="J58" s="3604"/>
      <c r="K58" s="3604"/>
      <c r="L58" s="2461" t="s">
        <v>2219</v>
      </c>
      <c r="M58" s="1738"/>
      <c r="N58" s="2463" t="str">
        <f ca="1">NUMBERSTRING(INT(N57*10000),2)&amp;"元整"</f>
        <v>叁亿玖仟柒佰捌拾叁万元整</v>
      </c>
      <c r="O58" s="2464"/>
    </row>
    <row r="59" spans="1:35" ht="24.6"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4" t="s">
        <v>2222</v>
      </c>
      <c r="L59" s="1789" t="s">
        <v>2216</v>
      </c>
      <c r="M59" s="1739"/>
      <c r="N59" s="1740">
        <f ca="1">M49-N57</f>
        <v>135603</v>
      </c>
      <c r="O59" s="2466"/>
    </row>
    <row r="60" spans="1:35" ht="12" customHeight="1">
      <c r="A60" s="2467"/>
      <c r="B60" s="2389"/>
      <c r="C60" s="2389"/>
      <c r="D60" s="2389"/>
      <c r="E60" s="2141"/>
      <c r="F60" s="2460"/>
      <c r="G60" s="2460"/>
      <c r="H60" s="2468"/>
      <c r="I60" s="138"/>
      <c r="J60" s="3607"/>
      <c r="K60" s="3604"/>
      <c r="L60" s="2461" t="s">
        <v>2219</v>
      </c>
      <c r="M60" s="1738"/>
      <c r="N60" s="2463" t="str">
        <f ca="1">NUMBERSTRING(INT(N59*10000),2)&amp;"元整"</f>
        <v>壹拾叁亿伍仟陆佰零叁万元整</v>
      </c>
      <c r="O60" s="2464"/>
    </row>
    <row r="61" spans="1:35" ht="13.8" thickBot="1">
      <c r="A61" s="3664" t="s">
        <v>2223</v>
      </c>
      <c r="B61" s="3664"/>
      <c r="C61" s="3664"/>
      <c r="D61" s="3664"/>
      <c r="E61" s="3664"/>
      <c r="F61" s="2460"/>
      <c r="G61" s="2460"/>
      <c r="H61" s="2468"/>
      <c r="I61" s="138"/>
      <c r="J61" s="1789">
        <f>J59+1</f>
        <v>6</v>
      </c>
      <c r="K61" s="3604" t="s">
        <v>2224</v>
      </c>
      <c r="L61" s="3604"/>
      <c r="M61" s="1741"/>
      <c r="N61" s="1742">
        <f ca="1">ROUND(N59*10000/'数据-汇总表'!E3,0)</f>
        <v>32161</v>
      </c>
      <c r="O61" s="2469"/>
    </row>
    <row r="62" spans="1:35" ht="13.2">
      <c r="A62" s="3624" t="s">
        <v>2225</v>
      </c>
      <c r="B62" s="3625"/>
      <c r="C62" s="1781"/>
      <c r="D62" s="1781" t="s">
        <v>2226</v>
      </c>
      <c r="E62" s="192" t="s">
        <v>2227</v>
      </c>
      <c r="F62" s="2460"/>
      <c r="G62" s="2460"/>
      <c r="H62" s="2468"/>
      <c r="I62" s="138"/>
    </row>
    <row r="63" spans="1:35" ht="13.2">
      <c r="A63" s="203" t="s">
        <v>775</v>
      </c>
      <c r="B63" s="193" t="s">
        <v>2228</v>
      </c>
      <c r="C63" s="194">
        <f ca="1">ROUND((C64+C65)/(1+'数据-取费表'!C42),0)</f>
        <v>167034</v>
      </c>
      <c r="D63" s="195"/>
      <c r="E63" s="196"/>
      <c r="F63" s="2460"/>
      <c r="G63" s="2460"/>
      <c r="H63" s="2468"/>
      <c r="I63" s="138"/>
      <c r="J63" s="3595" t="s">
        <v>2229</v>
      </c>
      <c r="K63" s="2470" t="s">
        <v>2230</v>
      </c>
      <c r="L63" s="1729">
        <f ca="1">IF(M49&gt;10000,M49*0.5%,IF(AND(M49&gt;1000,M49&lt;=10000),M49*1%,IF(AND(M49&gt;100,M49&lt;=1000),M49*3%,IF(AND(M49&gt;10,M49&lt;=100),M49*5%,M49*8%))))</f>
        <v>876.93000000000006</v>
      </c>
      <c r="M63" s="24">
        <f ca="1">ROUND(L63,1)</f>
        <v>876.9</v>
      </c>
      <c r="Z63" s="2394"/>
      <c r="AI63" s="2395"/>
    </row>
    <row r="64" spans="1:35" ht="14.25" customHeight="1">
      <c r="A64" s="197" t="s">
        <v>770</v>
      </c>
      <c r="B64" s="198" t="s">
        <v>2231</v>
      </c>
      <c r="C64" s="199">
        <f ca="1">D45</f>
        <v>175386</v>
      </c>
      <c r="D64" s="200" t="s">
        <v>32</v>
      </c>
      <c r="E64" s="201"/>
      <c r="F64" s="2460"/>
      <c r="G64" s="2460"/>
      <c r="H64" s="2468"/>
      <c r="I64" s="138"/>
      <c r="J64" s="3595"/>
      <c r="K64" s="2470" t="s">
        <v>2232</v>
      </c>
      <c r="L64" s="1729">
        <f ca="1">IF(M49&gt;2000,M49*0.5%,IF(AND(M49&gt;1000,M49&lt;=2000),M49*0.6%,IF(AND(M49&gt;500,M49&lt;=1000),M49*0.7%,IF(AND(M49&gt;200,M49&lt;=500),M49*0.8%,IF(AND(M49&gt;100,M49&lt;=200),M49*0.9%,IF(AND(M49&gt;50,M49&lt;=100),M49*1%,IF(AND(M49&gt;20,M49&lt;=50),M49*1.5%,IF(AND(M49&gt;10,M49&lt;=20),M49*2%,IF(AND(M49&gt;1,M49&lt;=10),M49*2.5%)))))))))</f>
        <v>876.93000000000006</v>
      </c>
      <c r="M64" s="24">
        <f t="shared" ref="M64:M65" ca="1" si="1">ROUND(L64,1)</f>
        <v>876.9</v>
      </c>
      <c r="N64" s="138" t="s">
        <v>2233</v>
      </c>
      <c r="Z64" s="2394"/>
      <c r="AI64" s="2395"/>
    </row>
    <row r="65" spans="1:35" ht="14.25" customHeight="1">
      <c r="A65" s="197" t="s">
        <v>771</v>
      </c>
      <c r="B65" s="198" t="s">
        <v>2234</v>
      </c>
      <c r="C65" s="202"/>
      <c r="D65" s="200"/>
      <c r="E65" s="201"/>
      <c r="F65" s="2460"/>
      <c r="G65" s="2460"/>
      <c r="H65" s="2468"/>
      <c r="I65" s="138"/>
      <c r="J65" s="3595"/>
      <c r="K65" s="2470" t="s">
        <v>2235</v>
      </c>
      <c r="L65" s="1729">
        <f ca="1">IF(M49&gt;1000,M49*0.1%,IF(AND(M49&gt;500,M49&lt;=1000),M49*0.5%,IF(AND(M49&gt;50,M49&lt;=500),M49*1%,IF(AND(M49&gt;1,M49&lt;=50),M49*1.5%))))</f>
        <v>175.386</v>
      </c>
      <c r="M65" s="24">
        <f t="shared" ca="1" si="1"/>
        <v>175.4</v>
      </c>
      <c r="N65" s="138" t="s">
        <v>2233</v>
      </c>
      <c r="Z65" s="2394"/>
      <c r="AI65" s="2395"/>
    </row>
    <row r="66" spans="1:35" ht="14.25" customHeight="1">
      <c r="A66" s="203" t="s">
        <v>772</v>
      </c>
      <c r="B66" s="204" t="s">
        <v>2236</v>
      </c>
      <c r="C66" s="205"/>
      <c r="D66" s="206" t="s">
        <v>32</v>
      </c>
      <c r="E66" s="1753" t="s">
        <v>1360</v>
      </c>
      <c r="F66" s="2460"/>
      <c r="G66" s="2460"/>
      <c r="H66" s="2468"/>
      <c r="I66" s="138"/>
      <c r="J66" s="3595"/>
      <c r="K66" s="2470" t="s">
        <v>2237</v>
      </c>
      <c r="L66" s="1729">
        <f ca="1">M49*0.5%</f>
        <v>876.93000000000006</v>
      </c>
      <c r="M66" s="24">
        <f ca="1">IF(L66&gt;0.5,0.5,ROUND(L66,0))</f>
        <v>0.5</v>
      </c>
      <c r="N66" s="138" t="s">
        <v>2238</v>
      </c>
      <c r="Z66" s="2394"/>
      <c r="AI66" s="2395"/>
    </row>
    <row r="67" spans="1:35" ht="14.25" customHeight="1">
      <c r="A67" s="203" t="s">
        <v>773</v>
      </c>
      <c r="B67" s="204" t="s">
        <v>2239</v>
      </c>
      <c r="C67" s="207">
        <f ca="1">C63-C66</f>
        <v>167034</v>
      </c>
      <c r="D67" s="200" t="s">
        <v>32</v>
      </c>
      <c r="E67" s="201"/>
      <c r="F67" s="2460"/>
      <c r="G67" s="2460"/>
      <c r="H67" s="2468"/>
      <c r="I67" s="138"/>
      <c r="J67" s="3595"/>
      <c r="K67" s="2470" t="s">
        <v>2240</v>
      </c>
      <c r="L67" s="1729">
        <f ca="1">IF(M49&gt;=10000,(8.25+(M49-10000)*0.01%),IF(AND(M49&gt;=8000,M49&lt;10000),(7.85+(M49-8000)*0.02%),IF(AND(M49&gt;=5000,M49&lt;8000),(6.65+(M49-5000)*0.04%),IF(AND(M49&gt;=2000,M49&lt;5000),(4.25+(PM49-2000)*0.08%),IF(AND(M49&gt;=1000,M49&lt;2000),(2.75+(M49-1000)*0.15%),IF(AND(M49&gt;=100,M49&lt;1000),(0.5+(M49-100)*0.25%),IF(AND(M49&gt;0,M49&lt;100),M49*0.5%)))))))</f>
        <v>24.788600000000002</v>
      </c>
      <c r="M67" s="24">
        <f ca="1">ROUND(L67*0.9,1)</f>
        <v>22.3</v>
      </c>
      <c r="Z67" s="2394"/>
      <c r="AI67" s="2395"/>
    </row>
    <row r="68" spans="1:35" ht="14.25" customHeight="1" thickBot="1">
      <c r="A68" s="208" t="s">
        <v>774</v>
      </c>
      <c r="B68" s="209" t="s">
        <v>2241</v>
      </c>
      <c r="C68" s="210">
        <f ca="1">IF(C67&lt;=0,0,ROUND(C67*D68,0))</f>
        <v>9354</v>
      </c>
      <c r="D68" s="211">
        <f>'数据-取费表'!B41</f>
        <v>5.6000000000000001E-2</v>
      </c>
      <c r="E68" s="212"/>
      <c r="F68" s="2460"/>
      <c r="G68" s="2460"/>
      <c r="H68" s="2468"/>
      <c r="I68" s="138"/>
      <c r="J68" s="3595"/>
      <c r="K68" s="2470" t="s">
        <v>2242</v>
      </c>
      <c r="L68" s="1729">
        <f ca="1">IF(M49&gt;10000,M49*0.5%,IF(AND(M49&gt;5000,M49&lt;=10000),M49*1%,IF(AND(M49&gt;1000,M49&lt;=5000),M49*2%,IF(AND(M49&gt;200,M49&lt;=1000),M49*3%,M49*5%))))</f>
        <v>876.93000000000006</v>
      </c>
      <c r="M68" s="24">
        <f ca="1">ROUND(L68,1)</f>
        <v>876.9</v>
      </c>
      <c r="Z68" s="2394"/>
      <c r="AI68" s="2395"/>
    </row>
    <row r="69" spans="1:35" s="2417" customFormat="1" ht="16.5" customHeight="1">
      <c r="A69" s="2471"/>
      <c r="B69" s="2472"/>
      <c r="C69" s="2473"/>
      <c r="D69" s="2474"/>
      <c r="E69" s="2475"/>
      <c r="F69" s="2141"/>
      <c r="G69" s="2141"/>
      <c r="H69" s="2140"/>
      <c r="I69" s="2389"/>
      <c r="J69" s="3595"/>
      <c r="K69" s="2470" t="s">
        <v>2243</v>
      </c>
      <c r="L69" s="2476"/>
      <c r="M69" s="24">
        <f ca="1">ROUND(SUM(M63:M68),0)</f>
        <v>2829</v>
      </c>
      <c r="N69" s="1730">
        <f ca="1">M69/M49</f>
        <v>1.6130135814717252E-2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4.4" thickBot="1">
      <c r="A70" s="3633" t="s">
        <v>2244</v>
      </c>
      <c r="B70" s="3634"/>
      <c r="C70" s="3634"/>
      <c r="D70" s="3634"/>
      <c r="E70" s="3634"/>
      <c r="F70" s="3634"/>
      <c r="G70" s="3634"/>
      <c r="H70" s="3634"/>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3.8">
      <c r="A71" s="3624" t="s">
        <v>2225</v>
      </c>
      <c r="B71" s="3625"/>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3.8">
      <c r="A72" s="203" t="s">
        <v>775</v>
      </c>
      <c r="B72" s="204" t="s">
        <v>2245</v>
      </c>
      <c r="C72" s="207">
        <f ca="1">ROUND(D45/(1+'数据-取费表'!C42),0)</f>
        <v>167034</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3.8">
      <c r="A73" s="203" t="s">
        <v>772</v>
      </c>
      <c r="B73" s="173" t="s">
        <v>2246</v>
      </c>
      <c r="C73" s="207">
        <f ca="1">C74+C78</f>
        <v>1002</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28.8">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30" t="s">
        <v>2253</v>
      </c>
      <c r="F76" s="3629"/>
      <c r="G76" s="3629"/>
      <c r="H76" s="3632"/>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1002</v>
      </c>
      <c r="D78" s="226">
        <f>'数据-取费表'!B43</f>
        <v>6.000000000000001E-3</v>
      </c>
      <c r="E78" s="3621" t="s">
        <v>2258</v>
      </c>
      <c r="F78" s="3622"/>
      <c r="G78" s="3622"/>
      <c r="H78" s="3623"/>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3.8">
      <c r="A79" s="2486" t="s">
        <v>779</v>
      </c>
      <c r="B79" s="204" t="s">
        <v>2259</v>
      </c>
      <c r="C79" s="207">
        <f ca="1">C72-C73</f>
        <v>166032</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165.70059880239521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6" thickBot="1">
      <c r="A81" s="2487" t="s">
        <v>781</v>
      </c>
      <c r="B81" s="209" t="s">
        <v>2261</v>
      </c>
      <c r="C81" s="228">
        <f ca="1">ROUND(IF(C79&lt;=0,0,IF(C80&gt;=200%,C79*60%-C73*35%,IF(C80&gt;=100%,C79*50%-C73*15%,IF(C80&gt;=50%,C79*40%-C73*5%,IF(C80&lt;50%,C79*30%,0))))),0)</f>
        <v>99269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4.4" thickBot="1">
      <c r="A83" s="3633" t="s">
        <v>2262</v>
      </c>
      <c r="B83" s="3634"/>
      <c r="C83" s="3634"/>
      <c r="D83" s="3634"/>
      <c r="E83" s="3634"/>
      <c r="F83" s="3634"/>
      <c r="G83" s="3634"/>
      <c r="H83" s="3634"/>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4">
      <c r="A84" s="3624" t="s">
        <v>2225</v>
      </c>
      <c r="B84" s="3625"/>
      <c r="C84" s="1781"/>
      <c r="D84" s="1781" t="s">
        <v>2226</v>
      </c>
      <c r="E84" s="213" t="s">
        <v>2227</v>
      </c>
      <c r="F84" s="214"/>
      <c r="G84" s="214"/>
      <c r="H84" s="233"/>
      <c r="I84" s="2483"/>
      <c r="J84" s="2479"/>
      <c r="K84" s="3460" t="s">
        <v>3754</v>
      </c>
      <c r="L84" s="2479">
        <v>10406.48</v>
      </c>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4">
      <c r="A85" s="203" t="s">
        <v>775</v>
      </c>
      <c r="B85" s="204" t="s">
        <v>2245</v>
      </c>
      <c r="C85" s="207">
        <f ca="1">ROUND(D45/(1+'数据-取费表'!C42),0)</f>
        <v>167034</v>
      </c>
      <c r="D85" s="200" t="s">
        <v>32</v>
      </c>
      <c r="E85" s="1780"/>
      <c r="F85" s="1774"/>
      <c r="G85" s="1774"/>
      <c r="H85" s="234"/>
      <c r="I85" s="2483"/>
      <c r="J85" s="2479"/>
      <c r="K85" s="3460" t="s">
        <v>3760</v>
      </c>
      <c r="L85" s="2479">
        <v>90254.85</v>
      </c>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4">
      <c r="A86" s="203" t="s">
        <v>772</v>
      </c>
      <c r="B86" s="173" t="s">
        <v>2246</v>
      </c>
      <c r="C86" s="207">
        <f ca="1">IF(H88="仅含出让金",C87+C90+C91+C92+C93+C94,C87+C91+C92+C93+C94)</f>
        <v>81808.540000000008</v>
      </c>
      <c r="D86" s="235"/>
      <c r="E86" s="1780"/>
      <c r="F86" s="1774"/>
      <c r="G86" s="1774"/>
      <c r="H86" s="234"/>
      <c r="I86" s="2483"/>
      <c r="J86" s="2479"/>
      <c r="K86" s="3458"/>
      <c r="L86" s="3462" t="s">
        <v>3758</v>
      </c>
      <c r="M86" s="3462" t="s">
        <v>3761</v>
      </c>
      <c r="N86" s="3462" t="s">
        <v>3760</v>
      </c>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4">
      <c r="A87" s="217" t="s">
        <v>770</v>
      </c>
      <c r="B87" s="198" t="s">
        <v>2263</v>
      </c>
      <c r="C87" s="225">
        <f>C88+C89</f>
        <v>6600.86</v>
      </c>
      <c r="D87" s="226"/>
      <c r="E87" s="1776"/>
      <c r="F87" s="1777"/>
      <c r="G87" s="1777"/>
      <c r="H87" s="1779"/>
      <c r="I87" s="2483"/>
      <c r="J87" s="2479"/>
      <c r="K87" s="3458" t="s">
        <v>3755</v>
      </c>
      <c r="L87" s="3458">
        <f>结果表汇总!B30</f>
        <v>17659.829999999998</v>
      </c>
      <c r="M87" s="3458">
        <f>ROUND(L87/$L$90*$L$84,2)</f>
        <v>2087.23</v>
      </c>
      <c r="N87" s="3458">
        <f>ROUND(L87/$L$90*$L$85,2)</f>
        <v>18102.439999999999</v>
      </c>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2.6" customHeight="1">
      <c r="A88" s="217" t="s">
        <v>776</v>
      </c>
      <c r="B88" s="198" t="s">
        <v>2264</v>
      </c>
      <c r="C88" s="236">
        <f>M89</f>
        <v>6405.86</v>
      </c>
      <c r="D88" s="226"/>
      <c r="E88" s="237" t="s">
        <v>2265</v>
      </c>
      <c r="F88" s="1777"/>
      <c r="G88" s="238" t="s">
        <v>2266</v>
      </c>
      <c r="H88" s="2488" t="s">
        <v>3674</v>
      </c>
      <c r="I88" s="2483"/>
      <c r="J88" s="2479"/>
      <c r="K88" s="3458" t="s">
        <v>3756</v>
      </c>
      <c r="L88" s="3458">
        <f>结果表汇总!B31</f>
        <v>16188.979999999998</v>
      </c>
      <c r="M88" s="3458">
        <f>ROUND(L88/$L$90*$L$84,2)</f>
        <v>1913.39</v>
      </c>
      <c r="N88" s="3458">
        <f>ROUND(L88/$L$90*$L$85,2)</f>
        <v>16594.73</v>
      </c>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4">
      <c r="A89" s="217" t="s">
        <v>777</v>
      </c>
      <c r="B89" s="198" t="s">
        <v>2254</v>
      </c>
      <c r="C89" s="225">
        <f>ROUND(C88*D89,0)</f>
        <v>195</v>
      </c>
      <c r="D89" s="226">
        <f>'数据-取费表'!B48+'数据-取费表'!B49</f>
        <v>3.0499999999999999E-2</v>
      </c>
      <c r="E89" s="237" t="s">
        <v>2267</v>
      </c>
      <c r="F89" s="1777"/>
      <c r="G89" s="1777"/>
      <c r="H89" s="1779"/>
      <c r="I89" s="2483"/>
      <c r="J89" s="2479"/>
      <c r="K89" s="3458" t="s">
        <v>3757</v>
      </c>
      <c r="L89" s="3458">
        <f>结果表汇总!B32</f>
        <v>54199.26999999999</v>
      </c>
      <c r="M89" s="3458">
        <f>L84-M87-M88</f>
        <v>6405.86</v>
      </c>
      <c r="N89" s="3458">
        <f>L85-N88-N87</f>
        <v>55557.680000000008</v>
      </c>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4">
      <c r="A90" s="217" t="s">
        <v>771</v>
      </c>
      <c r="B90" s="198" t="s">
        <v>2268</v>
      </c>
      <c r="C90" s="236"/>
      <c r="D90" s="226"/>
      <c r="E90" s="237" t="str">
        <f>IF(H88="-","土地取得成本中已包含该笔费用"," ")</f>
        <v xml:space="preserve"> </v>
      </c>
      <c r="F90" s="1777"/>
      <c r="G90" s="1777"/>
      <c r="H90" s="1779"/>
      <c r="I90" s="2483"/>
      <c r="J90" s="2479"/>
      <c r="K90" s="3462" t="s">
        <v>3759</v>
      </c>
      <c r="L90" s="3458">
        <f>SUM(L87:L89)</f>
        <v>88048.079999999987</v>
      </c>
      <c r="M90" s="3458">
        <f>SUM(M87:M89)</f>
        <v>10406.48</v>
      </c>
      <c r="N90" s="3458">
        <f>SUM(N87:N89)</f>
        <v>90254.85</v>
      </c>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55557.680000000008</v>
      </c>
      <c r="D91" s="226"/>
      <c r="E91" s="3621" t="s">
        <v>2271</v>
      </c>
      <c r="F91" s="3622"/>
      <c r="G91" s="3622"/>
      <c r="H91" s="3423" t="s">
        <v>3694</v>
      </c>
      <c r="I91" s="2490">
        <f>N89</f>
        <v>55557.680000000008</v>
      </c>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6216</v>
      </c>
      <c r="D92" s="226">
        <v>0.1</v>
      </c>
      <c r="E92" s="3621" t="s">
        <v>2275</v>
      </c>
      <c r="F92" s="3622"/>
      <c r="G92" s="3622"/>
      <c r="H92" s="3623"/>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1002</v>
      </c>
      <c r="D93" s="226">
        <f>'数据-取费表'!B43</f>
        <v>6.000000000000001E-3</v>
      </c>
      <c r="E93" s="3621" t="s">
        <v>2258</v>
      </c>
      <c r="F93" s="3622"/>
      <c r="G93" s="3622"/>
      <c r="H93" s="3623"/>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12432</v>
      </c>
      <c r="D94" s="226">
        <v>0.2</v>
      </c>
      <c r="E94" s="3666" t="s">
        <v>2279</v>
      </c>
      <c r="F94" s="3667"/>
      <c r="G94" s="3667"/>
      <c r="H94" s="3668"/>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3.8">
      <c r="A95" s="2486" t="s">
        <v>779</v>
      </c>
      <c r="B95" s="204" t="s">
        <v>2259</v>
      </c>
      <c r="C95" s="207">
        <f ca="1">ROUND(C85-C86,0)</f>
        <v>85225</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1.0417616547123318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6" thickBot="1">
      <c r="A97" s="2487" t="s">
        <v>781</v>
      </c>
      <c r="B97" s="209" t="s">
        <v>2261</v>
      </c>
      <c r="C97" s="228">
        <f ca="1">ROUND(IF(C95&lt;=0,0,IF(C96&gt;=200%,C95*60%-C86*35%,IF(C96&gt;=100%,C95*50%-C86*15%,IF(C96&gt;=50%,C95*40%-C86*5%,IF(C96&lt;50%,C95*30%,0))))),0)</f>
        <v>30341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605"/>
      <c r="E100" s="3572" t="s">
        <v>2282</v>
      </c>
      <c r="F100" s="3572"/>
      <c r="G100" s="3572"/>
      <c r="H100" s="3605"/>
      <c r="I100" s="138"/>
    </row>
    <row r="101" spans="1:35" ht="18.75" customHeight="1">
      <c r="A101" s="3613" t="s">
        <v>2283</v>
      </c>
      <c r="B101" s="3614"/>
      <c r="C101" s="732" t="str">
        <f>C4</f>
        <v>成本法</v>
      </c>
      <c r="D101" s="733" t="str">
        <f>D4</f>
        <v>收益法商（汇总）</v>
      </c>
      <c r="E101" s="3591" t="s">
        <v>2284</v>
      </c>
      <c r="F101" s="3592"/>
      <c r="G101" s="2491" t="s">
        <v>2285</v>
      </c>
      <c r="H101" s="1035">
        <f ca="1">H118</f>
        <v>167491</v>
      </c>
      <c r="I101" s="138"/>
    </row>
    <row r="102" spans="1:35" ht="18.75" customHeight="1">
      <c r="A102" s="3615" t="s">
        <v>2286</v>
      </c>
      <c r="B102" s="2491" t="s">
        <v>2285</v>
      </c>
      <c r="C102" s="732">
        <f ca="1">C19</f>
        <v>213034</v>
      </c>
      <c r="D102" s="733">
        <f ca="1">D19</f>
        <v>130228</v>
      </c>
      <c r="E102" s="3591"/>
      <c r="F102" s="3592"/>
      <c r="G102" s="2491" t="s">
        <v>2287</v>
      </c>
      <c r="H102" s="371">
        <f ca="1">I118</f>
        <v>39723</v>
      </c>
      <c r="I102" s="138"/>
    </row>
    <row r="103" spans="1:35" ht="42.75" customHeight="1">
      <c r="A103" s="3615"/>
      <c r="B103" s="2491" t="s">
        <v>2287</v>
      </c>
      <c r="C103" s="734">
        <f ca="1">C20</f>
        <v>50525</v>
      </c>
      <c r="D103" s="735">
        <f ca="1">D20</f>
        <v>30886</v>
      </c>
      <c r="E103" s="3585" t="s">
        <v>2288</v>
      </c>
      <c r="F103" s="3586"/>
      <c r="G103" s="2492" t="s">
        <v>2289</v>
      </c>
      <c r="H103" s="1035">
        <f>IF(D36="正常操作",H104+H105+H106,H105+H106)</f>
        <v>0</v>
      </c>
      <c r="I103" s="138"/>
    </row>
    <row r="104" spans="1:35" ht="18.75" customHeight="1">
      <c r="A104" s="3615" t="s">
        <v>2290</v>
      </c>
      <c r="B104" s="2493" t="s">
        <v>2285</v>
      </c>
      <c r="C104" s="736">
        <f ca="1">H118</f>
        <v>167491</v>
      </c>
      <c r="D104" s="737"/>
      <c r="E104" s="2241" t="s">
        <v>2291</v>
      </c>
      <c r="F104" s="2233"/>
      <c r="G104" s="2492" t="s">
        <v>2289</v>
      </c>
      <c r="H104" s="1036">
        <f>IF(D36="同一抵押权人同一抵押物续贷",C36&amp;"（未扣减，详见特别提示）",C36)</f>
        <v>0</v>
      </c>
      <c r="I104" s="138"/>
    </row>
    <row r="105" spans="1:35" ht="18.75" customHeight="1" thickBot="1">
      <c r="A105" s="3627"/>
      <c r="B105" s="2494" t="s">
        <v>2287</v>
      </c>
      <c r="C105" s="738">
        <f ca="1">I118</f>
        <v>39723</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16" t="str">
        <f>IF(项目基本情况!E8="已注销","——","3.房地产抵押价值")</f>
        <v>3.房地产抵押价值</v>
      </c>
      <c r="F107" s="3592"/>
      <c r="G107" s="2491" t="s">
        <v>2285</v>
      </c>
      <c r="H107" s="1035">
        <f ca="1">IF(E107="——","——",H101-H103)</f>
        <v>167491</v>
      </c>
      <c r="I107" s="138"/>
    </row>
    <row r="108" spans="1:35" ht="18.75" customHeight="1">
      <c r="A108" s="138"/>
      <c r="B108" s="138"/>
      <c r="C108" s="138"/>
      <c r="D108" s="138"/>
      <c r="E108" s="3616"/>
      <c r="F108" s="3592"/>
      <c r="G108" s="2491" t="s">
        <v>2287</v>
      </c>
      <c r="H108" s="371">
        <f ca="1">ROUND(H107*10000/'数据-汇总表'!E3,0)</f>
        <v>39723</v>
      </c>
      <c r="I108" s="138"/>
    </row>
    <row r="109" spans="1:35" ht="18.75" customHeight="1">
      <c r="A109" s="138"/>
      <c r="B109" s="138"/>
      <c r="C109" s="138"/>
      <c r="D109" s="138"/>
      <c r="E109" s="3616" t="str">
        <f>IF(项目基本情况!E8="已注销及未注销","4.抵押担保权已注销时的房地产抵押价值",IF(项目基本情况!E8="已注销","3.抵押担保权已注销时的房地产抵押价值","——"))</f>
        <v>——</v>
      </c>
      <c r="F109" s="3592"/>
      <c r="G109" s="2491" t="s">
        <v>2285</v>
      </c>
      <c r="H109" s="348" t="str">
        <f>IF(E109="——","——",H101-H105-H106)</f>
        <v>——</v>
      </c>
      <c r="I109" s="138"/>
    </row>
    <row r="110" spans="1:35" ht="18.75" customHeight="1">
      <c r="A110" s="138"/>
      <c r="B110" s="138"/>
      <c r="C110" s="138"/>
      <c r="D110" s="138"/>
      <c r="E110" s="3616"/>
      <c r="F110" s="3592"/>
      <c r="G110" s="2491" t="s">
        <v>2287</v>
      </c>
      <c r="H110" s="371" t="str">
        <f>IF(H109="——","——",ROUND(H109*10000/'数据-汇总表'!E3,0))</f>
        <v>——</v>
      </c>
      <c r="I110" s="138"/>
    </row>
    <row r="111" spans="1:35" ht="18.75" customHeight="1">
      <c r="A111" s="138"/>
      <c r="B111" s="138"/>
      <c r="C111" s="138"/>
      <c r="D111" s="138"/>
      <c r="E111" s="3617" t="str">
        <f>IF(项目基本情况!E9="抵押净值",IF(OR(项目基本情况!E8="已注销",项目基本情况!E8="房地产抵押价值"),"4.抵押净值","5.抵押净值"),"——")</f>
        <v>——</v>
      </c>
      <c r="F111" s="3618"/>
      <c r="G111" s="2491" t="s">
        <v>2285</v>
      </c>
      <c r="H111" s="1035" t="str">
        <f>IF(E111="——","——",N59)</f>
        <v>——</v>
      </c>
      <c r="I111" s="138"/>
    </row>
    <row r="112" spans="1:35" ht="18.75" customHeight="1" thickBot="1">
      <c r="A112" s="138"/>
      <c r="B112" s="138"/>
      <c r="C112" s="138"/>
      <c r="D112" s="138"/>
      <c r="E112" s="3619"/>
      <c r="F112" s="3620"/>
      <c r="G112" s="2496" t="s">
        <v>2287</v>
      </c>
      <c r="H112" s="785" t="str">
        <f>IF(E111="——","——",N61)</f>
        <v>——</v>
      </c>
      <c r="I112" s="138"/>
    </row>
    <row r="113" spans="1:11" ht="18.75" customHeight="1">
      <c r="A113" s="138"/>
      <c r="B113" s="138"/>
      <c r="C113" s="138"/>
      <c r="D113" s="138"/>
      <c r="E113" s="3628" t="s">
        <v>2293</v>
      </c>
      <c r="F113" s="3628"/>
      <c r="G113" s="3628"/>
      <c r="H113" s="3628"/>
      <c r="I113" s="138"/>
    </row>
    <row r="114" spans="1:11" ht="3.75" customHeight="1">
      <c r="A114" s="2389"/>
      <c r="B114" s="2389"/>
      <c r="C114" s="2389"/>
      <c r="D114" s="2389"/>
      <c r="E114" s="2467"/>
      <c r="F114" s="2467"/>
      <c r="G114" s="2467"/>
      <c r="H114" s="2467"/>
      <c r="I114" s="2389"/>
    </row>
    <row r="115" spans="1:11" ht="18.75" customHeight="1">
      <c r="A115" s="3638" t="s">
        <v>2295</v>
      </c>
      <c r="B115" s="3639"/>
      <c r="C115" s="3639"/>
      <c r="D115" s="3639"/>
      <c r="E115" s="3639"/>
      <c r="F115" s="3639"/>
      <c r="G115" s="3639"/>
      <c r="H115" s="3639"/>
      <c r="I115" s="3640"/>
    </row>
    <row r="116" spans="1:11" ht="27" customHeight="1">
      <c r="A116" s="3521" t="s">
        <v>2296</v>
      </c>
      <c r="B116" s="3522" t="s">
        <v>2297</v>
      </c>
      <c r="C116" s="3522" t="s">
        <v>2298</v>
      </c>
      <c r="D116" s="3524" t="s">
        <v>2299</v>
      </c>
      <c r="E116" s="3525"/>
      <c r="F116" s="3527" t="s">
        <v>2300</v>
      </c>
      <c r="G116" s="3527"/>
      <c r="H116" s="3521" t="s">
        <v>2301</v>
      </c>
      <c r="I116" s="3521"/>
    </row>
    <row r="117" spans="1:11" ht="18.75" customHeight="1">
      <c r="A117" s="3521"/>
      <c r="B117" s="3523"/>
      <c r="C117" s="3523"/>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42164.249999999993</v>
      </c>
      <c r="C118" s="1775">
        <f>M19</f>
        <v>9680.74</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167491</v>
      </c>
      <c r="I118" s="1775">
        <f ca="1">ROUND(IF(D32="楼面单价",C32,H118*10000/B118),0)</f>
        <v>39723</v>
      </c>
    </row>
    <row r="119" spans="1:11" ht="18.75" customHeight="1">
      <c r="A119" s="3521" t="s">
        <v>2305</v>
      </c>
      <c r="B119" s="3521"/>
      <c r="C119" s="3521"/>
      <c r="D119" s="3516" t="e">
        <f ca="1">NUMBERSTRING(INT(D118*10000),2)&amp;"元整"</f>
        <v>#REF!</v>
      </c>
      <c r="E119" s="3517"/>
      <c r="F119" s="3516" t="e">
        <f ca="1">NUMBERSTRING(INT(F118*10000),2)&amp;"元整"</f>
        <v>#REF!</v>
      </c>
      <c r="G119" s="3517"/>
      <c r="H119" s="3516" t="str">
        <f ca="1">NUMBERSTRING(INT(H118*10000),2)&amp;"元整"</f>
        <v>壹拾陆亿柒仟肆佰玖拾壹万元整</v>
      </c>
      <c r="I119" s="3517"/>
    </row>
    <row r="120" spans="1:11" ht="18.75" customHeight="1">
      <c r="A120" s="3598" t="str">
        <f>IF(项目基本情况!B9="房地产市场价值","",MID(E103,3,LEN(E103)-2))</f>
        <v>估价师知悉的法定优先受偿款</v>
      </c>
      <c r="B120" s="3599"/>
      <c r="C120" s="3600"/>
      <c r="D120" s="3598">
        <f>H103</f>
        <v>0</v>
      </c>
      <c r="E120" s="3599"/>
      <c r="F120" s="3599"/>
      <c r="G120" s="3599"/>
      <c r="H120" s="3599"/>
      <c r="I120" s="3600"/>
      <c r="K120" s="2394" t="str">
        <f>IF(D120=0,"故，本次评估不存在"&amp;A120,"故，本次评估"&amp;A120&amp;"为人民币"&amp;D120&amp;"万元整。")</f>
        <v>故，本次评估不存在估价师知悉的法定优先受偿款</v>
      </c>
    </row>
    <row r="121" spans="1:11" ht="18.75" customHeight="1">
      <c r="A121" s="3518" t="s">
        <v>2305</v>
      </c>
      <c r="B121" s="3637"/>
      <c r="C121" s="3519"/>
      <c r="D121" s="3516" t="str">
        <f>IF(D120=0,"零元整",NUMBERSTRING(INT(D120*10000),2)&amp;"元整")</f>
        <v>零元整</v>
      </c>
      <c r="E121" s="3601"/>
      <c r="F121" s="3601"/>
      <c r="G121" s="3601"/>
      <c r="H121" s="3601"/>
      <c r="I121" s="3517"/>
    </row>
    <row r="122" spans="1:11" ht="18.75" customHeight="1">
      <c r="A122" s="3603" t="str">
        <f>IF(项目基本情况!B9="房地产市场价值","",MID(E107,3,LEN(E107)-2))</f>
        <v>房地产抵押价值</v>
      </c>
      <c r="B122" s="3603"/>
      <c r="C122" s="3603"/>
      <c r="D122" s="3598">
        <f ca="1">H107</f>
        <v>167491</v>
      </c>
      <c r="E122" s="3599"/>
      <c r="F122" s="3599"/>
      <c r="G122" s="3599"/>
      <c r="H122" s="3599"/>
      <c r="I122" s="3600"/>
    </row>
    <row r="123" spans="1:11" ht="18.75" customHeight="1">
      <c r="A123" s="3521" t="s">
        <v>2305</v>
      </c>
      <c r="B123" s="3521"/>
      <c r="C123" s="3521"/>
      <c r="D123" s="3516" t="str">
        <f ca="1">NUMBERSTRING(INT(D122*10000),2)&amp;"元整"</f>
        <v>壹拾陆亿柒仟肆佰玖拾壹万元整</v>
      </c>
      <c r="E123" s="3601"/>
      <c r="F123" s="3601"/>
      <c r="G123" s="3601"/>
      <c r="H123" s="3601"/>
      <c r="I123" s="3517"/>
    </row>
    <row r="124" spans="1:11" ht="18.75" customHeight="1">
      <c r="A124" s="3603" t="str">
        <f>IF(项目基本情况!B9="房地产市场价值","",MID(E109,3,LEN(E109)-2))</f>
        <v/>
      </c>
      <c r="B124" s="3603"/>
      <c r="C124" s="3603"/>
      <c r="D124" s="3598" t="str">
        <f>H109</f>
        <v>——</v>
      </c>
      <c r="E124" s="3599"/>
      <c r="F124" s="3599"/>
      <c r="G124" s="3599"/>
      <c r="H124" s="3599"/>
      <c r="I124" s="3600"/>
    </row>
    <row r="125" spans="1:11" ht="18.75" customHeight="1">
      <c r="A125" s="3521" t="s">
        <v>2305</v>
      </c>
      <c r="B125" s="3521"/>
      <c r="C125" s="3521"/>
      <c r="D125" s="3516" t="e">
        <f>NUMBERSTRING(INT(D124*10000),2)&amp;"元整"</f>
        <v>#VALUE!</v>
      </c>
      <c r="E125" s="3601"/>
      <c r="F125" s="3601"/>
      <c r="G125" s="3601"/>
      <c r="H125" s="3601"/>
      <c r="I125" s="3517"/>
    </row>
    <row r="126" spans="1:11" ht="18.75" customHeight="1">
      <c r="A126" s="3603" t="str">
        <f>IF(项目基本情况!B9="房地产市场价值","",MID(E111,3,LEN(E111)-2))</f>
        <v/>
      </c>
      <c r="B126" s="3603"/>
      <c r="C126" s="3603"/>
      <c r="D126" s="3598" t="str">
        <f>H111</f>
        <v>——</v>
      </c>
      <c r="E126" s="3599"/>
      <c r="F126" s="3599"/>
      <c r="G126" s="3599"/>
      <c r="H126" s="3599"/>
      <c r="I126" s="3600"/>
    </row>
    <row r="127" spans="1:11" ht="18.75" customHeight="1">
      <c r="A127" s="3521" t="s">
        <v>2305</v>
      </c>
      <c r="B127" s="3521"/>
      <c r="C127" s="3521"/>
      <c r="D127" s="3516" t="e">
        <f>NUMBERSTRING(INT(D126*10000),2)&amp;"元整"</f>
        <v>#VALUE!</v>
      </c>
      <c r="E127" s="3601"/>
      <c r="F127" s="3601"/>
      <c r="G127" s="3601"/>
      <c r="H127" s="3601"/>
      <c r="I127" s="3517"/>
    </row>
    <row r="128" spans="1:11" ht="21.75" customHeight="1">
      <c r="A128" s="3602" t="s">
        <v>2306</v>
      </c>
      <c r="B128" s="3602"/>
      <c r="C128" s="3602"/>
      <c r="D128" s="3602"/>
      <c r="E128" s="3602"/>
      <c r="F128" s="3602"/>
      <c r="G128" s="3602"/>
      <c r="H128" s="3602"/>
      <c r="I128" s="360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7" priority="23" stopIfTrue="1" operator="equal">
      <formula>25</formula>
    </cfRule>
  </conditionalFormatting>
  <conditionalFormatting sqref="C8:C9">
    <cfRule type="cellIs" dxfId="206" priority="21" stopIfTrue="1" operator="equal">
      <formula>15</formula>
    </cfRule>
  </conditionalFormatting>
  <conditionalFormatting sqref="D5:D7">
    <cfRule type="cellIs" dxfId="205" priority="12" stopIfTrue="1" operator="equal">
      <formula>25</formula>
    </cfRule>
  </conditionalFormatting>
  <conditionalFormatting sqref="D8:D9">
    <cfRule type="cellIs" dxfId="204" priority="11" stopIfTrue="1" operator="equal">
      <formula>15</formula>
    </cfRule>
  </conditionalFormatting>
  <conditionalFormatting sqref="C10:D13">
    <cfRule type="cellIs" dxfId="203" priority="10" stopIfTrue="1" operator="equal">
      <formula>15</formula>
    </cfRule>
  </conditionalFormatting>
  <conditionalFormatting sqref="C90">
    <cfRule type="expression" dxfId="202" priority="5" stopIfTrue="1">
      <formula>$H$88&lt;&gt;"仅含出让金"</formula>
    </cfRule>
  </conditionalFormatting>
  <conditionalFormatting sqref="C91">
    <cfRule type="expression" dxfId="201" priority="4" stopIfTrue="1">
      <formula>$H$91="由企业提供"</formula>
    </cfRule>
  </conditionalFormatting>
  <conditionalFormatting sqref="E36">
    <cfRule type="expression" dxfId="200" priority="3" stopIfTrue="1">
      <formula>$D$36="同一抵押权人同一抵押物续贷"</formula>
    </cfRule>
  </conditionalFormatting>
  <conditionalFormatting sqref="C14:C16">
    <cfRule type="cellIs" dxfId="199" priority="2" stopIfTrue="1" operator="equal">
      <formula>30</formula>
    </cfRule>
  </conditionalFormatting>
  <conditionalFormatting sqref="D14:D16">
    <cfRule type="cellIs" dxfId="198" priority="1" stopIfTrue="1" operator="equal">
      <formula>30</formula>
    </cfRule>
  </conditionalFormatting>
  <dataValidations count="22">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allowBlank="1" showInputMessage="1" showErrorMessage="1" sqref="H59" xr:uid="{00000000-0002-0000-1500-000010000000}">
      <formula1>"非个人房产,个人住宅,个人非住宅"</formula1>
    </dataValidation>
    <dataValidation type="list" showInputMessage="1" showErrorMessage="1" sqref="G1" xr:uid="{00000000-0002-0000-1500-000011000000}">
      <formula1>"现房,在建,土地,-"</formula1>
    </dataValidation>
    <dataValidation type="list" allowBlank="1" showInputMessage="1" showErrorMessage="1" sqref="I1" xr:uid="{00000000-0002-0000-1500-000012000000}">
      <formula1>"项目局部,项目全部,——"</formula1>
    </dataValidation>
    <dataValidation type="list" allowBlank="1" showInputMessage="1" showErrorMessage="1" sqref="C1" xr:uid="{00000000-0002-0000-1500-000013000000}">
      <formula1>项目类型</formula1>
    </dataValidation>
    <dataValidation type="list" allowBlank="1" showInputMessage="1" showErrorMessage="1" sqref="G77" xr:uid="{00000000-0002-0000-1500-000014000000}">
      <formula1>"个人住宅,2016年5月1日前购买,2016年5月1日后购买"</formula1>
    </dataValidation>
    <dataValidation type="list" allowBlank="1" showInputMessage="1" showErrorMessage="1" sqref="E103" xr:uid="{00000000-0002-0000-15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D132"/>
  <sheetViews>
    <sheetView topLeftCell="A14" zoomScale="80" zoomScaleNormal="80" workbookViewId="0">
      <selection activeCell="M22" sqref="M22"/>
    </sheetView>
  </sheetViews>
  <sheetFormatPr defaultColWidth="9" defaultRowHeight="13.8"/>
  <cols>
    <col min="1" max="1" width="14.33203125" style="3056" customWidth="1"/>
    <col min="2" max="2" width="15.77734375" style="3056" customWidth="1"/>
    <col min="3" max="3" width="21.6640625" style="3390" customWidth="1"/>
    <col min="4" max="4" width="14.109375" style="3056" customWidth="1"/>
    <col min="5" max="5" width="14.33203125" style="3056" customWidth="1"/>
    <col min="6" max="6" width="12.21875" style="3056" customWidth="1"/>
    <col min="7" max="7" width="14.44140625" style="3056" customWidth="1"/>
    <col min="8" max="8" width="12.21875" style="3056" customWidth="1"/>
    <col min="9" max="9" width="14.44140625" style="3056" customWidth="1"/>
    <col min="10" max="10" width="12.21875" style="3056" customWidth="1"/>
    <col min="11" max="11" width="12.21875" style="3368" customWidth="1"/>
    <col min="12" max="12" width="12.21875" style="3369" customWidth="1"/>
    <col min="13" max="15" width="12.21875" style="3056" customWidth="1"/>
    <col min="16" max="16" width="4.77734375" style="3056" customWidth="1"/>
    <col min="17" max="17" width="19.44140625" style="3056" customWidth="1"/>
    <col min="18" max="22" width="6.109375" style="3056" customWidth="1"/>
    <col min="23" max="23" width="5.77734375" style="3056" customWidth="1"/>
    <col min="24" max="24" width="4.21875" style="3056" customWidth="1"/>
    <col min="25" max="25" width="3.44140625" style="3056" customWidth="1"/>
    <col min="26" max="26" width="19.77734375" style="3056" customWidth="1"/>
    <col min="27" max="28" width="9.33203125" style="3056" customWidth="1"/>
    <col min="29" max="16384" width="9" style="3056"/>
  </cols>
  <sheetData>
    <row r="1" spans="1:30" s="3038" customFormat="1" ht="28.5" customHeight="1">
      <c r="A1" s="3028" t="s">
        <v>3445</v>
      </c>
      <c r="B1" s="3029"/>
      <c r="C1" s="3371" t="s">
        <v>3446</v>
      </c>
      <c r="D1" s="3030"/>
      <c r="E1" s="3030"/>
      <c r="F1" s="3031" t="s">
        <v>3447</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3448</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3449</v>
      </c>
      <c r="B3" s="3046" t="e">
        <f>ROUND(IF(D3="",B2*10000/'[1]数据-汇总表'!E3,B2*10000/D3),0)</f>
        <v>#VALUE!</v>
      </c>
      <c r="C3" s="3373" t="s">
        <v>3450</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4.4">
      <c r="A4" s="3050" t="s">
        <v>3451</v>
      </c>
      <c r="B4" s="3051"/>
      <c r="C4" s="3672" t="s">
        <v>3452</v>
      </c>
      <c r="D4" s="3673"/>
      <c r="E4" s="3674" t="s">
        <v>3453</v>
      </c>
      <c r="F4" s="3675"/>
      <c r="G4" s="3672" t="s">
        <v>3454</v>
      </c>
      <c r="H4" s="3673"/>
      <c r="I4" s="3672" t="s">
        <v>3455</v>
      </c>
      <c r="J4" s="3673"/>
      <c r="K4" s="3052" t="s">
        <v>3456</v>
      </c>
      <c r="L4" s="3053"/>
      <c r="M4" s="3054"/>
      <c r="N4" s="3054"/>
      <c r="O4" s="3054"/>
      <c r="P4" s="3676" t="s">
        <v>3457</v>
      </c>
      <c r="Q4" s="3677"/>
      <c r="R4" s="3682" t="s">
        <v>3453</v>
      </c>
      <c r="S4" s="3683"/>
      <c r="T4" s="3682" t="s">
        <v>3454</v>
      </c>
      <c r="U4" s="3683"/>
      <c r="V4" s="3696" t="s">
        <v>3455</v>
      </c>
      <c r="W4" s="3696"/>
      <c r="X4" s="3055"/>
      <c r="Y4" s="3682" t="s">
        <v>3457</v>
      </c>
      <c r="Z4" s="3683"/>
      <c r="AA4" s="3669" t="s">
        <v>3453</v>
      </c>
      <c r="AB4" s="3670" t="s">
        <v>3454</v>
      </c>
      <c r="AC4" s="3669" t="s">
        <v>3455</v>
      </c>
    </row>
    <row r="5" spans="1:30">
      <c r="A5" s="3057"/>
      <c r="B5" s="3058"/>
      <c r="C5" s="3686" t="s">
        <v>3458</v>
      </c>
      <c r="D5" s="3687"/>
      <c r="E5" s="3688" t="str">
        <f>土地案例!A3</f>
        <v>朝阳区金盏乡楼梓庄村1113-602地块</v>
      </c>
      <c r="F5" s="3689"/>
      <c r="G5" s="3688" t="str">
        <f>土地案例!A5</f>
        <v>朝阳区金盏乡楼梓庄村1113-603地块</v>
      </c>
      <c r="H5" s="3689"/>
      <c r="I5" s="3688" t="str">
        <f>土地案例!A6</f>
        <v>朝阳区金盏乡楼梓庄村1113-604地块</v>
      </c>
      <c r="J5" s="3689"/>
      <c r="K5" s="3052"/>
      <c r="L5" s="3053"/>
      <c r="M5" s="3054"/>
      <c r="N5" s="3054"/>
      <c r="O5" s="3054"/>
      <c r="P5" s="3678"/>
      <c r="Q5" s="3679"/>
      <c r="R5" s="3684"/>
      <c r="S5" s="3685"/>
      <c r="T5" s="3684"/>
      <c r="U5" s="3685"/>
      <c r="V5" s="3696"/>
      <c r="W5" s="3696"/>
      <c r="X5" s="3055"/>
      <c r="Y5" s="3684"/>
      <c r="Z5" s="3685"/>
      <c r="AA5" s="3670"/>
      <c r="AB5" s="3670"/>
      <c r="AC5" s="3670"/>
    </row>
    <row r="6" spans="1:30" ht="15" thickBot="1">
      <c r="A6" s="3059"/>
      <c r="B6" s="3060"/>
      <c r="C6" s="3690" t="s">
        <v>3459</v>
      </c>
      <c r="D6" s="3691"/>
      <c r="E6" s="3692" t="s">
        <v>3459</v>
      </c>
      <c r="F6" s="3693"/>
      <c r="G6" s="3690" t="s">
        <v>3459</v>
      </c>
      <c r="H6" s="3691"/>
      <c r="I6" s="3690" t="s">
        <v>3459</v>
      </c>
      <c r="J6" s="3691"/>
      <c r="K6" s="3052" t="s">
        <v>3460</v>
      </c>
      <c r="L6" s="3053"/>
      <c r="M6" s="3054"/>
      <c r="N6" s="3054"/>
      <c r="O6" s="3054"/>
      <c r="P6" s="3680"/>
      <c r="Q6" s="3681"/>
      <c r="R6" s="3684"/>
      <c r="S6" s="3685"/>
      <c r="T6" s="3694"/>
      <c r="U6" s="3695"/>
      <c r="V6" s="3696"/>
      <c r="W6" s="3696"/>
      <c r="X6" s="3055"/>
      <c r="Y6" s="3694"/>
      <c r="Z6" s="3695"/>
      <c r="AA6" s="3671"/>
      <c r="AB6" s="3671"/>
      <c r="AC6" s="3671"/>
    </row>
    <row r="7" spans="1:30" s="3074" customFormat="1" ht="15" thickBot="1">
      <c r="A7" s="3061" t="s">
        <v>3461</v>
      </c>
      <c r="B7" s="3062"/>
      <c r="C7" s="3415">
        <f>'[1]数据-取费表'!B2</f>
        <v>43833</v>
      </c>
      <c r="D7" s="3063">
        <v>100</v>
      </c>
      <c r="E7" s="3064" t="str">
        <f>[1]Sheet1!H3</f>
        <v>2017-04-14</v>
      </c>
      <c r="F7" s="3065">
        <f>SUMIF(70:70,YEAR(E7)&amp;"-"&amp;INT((MONTH(E7)+2)/3),71:71)</f>
        <v>98.5</v>
      </c>
      <c r="G7" s="3066" t="str">
        <f>[1]Sheet1!H5</f>
        <v>2017-03-30</v>
      </c>
      <c r="H7" s="3063">
        <f>SUMIF(70:70,YEAR(G7)&amp;"-"&amp;INT((MONTH(G7)+2)/3),71:71)</f>
        <v>98.5</v>
      </c>
      <c r="I7" s="3066" t="str">
        <f>[1]Sheet1!H6</f>
        <v>2017-03-30</v>
      </c>
      <c r="J7" s="3063">
        <f>SUMIF(70:70,YEAR(I7)&amp;"-"&amp;INT((MONTH(I7)+2)/3),71:71)</f>
        <v>98.5</v>
      </c>
      <c r="K7" s="3067"/>
      <c r="L7" s="3068"/>
      <c r="M7" s="3069"/>
      <c r="N7" s="3069"/>
      <c r="O7" s="3069"/>
      <c r="P7" s="3697" t="s">
        <v>3462</v>
      </c>
      <c r="Q7" s="3698"/>
      <c r="R7" s="3070" t="s">
        <v>3463</v>
      </c>
      <c r="S7" s="3071">
        <f t="shared" ref="S7:S15" si="0">F7</f>
        <v>98.5</v>
      </c>
      <c r="T7" s="3070" t="s">
        <v>3463</v>
      </c>
      <c r="U7" s="3071">
        <f t="shared" ref="U7:U15" si="1">H7</f>
        <v>98.5</v>
      </c>
      <c r="V7" s="3070" t="s">
        <v>3463</v>
      </c>
      <c r="W7" s="3071">
        <f t="shared" ref="W7:W15" si="2">J7</f>
        <v>98.5</v>
      </c>
      <c r="X7" s="3072"/>
      <c r="Y7" s="3697" t="s">
        <v>3462</v>
      </c>
      <c r="Z7" s="3699"/>
      <c r="AA7" s="3073">
        <f>D7/F7</f>
        <v>1.015228426395939</v>
      </c>
      <c r="AB7" s="3073">
        <f>D7/H7</f>
        <v>1.015228426395939</v>
      </c>
      <c r="AC7" s="3073">
        <f>D7/J7</f>
        <v>1.015228426395939</v>
      </c>
    </row>
    <row r="8" spans="1:30" s="3074" customFormat="1" ht="15" thickBot="1">
      <c r="A8" s="3061" t="s">
        <v>3464</v>
      </c>
      <c r="B8" s="3062"/>
      <c r="C8" s="3374" t="s">
        <v>2539</v>
      </c>
      <c r="D8" s="3063">
        <v>100</v>
      </c>
      <c r="E8" s="3075" t="s">
        <v>3052</v>
      </c>
      <c r="F8" s="3065">
        <f>SUMIF(73:73,E8,74:74)-SUMIF(73:73,C8,74:74)+100</f>
        <v>100</v>
      </c>
      <c r="G8" s="3075" t="s">
        <v>3052</v>
      </c>
      <c r="H8" s="3063">
        <f>SUMIF(73:73,G8,74:74)-SUMIF(73:73,C8,74:74)+100</f>
        <v>100</v>
      </c>
      <c r="I8" s="3075" t="s">
        <v>3052</v>
      </c>
      <c r="J8" s="3063">
        <f>SUMIF(73:73,I8,74:74)-SUMIF(73:73,C8,74:74)+100</f>
        <v>100</v>
      </c>
      <c r="K8" s="3067"/>
      <c r="L8" s="3068"/>
      <c r="M8" s="3069"/>
      <c r="N8" s="3069"/>
      <c r="O8" s="3069"/>
      <c r="P8" s="3697" t="s">
        <v>2540</v>
      </c>
      <c r="Q8" s="3699"/>
      <c r="R8" s="3070" t="s">
        <v>3465</v>
      </c>
      <c r="S8" s="3071">
        <f t="shared" si="0"/>
        <v>100</v>
      </c>
      <c r="T8" s="3070" t="s">
        <v>3465</v>
      </c>
      <c r="U8" s="3071">
        <f t="shared" si="1"/>
        <v>100</v>
      </c>
      <c r="V8" s="3070" t="s">
        <v>3465</v>
      </c>
      <c r="W8" s="3071">
        <f t="shared" si="2"/>
        <v>100</v>
      </c>
      <c r="X8" s="3072"/>
      <c r="Y8" s="3697" t="s">
        <v>2540</v>
      </c>
      <c r="Z8" s="3699"/>
      <c r="AA8" s="3073">
        <f t="shared" ref="AA8:AA45" si="3">D8/F8</f>
        <v>1</v>
      </c>
      <c r="AB8" s="3073">
        <f t="shared" ref="AB8:AB45" si="4">D8/H8</f>
        <v>1</v>
      </c>
      <c r="AC8" s="3073">
        <f t="shared" ref="AC8:AC45" si="5">D8/J8</f>
        <v>1</v>
      </c>
    </row>
    <row r="9" spans="1:30" s="3074" customFormat="1" ht="14.4">
      <c r="A9" s="3076" t="s">
        <v>3466</v>
      </c>
      <c r="B9" s="3077" t="s">
        <v>3467</v>
      </c>
      <c r="C9" s="3078" t="s">
        <v>3468</v>
      </c>
      <c r="D9" s="3079">
        <v>100</v>
      </c>
      <c r="E9" s="3078" t="s">
        <v>3468</v>
      </c>
      <c r="F9" s="3079">
        <f>SUMIF(75:75,E9,76:76)-SUMIF(75:75,C9,76:76)+100</f>
        <v>100</v>
      </c>
      <c r="G9" s="3078" t="s">
        <v>3468</v>
      </c>
      <c r="H9" s="3079">
        <f>SUMIF(75:75,G9,76:76)-SUMIF(75:75,C9,76:76)+100</f>
        <v>100</v>
      </c>
      <c r="I9" s="3078" t="s">
        <v>3468</v>
      </c>
      <c r="J9" s="3079">
        <f>SUMIF(75:75,I9,76:76)-SUMIF(75:75,C9,76:76)+100</f>
        <v>100</v>
      </c>
      <c r="K9" s="3067"/>
      <c r="L9" s="3068"/>
      <c r="M9" s="3069"/>
      <c r="N9" s="3069"/>
      <c r="O9" s="3080"/>
      <c r="P9" s="3700" t="s">
        <v>3469</v>
      </c>
      <c r="Q9" s="3081" t="str">
        <f t="shared" ref="Q9:Q15" si="6">B9</f>
        <v>用途</v>
      </c>
      <c r="R9" s="3070" t="s">
        <v>3465</v>
      </c>
      <c r="S9" s="3071">
        <f t="shared" si="0"/>
        <v>100</v>
      </c>
      <c r="T9" s="3070" t="s">
        <v>3465</v>
      </c>
      <c r="U9" s="3071">
        <f t="shared" si="1"/>
        <v>100</v>
      </c>
      <c r="V9" s="3070" t="s">
        <v>3465</v>
      </c>
      <c r="W9" s="3071">
        <f t="shared" si="2"/>
        <v>100</v>
      </c>
      <c r="X9" s="3072"/>
      <c r="Y9" s="3701" t="s">
        <v>3470</v>
      </c>
      <c r="Z9" s="3082" t="str">
        <f t="shared" ref="Z9:Z15" si="7">Q9</f>
        <v>用途</v>
      </c>
      <c r="AA9" s="3073">
        <f t="shared" si="3"/>
        <v>1</v>
      </c>
      <c r="AB9" s="3073">
        <f t="shared" si="4"/>
        <v>1</v>
      </c>
      <c r="AC9" s="3073">
        <f t="shared" si="5"/>
        <v>1</v>
      </c>
    </row>
    <row r="10" spans="1:30" s="3093" customFormat="1" ht="28.8">
      <c r="A10" s="3083"/>
      <c r="B10" s="3084" t="s">
        <v>2545</v>
      </c>
      <c r="C10" s="3085" t="s">
        <v>3471</v>
      </c>
      <c r="D10" s="3086">
        <v>100</v>
      </c>
      <c r="E10" s="3087" t="s">
        <v>3472</v>
      </c>
      <c r="F10" s="3086">
        <f>ROUND(100/'[1]数据-取费表'!G16,0)</f>
        <v>105</v>
      </c>
      <c r="G10" s="3088" t="s">
        <v>3472</v>
      </c>
      <c r="H10" s="3086">
        <f>ROUND(100/'[1]数据-取费表'!G16,0)</f>
        <v>105</v>
      </c>
      <c r="I10" s="3088" t="s">
        <v>3472</v>
      </c>
      <c r="J10" s="3086">
        <f>ROUND(100/'[1]数据-取费表'!G16,0)</f>
        <v>105</v>
      </c>
      <c r="K10" s="3089"/>
      <c r="L10" s="3090"/>
      <c r="M10" s="3091"/>
      <c r="N10" s="3091"/>
      <c r="O10" s="3092"/>
      <c r="P10" s="3700"/>
      <c r="Q10" s="3081" t="str">
        <f t="shared" si="6"/>
        <v>土地使用年限（年）</v>
      </c>
      <c r="R10" s="3070" t="s">
        <v>3465</v>
      </c>
      <c r="S10" s="3071">
        <f t="shared" si="0"/>
        <v>105</v>
      </c>
      <c r="T10" s="3070" t="s">
        <v>3465</v>
      </c>
      <c r="U10" s="3071">
        <f t="shared" si="1"/>
        <v>105</v>
      </c>
      <c r="V10" s="3070" t="s">
        <v>3465</v>
      </c>
      <c r="W10" s="3071">
        <f t="shared" si="2"/>
        <v>105</v>
      </c>
      <c r="X10" s="3072"/>
      <c r="Y10" s="3701"/>
      <c r="Z10" s="3082" t="str">
        <f t="shared" si="7"/>
        <v>土地使用年限（年）</v>
      </c>
      <c r="AA10" s="3073">
        <f t="shared" si="3"/>
        <v>0.95238095238095233</v>
      </c>
      <c r="AB10" s="3073">
        <f t="shared" si="4"/>
        <v>0.95238095238095233</v>
      </c>
      <c r="AC10" s="3073">
        <f t="shared" si="5"/>
        <v>0.95238095238095233</v>
      </c>
    </row>
    <row r="11" spans="1:30" ht="15">
      <c r="A11" s="3094"/>
      <c r="B11" s="3084" t="s">
        <v>3473</v>
      </c>
      <c r="C11" s="3095">
        <f>'数据-汇总表'!I4</f>
        <v>3.72</v>
      </c>
      <c r="D11" s="3086">
        <v>100</v>
      </c>
      <c r="E11" s="3095">
        <f>[1]Sheet1!F3</f>
        <v>3</v>
      </c>
      <c r="F11" s="3086">
        <f>LOOKUP(E11,80:80,81:81)-LOOKUP(C11,80:80,81:81)+100</f>
        <v>100</v>
      </c>
      <c r="G11" s="3096">
        <f>[1]Sheet1!F5</f>
        <v>2</v>
      </c>
      <c r="H11" s="3086">
        <f>LOOKUP(G11,80:80,81:81)-LOOKUP(C11,80:80,81:81)+100</f>
        <v>101</v>
      </c>
      <c r="I11" s="3095">
        <f>[1]Sheet1!F6</f>
        <v>2</v>
      </c>
      <c r="J11" s="3086">
        <f>LOOKUP(I11,80:80,81:81)-LOOKUP(C11,80:80,81:81)+100</f>
        <v>101</v>
      </c>
      <c r="K11" s="3097">
        <v>1</v>
      </c>
      <c r="L11" s="3098"/>
      <c r="M11" s="3054"/>
      <c r="N11" s="3054"/>
      <c r="O11" s="3099"/>
      <c r="P11" s="3700"/>
      <c r="Q11" s="3081" t="str">
        <f t="shared" si="6"/>
        <v>容积率</v>
      </c>
      <c r="R11" s="3070" t="s">
        <v>3463</v>
      </c>
      <c r="S11" s="3071">
        <f t="shared" si="0"/>
        <v>100</v>
      </c>
      <c r="T11" s="3070" t="s">
        <v>3463</v>
      </c>
      <c r="U11" s="3071">
        <f t="shared" si="1"/>
        <v>101</v>
      </c>
      <c r="V11" s="3070" t="s">
        <v>3463</v>
      </c>
      <c r="W11" s="3071">
        <f t="shared" si="2"/>
        <v>101</v>
      </c>
      <c r="X11" s="3072"/>
      <c r="Y11" s="3701"/>
      <c r="Z11" s="3082" t="str">
        <f t="shared" si="7"/>
        <v>容积率</v>
      </c>
      <c r="AA11" s="3073">
        <f t="shared" si="3"/>
        <v>1</v>
      </c>
      <c r="AB11" s="3073">
        <f t="shared" si="4"/>
        <v>0.99009900990099009</v>
      </c>
      <c r="AC11" s="3073">
        <f t="shared" si="5"/>
        <v>0.99009900990099009</v>
      </c>
    </row>
    <row r="12" spans="1:30" s="3074" customFormat="1" ht="15">
      <c r="A12" s="3100"/>
      <c r="B12" s="3101" t="s">
        <v>3474</v>
      </c>
      <c r="C12" s="3102" t="s">
        <v>3475</v>
      </c>
      <c r="D12" s="3103">
        <v>100</v>
      </c>
      <c r="E12" s="3104" t="s">
        <v>3475</v>
      </c>
      <c r="F12" s="3086">
        <f>SUMIF(82:82,E12,83:83)-SUMIF(82:82,C12,83:83)+100</f>
        <v>100</v>
      </c>
      <c r="G12" s="3088" t="s">
        <v>3476</v>
      </c>
      <c r="H12" s="3086">
        <f>SUMIF(82:82,G12,83:83)-SUMIF(82:82,C12,83:83)+100</f>
        <v>95</v>
      </c>
      <c r="I12" s="3087" t="s">
        <v>3476</v>
      </c>
      <c r="J12" s="3086">
        <f>SUMIF(82:82,I12,83:83)-SUMIF(82:82,C12,83:83)+100</f>
        <v>95</v>
      </c>
      <c r="K12" s="3089"/>
      <c r="L12" s="3068"/>
      <c r="M12" s="3069"/>
      <c r="N12" s="3069"/>
      <c r="O12" s="3080"/>
      <c r="P12" s="3700"/>
      <c r="Q12" s="3081" t="str">
        <f t="shared" si="6"/>
        <v>自持</v>
      </c>
      <c r="R12" s="3070" t="s">
        <v>3463</v>
      </c>
      <c r="S12" s="3071">
        <f t="shared" si="0"/>
        <v>100</v>
      </c>
      <c r="T12" s="3070" t="s">
        <v>3463</v>
      </c>
      <c r="U12" s="3071">
        <f t="shared" si="1"/>
        <v>95</v>
      </c>
      <c r="V12" s="3070" t="s">
        <v>3463</v>
      </c>
      <c r="W12" s="3071">
        <f t="shared" si="2"/>
        <v>95</v>
      </c>
      <c r="X12" s="3072"/>
      <c r="Y12" s="3701"/>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700"/>
      <c r="Q13" s="3081">
        <f t="shared" si="6"/>
        <v>0</v>
      </c>
      <c r="R13" s="3070" t="s">
        <v>3463</v>
      </c>
      <c r="S13" s="3071">
        <f t="shared" si="0"/>
        <v>100</v>
      </c>
      <c r="T13" s="3070" t="s">
        <v>3463</v>
      </c>
      <c r="U13" s="3071">
        <f t="shared" si="1"/>
        <v>100</v>
      </c>
      <c r="V13" s="3070" t="s">
        <v>3463</v>
      </c>
      <c r="W13" s="3071">
        <f t="shared" si="2"/>
        <v>100</v>
      </c>
      <c r="X13" s="3072"/>
      <c r="Y13" s="3701"/>
      <c r="Z13" s="3082">
        <f t="shared" si="7"/>
        <v>0</v>
      </c>
      <c r="AA13" s="3073">
        <f>D13/F13</f>
        <v>1</v>
      </c>
      <c r="AB13" s="3073">
        <f>D13/H13</f>
        <v>1</v>
      </c>
      <c r="AC13" s="3073">
        <f>D13/J13</f>
        <v>1</v>
      </c>
    </row>
    <row r="14" spans="1:30" ht="15.6"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700"/>
      <c r="Q14" s="3081">
        <f t="shared" si="6"/>
        <v>0</v>
      </c>
      <c r="R14" s="3070" t="s">
        <v>3463</v>
      </c>
      <c r="S14" s="3071">
        <f t="shared" si="0"/>
        <v>100</v>
      </c>
      <c r="T14" s="3070" t="s">
        <v>3463</v>
      </c>
      <c r="U14" s="3071">
        <f t="shared" si="1"/>
        <v>100</v>
      </c>
      <c r="V14" s="3070" t="s">
        <v>3463</v>
      </c>
      <c r="W14" s="3071">
        <f t="shared" si="2"/>
        <v>100</v>
      </c>
      <c r="X14" s="3072"/>
      <c r="Y14" s="3701"/>
      <c r="Z14" s="3082">
        <f t="shared" si="7"/>
        <v>0</v>
      </c>
      <c r="AA14" s="3073">
        <f>D14/F14</f>
        <v>1</v>
      </c>
      <c r="AB14" s="3073">
        <f>D14/H14</f>
        <v>1</v>
      </c>
      <c r="AC14" s="3073">
        <f>D14/J14</f>
        <v>1</v>
      </c>
    </row>
    <row r="15" spans="1:30" ht="69" hidden="1">
      <c r="A15" s="3115" t="s">
        <v>3477</v>
      </c>
      <c r="B15" s="3116" t="s">
        <v>2076</v>
      </c>
      <c r="C15" s="3375" t="str">
        <f>[1]估价对象房地状况!C15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702" t="s">
        <v>3478</v>
      </c>
      <c r="Q15" s="3120" t="str">
        <f t="shared" si="6"/>
        <v>居住社区成熟度</v>
      </c>
      <c r="R15" s="3121" t="s">
        <v>3463</v>
      </c>
      <c r="S15" s="3122">
        <f t="shared" si="0"/>
        <v>100</v>
      </c>
      <c r="T15" s="3121" t="s">
        <v>3463</v>
      </c>
      <c r="U15" s="3122">
        <f t="shared" si="1"/>
        <v>100</v>
      </c>
      <c r="V15" s="3121" t="s">
        <v>3463</v>
      </c>
      <c r="W15" s="3122">
        <f t="shared" si="2"/>
        <v>100</v>
      </c>
      <c r="X15" s="3055"/>
      <c r="Y15" s="3702" t="s">
        <v>3478</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703"/>
      <c r="Q16" s="3120"/>
      <c r="R16" s="3121"/>
      <c r="S16" s="3122"/>
      <c r="T16" s="3121"/>
      <c r="U16" s="3122"/>
      <c r="V16" s="3121"/>
      <c r="W16" s="3122"/>
      <c r="X16" s="3055"/>
      <c r="Y16" s="3703"/>
      <c r="Z16" s="3123"/>
      <c r="AA16" s="3124">
        <v>1</v>
      </c>
      <c r="AB16" s="3124">
        <v>1</v>
      </c>
      <c r="AC16" s="3124">
        <v>1</v>
      </c>
    </row>
    <row r="17" spans="1:29" ht="74.25" customHeight="1">
      <c r="A17" s="3094"/>
      <c r="B17" s="3131" t="s">
        <v>3479</v>
      </c>
      <c r="C17" s="3139" t="str">
        <f>估价对象房地状况!C4</f>
        <v>估价对象位于望京商圈，周边商业氛围较成熟，人流量较大，商业繁华度较好</v>
      </c>
      <c r="D17" s="3129">
        <v>100</v>
      </c>
      <c r="E17" s="3133"/>
      <c r="F17" s="3129">
        <f>SUMIF(90:90,E18,91:91)-SUMIF(90:90,C18,91:91)+100</f>
        <v>97</v>
      </c>
      <c r="G17" s="3133"/>
      <c r="H17" s="3134">
        <f>SUMIF(90:90,G18,91:91)-SUMIF(90:90,C18,91:91)+100</f>
        <v>97</v>
      </c>
      <c r="I17" s="3133"/>
      <c r="J17" s="3134">
        <f>SUMIF(90:90,I18,91:91)-SUMIF(90:90,C18,91:91)+100</f>
        <v>97</v>
      </c>
      <c r="K17" s="3097">
        <v>3</v>
      </c>
      <c r="L17" s="3110"/>
      <c r="M17" s="3054"/>
      <c r="N17" s="3054"/>
      <c r="O17" s="3099"/>
      <c r="P17" s="3703"/>
      <c r="Q17" s="3120" t="str">
        <f>B17</f>
        <v>商业繁华度</v>
      </c>
      <c r="R17" s="3121" t="s">
        <v>3463</v>
      </c>
      <c r="S17" s="3122">
        <f>F17</f>
        <v>97</v>
      </c>
      <c r="T17" s="3121" t="s">
        <v>3463</v>
      </c>
      <c r="U17" s="3122">
        <f>H17</f>
        <v>97</v>
      </c>
      <c r="V17" s="3121" t="s">
        <v>3463</v>
      </c>
      <c r="W17" s="3122">
        <f>J17</f>
        <v>97</v>
      </c>
      <c r="X17" s="3055"/>
      <c r="Y17" s="3703"/>
      <c r="Z17" s="3123" t="str">
        <f>Q17</f>
        <v>商业繁华度</v>
      </c>
      <c r="AA17" s="3124">
        <f t="shared" si="3"/>
        <v>1.0309278350515463</v>
      </c>
      <c r="AB17" s="3124">
        <f t="shared" si="4"/>
        <v>1.0309278350515463</v>
      </c>
      <c r="AC17" s="3124">
        <f t="shared" si="5"/>
        <v>1.0309278350515463</v>
      </c>
    </row>
    <row r="18" spans="1:29" ht="15">
      <c r="A18" s="3094"/>
      <c r="B18" s="3135"/>
      <c r="C18" s="3136" t="s">
        <v>3058</v>
      </c>
      <c r="D18" s="3129"/>
      <c r="E18" s="3137" t="s">
        <v>3059</v>
      </c>
      <c r="F18" s="3129"/>
      <c r="G18" s="3137" t="s">
        <v>3059</v>
      </c>
      <c r="H18" s="3127"/>
      <c r="I18" s="3137" t="s">
        <v>3059</v>
      </c>
      <c r="J18" s="3127"/>
      <c r="K18" s="3089"/>
      <c r="L18" s="3110"/>
      <c r="M18" s="3054"/>
      <c r="N18" s="3054"/>
      <c r="O18" s="3099"/>
      <c r="P18" s="3703"/>
      <c r="Q18" s="3120"/>
      <c r="R18" s="3121"/>
      <c r="S18" s="3122"/>
      <c r="T18" s="3121"/>
      <c r="U18" s="3122"/>
      <c r="V18" s="3121"/>
      <c r="W18" s="3122"/>
      <c r="X18" s="3055"/>
      <c r="Y18" s="3703"/>
      <c r="Z18" s="3123"/>
      <c r="AA18" s="3124">
        <v>1</v>
      </c>
      <c r="AB18" s="3124">
        <v>1</v>
      </c>
      <c r="AC18" s="3124">
        <v>1</v>
      </c>
    </row>
    <row r="19" spans="1:29" ht="72" customHeight="1">
      <c r="A19" s="3094"/>
      <c r="B19" s="3131" t="s">
        <v>3480</v>
      </c>
      <c r="C19" s="3132" t="str">
        <f>估价对象房地状况!C5</f>
        <v>估价对象位于望京商圈，周边办公楼项目较多，入驻率较高，办公集聚程度较好</v>
      </c>
      <c r="D19" s="3134">
        <v>100</v>
      </c>
      <c r="E19" s="3138"/>
      <c r="F19" s="3134">
        <f>SUMIF(92:92,E20,93:93)-SUMIF(92:92,C20,93:93)+100</f>
        <v>97</v>
      </c>
      <c r="G19" s="3138"/>
      <c r="H19" s="3129">
        <f>SUMIF(92:92,G20,93:93)-SUMIF(92:92,C20,93:93)+100</f>
        <v>97</v>
      </c>
      <c r="I19" s="3138"/>
      <c r="J19" s="3129">
        <f>SUMIF(92:92,I20,93:93)-SUMIF(92:92,C20,93:93)+100</f>
        <v>97</v>
      </c>
      <c r="K19" s="3097">
        <v>3</v>
      </c>
      <c r="L19" s="3110"/>
      <c r="M19" s="3054"/>
      <c r="N19" s="3054"/>
      <c r="O19" s="3099"/>
      <c r="P19" s="3703"/>
      <c r="Q19" s="3120" t="str">
        <f>B19</f>
        <v>办公集聚程度</v>
      </c>
      <c r="R19" s="3121" t="s">
        <v>3463</v>
      </c>
      <c r="S19" s="3122">
        <f>F19</f>
        <v>97</v>
      </c>
      <c r="T19" s="3121" t="s">
        <v>3463</v>
      </c>
      <c r="U19" s="3122">
        <f>H19</f>
        <v>97</v>
      </c>
      <c r="V19" s="3121" t="s">
        <v>3463</v>
      </c>
      <c r="W19" s="3122">
        <f>J19</f>
        <v>97</v>
      </c>
      <c r="X19" s="3055"/>
      <c r="Y19" s="3703"/>
      <c r="Z19" s="3123" t="str">
        <f>Q19</f>
        <v>办公集聚程度</v>
      </c>
      <c r="AA19" s="3124">
        <f t="shared" si="3"/>
        <v>1.0309278350515463</v>
      </c>
      <c r="AB19" s="3124">
        <f t="shared" si="4"/>
        <v>1.0309278350515463</v>
      </c>
      <c r="AC19" s="3124">
        <f t="shared" si="5"/>
        <v>1.0309278350515463</v>
      </c>
    </row>
    <row r="20" spans="1:29" ht="15">
      <c r="A20" s="3094"/>
      <c r="B20" s="3135"/>
      <c r="C20" s="3126" t="s">
        <v>3058</v>
      </c>
      <c r="D20" s="3127"/>
      <c r="E20" s="3128" t="s">
        <v>3059</v>
      </c>
      <c r="F20" s="3127"/>
      <c r="G20" s="3128" t="s">
        <v>3059</v>
      </c>
      <c r="H20" s="3127"/>
      <c r="I20" s="3128" t="s">
        <v>3059</v>
      </c>
      <c r="J20" s="3127"/>
      <c r="K20" s="3089"/>
      <c r="L20" s="3110"/>
      <c r="M20" s="3054"/>
      <c r="N20" s="3054"/>
      <c r="O20" s="3099"/>
      <c r="P20" s="3703"/>
      <c r="Q20" s="3120"/>
      <c r="R20" s="3121"/>
      <c r="S20" s="3122"/>
      <c r="T20" s="3121"/>
      <c r="U20" s="3122"/>
      <c r="V20" s="3121"/>
      <c r="W20" s="3122"/>
      <c r="X20" s="3055"/>
      <c r="Y20" s="3703"/>
      <c r="Z20" s="3123"/>
      <c r="AA20" s="3124">
        <v>1</v>
      </c>
      <c r="AB20" s="3124">
        <v>1</v>
      </c>
      <c r="AC20" s="3124">
        <v>1</v>
      </c>
    </row>
    <row r="21" spans="1:29" ht="82.8">
      <c r="A21" s="3094"/>
      <c r="B21" s="3131" t="s">
        <v>3481</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703"/>
      <c r="Q21" s="3120" t="str">
        <f>B21</f>
        <v>交通便捷度</v>
      </c>
      <c r="R21" s="3121" t="s">
        <v>3463</v>
      </c>
      <c r="S21" s="3122">
        <f>F21</f>
        <v>98</v>
      </c>
      <c r="T21" s="3121" t="s">
        <v>3463</v>
      </c>
      <c r="U21" s="3122">
        <f>H21</f>
        <v>98</v>
      </c>
      <c r="V21" s="3121" t="s">
        <v>3463</v>
      </c>
      <c r="W21" s="3122">
        <f>J21</f>
        <v>98</v>
      </c>
      <c r="X21" s="3055"/>
      <c r="Y21" s="3703"/>
      <c r="Z21" s="3123" t="str">
        <f>Q21</f>
        <v>交通便捷度</v>
      </c>
      <c r="AA21" s="3124">
        <f t="shared" si="3"/>
        <v>1.0204081632653061</v>
      </c>
      <c r="AB21" s="3124">
        <f t="shared" si="4"/>
        <v>1.0204081632653061</v>
      </c>
      <c r="AC21" s="3124">
        <f t="shared" si="5"/>
        <v>1.0204081632653061</v>
      </c>
    </row>
    <row r="22" spans="1:29" ht="15">
      <c r="A22" s="3094"/>
      <c r="B22" s="3140"/>
      <c r="C22" s="3126" t="s">
        <v>3058</v>
      </c>
      <c r="D22" s="3129"/>
      <c r="E22" s="3128" t="s">
        <v>3059</v>
      </c>
      <c r="F22" s="3127"/>
      <c r="G22" s="3128" t="s">
        <v>3059</v>
      </c>
      <c r="H22" s="3127"/>
      <c r="I22" s="3128" t="s">
        <v>3059</v>
      </c>
      <c r="J22" s="3127"/>
      <c r="K22" s="3089"/>
      <c r="L22" s="3110"/>
      <c r="M22" s="3054"/>
      <c r="N22" s="3054"/>
      <c r="O22" s="3099"/>
      <c r="P22" s="3703"/>
      <c r="Q22" s="3120"/>
      <c r="R22" s="3121"/>
      <c r="S22" s="3122"/>
      <c r="T22" s="3121"/>
      <c r="U22" s="3122"/>
      <c r="V22" s="3121"/>
      <c r="W22" s="3122"/>
      <c r="X22" s="3055"/>
      <c r="Y22" s="3703"/>
      <c r="Z22" s="3123"/>
      <c r="AA22" s="3124">
        <v>1</v>
      </c>
      <c r="AB22" s="3124">
        <v>1</v>
      </c>
      <c r="AC22" s="3124">
        <v>1</v>
      </c>
    </row>
    <row r="23" spans="1:29" ht="28.8">
      <c r="A23" s="3057"/>
      <c r="B23" s="3131" t="s">
        <v>3482</v>
      </c>
      <c r="C23" s="3141">
        <f>[1]估价对象房地状况!C19</f>
        <v>0</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703"/>
      <c r="Q23" s="3120" t="str">
        <f t="shared" ref="Q23:Q37" si="8">B23</f>
        <v>区域土地利用方向</v>
      </c>
      <c r="R23" s="3121" t="s">
        <v>3463</v>
      </c>
      <c r="S23" s="3122">
        <f>F23</f>
        <v>100</v>
      </c>
      <c r="T23" s="3121" t="s">
        <v>3483</v>
      </c>
      <c r="U23" s="3122">
        <f>H23</f>
        <v>100</v>
      </c>
      <c r="V23" s="3121" t="s">
        <v>3483</v>
      </c>
      <c r="W23" s="3122">
        <f>J23</f>
        <v>100</v>
      </c>
      <c r="X23" s="3055"/>
      <c r="Y23" s="3703"/>
      <c r="Z23" s="3123" t="str">
        <f>Q23</f>
        <v>区域土地利用方向</v>
      </c>
      <c r="AA23" s="3124">
        <f t="shared" si="3"/>
        <v>1</v>
      </c>
      <c r="AB23" s="3124">
        <f t="shared" si="4"/>
        <v>1</v>
      </c>
      <c r="AC23" s="3124">
        <f t="shared" si="5"/>
        <v>1</v>
      </c>
    </row>
    <row r="24" spans="1:29" ht="15">
      <c r="A24" s="3057"/>
      <c r="B24" s="3135"/>
      <c r="C24" s="3142" t="s">
        <v>3058</v>
      </c>
      <c r="D24" s="3127"/>
      <c r="E24" s="3128" t="s">
        <v>3058</v>
      </c>
      <c r="F24" s="3127"/>
      <c r="G24" s="3128" t="s">
        <v>3058</v>
      </c>
      <c r="H24" s="3127"/>
      <c r="I24" s="3128" t="s">
        <v>3058</v>
      </c>
      <c r="J24" s="3127"/>
      <c r="K24" s="3143"/>
      <c r="L24" s="3110"/>
      <c r="M24" s="3054"/>
      <c r="N24" s="3054"/>
      <c r="O24" s="3099"/>
      <c r="P24" s="3703"/>
      <c r="Q24" s="3120"/>
      <c r="R24" s="3121"/>
      <c r="S24" s="3122"/>
      <c r="T24" s="3121"/>
      <c r="U24" s="3122"/>
      <c r="V24" s="3121"/>
      <c r="W24" s="3122"/>
      <c r="X24" s="3055"/>
      <c r="Y24" s="3703"/>
      <c r="Z24" s="3123"/>
      <c r="AA24" s="3124"/>
      <c r="AB24" s="3124"/>
      <c r="AC24" s="3124"/>
    </row>
    <row r="25" spans="1:29" ht="53.25" customHeight="1">
      <c r="A25" s="3057"/>
      <c r="B25" s="3140" t="s">
        <v>3484</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703"/>
      <c r="Q25" s="3120" t="str">
        <f t="shared" si="8"/>
        <v>自然及人文环境状况</v>
      </c>
      <c r="R25" s="3121" t="s">
        <v>3483</v>
      </c>
      <c r="S25" s="3122">
        <f>F25</f>
        <v>99</v>
      </c>
      <c r="T25" s="3121" t="s">
        <v>3483</v>
      </c>
      <c r="U25" s="3122">
        <f>H25</f>
        <v>99</v>
      </c>
      <c r="V25" s="3121" t="s">
        <v>3483</v>
      </c>
      <c r="W25" s="3122">
        <f>J25</f>
        <v>99</v>
      </c>
      <c r="X25" s="3055"/>
      <c r="Y25" s="3703"/>
      <c r="Z25" s="3123" t="str">
        <f>Q25</f>
        <v>自然及人文环境状况</v>
      </c>
      <c r="AA25" s="3124">
        <f t="shared" si="3"/>
        <v>1.0101010101010102</v>
      </c>
      <c r="AB25" s="3124">
        <f t="shared" si="4"/>
        <v>1.0101010101010102</v>
      </c>
      <c r="AC25" s="3124">
        <f t="shared" si="5"/>
        <v>1.0101010101010102</v>
      </c>
    </row>
    <row r="26" spans="1:29" ht="15">
      <c r="A26" s="3057"/>
      <c r="B26" s="3135"/>
      <c r="C26" s="3126" t="s">
        <v>3058</v>
      </c>
      <c r="D26" s="3127"/>
      <c r="E26" s="3144" t="s">
        <v>3059</v>
      </c>
      <c r="F26" s="3127"/>
      <c r="G26" s="3144" t="s">
        <v>3059</v>
      </c>
      <c r="H26" s="3127"/>
      <c r="I26" s="3144" t="s">
        <v>3059</v>
      </c>
      <c r="J26" s="3127"/>
      <c r="K26" s="3089"/>
      <c r="L26" s="3110"/>
      <c r="M26" s="3054"/>
      <c r="N26" s="3054"/>
      <c r="O26" s="3099"/>
      <c r="P26" s="3703"/>
      <c r="Q26" s="3120"/>
      <c r="R26" s="3121"/>
      <c r="S26" s="3122"/>
      <c r="T26" s="3121"/>
      <c r="U26" s="3122"/>
      <c r="V26" s="3121"/>
      <c r="W26" s="3122"/>
      <c r="X26" s="3055"/>
      <c r="Y26" s="3703"/>
      <c r="Z26" s="3123"/>
      <c r="AA26" s="3124">
        <v>1</v>
      </c>
      <c r="AB26" s="3124">
        <v>1</v>
      </c>
      <c r="AC26" s="3124">
        <v>1</v>
      </c>
    </row>
    <row r="27" spans="1:29" s="3074" customFormat="1" ht="27.6">
      <c r="A27" s="3145"/>
      <c r="B27" s="3140" t="s">
        <v>3485</v>
      </c>
      <c r="C27" s="3139" t="str">
        <f>[1]估价对象房地状况!C21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703"/>
      <c r="Q27" s="3081" t="str">
        <f t="shared" si="8"/>
        <v>公共配套设施</v>
      </c>
      <c r="R27" s="3070" t="s">
        <v>3463</v>
      </c>
      <c r="S27" s="3071">
        <f>F27</f>
        <v>98</v>
      </c>
      <c r="T27" s="3070" t="s">
        <v>3463</v>
      </c>
      <c r="U27" s="3071">
        <f>H27</f>
        <v>98</v>
      </c>
      <c r="V27" s="3070" t="s">
        <v>3463</v>
      </c>
      <c r="W27" s="3071">
        <f>J27</f>
        <v>98</v>
      </c>
      <c r="X27" s="3072"/>
      <c r="Y27" s="3703"/>
      <c r="Z27" s="3082" t="str">
        <f>Q27</f>
        <v>公共配套设施</v>
      </c>
      <c r="AA27" s="3124">
        <f>D27/F27</f>
        <v>1.0204081632653061</v>
      </c>
      <c r="AB27" s="3124">
        <f>D27/H27</f>
        <v>1.0204081632653061</v>
      </c>
      <c r="AC27" s="3124">
        <f>D27/J27</f>
        <v>1.0204081632653061</v>
      </c>
    </row>
    <row r="28" spans="1:29" s="3074" customFormat="1" ht="15">
      <c r="A28" s="3145"/>
      <c r="B28" s="3135"/>
      <c r="C28" s="3146" t="s">
        <v>3058</v>
      </c>
      <c r="D28" s="3127"/>
      <c r="E28" s="3144" t="s">
        <v>3059</v>
      </c>
      <c r="F28" s="3127"/>
      <c r="G28" s="3144" t="s">
        <v>3059</v>
      </c>
      <c r="H28" s="3127"/>
      <c r="I28" s="3144" t="s">
        <v>3059</v>
      </c>
      <c r="J28" s="3127"/>
      <c r="K28" s="3089"/>
      <c r="L28" s="3068"/>
      <c r="M28" s="3069"/>
      <c r="N28" s="3069"/>
      <c r="O28" s="3080"/>
      <c r="P28" s="3703"/>
      <c r="Q28" s="3081"/>
      <c r="R28" s="3070"/>
      <c r="S28" s="3071"/>
      <c r="T28" s="3070"/>
      <c r="U28" s="3071"/>
      <c r="V28" s="3070"/>
      <c r="W28" s="3071"/>
      <c r="X28" s="3072"/>
      <c r="Y28" s="3703"/>
      <c r="Z28" s="3082"/>
      <c r="AA28" s="3124">
        <v>1</v>
      </c>
      <c r="AB28" s="3124">
        <v>1</v>
      </c>
      <c r="AC28" s="3124">
        <v>1</v>
      </c>
    </row>
    <row r="29" spans="1:29" s="3074" customFormat="1" ht="27.6">
      <c r="A29" s="3145"/>
      <c r="B29" s="3140" t="s">
        <v>3486</v>
      </c>
      <c r="C29" s="3139" t="str">
        <f>[1]估价对象房地状况!C22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703"/>
      <c r="Q29" s="3081" t="str">
        <f t="shared" ref="Q29" si="9">B29</f>
        <v>基础设施水平</v>
      </c>
      <c r="R29" s="3070" t="s">
        <v>3463</v>
      </c>
      <c r="S29" s="3071">
        <f>F29</f>
        <v>100</v>
      </c>
      <c r="T29" s="3070" t="s">
        <v>3463</v>
      </c>
      <c r="U29" s="3071">
        <f>H29</f>
        <v>100</v>
      </c>
      <c r="V29" s="3070" t="s">
        <v>3463</v>
      </c>
      <c r="W29" s="3071">
        <f>J29</f>
        <v>100</v>
      </c>
      <c r="X29" s="3072"/>
      <c r="Y29" s="3703"/>
      <c r="Z29" s="3082" t="str">
        <f>Q29</f>
        <v>基础设施水平</v>
      </c>
      <c r="AA29" s="3124">
        <f>D29/F29</f>
        <v>1</v>
      </c>
      <c r="AB29" s="3124">
        <f>D29/H29</f>
        <v>1</v>
      </c>
      <c r="AC29" s="3124">
        <f>D29/J29</f>
        <v>1</v>
      </c>
    </row>
    <row r="30" spans="1:29" s="3074" customFormat="1" ht="15">
      <c r="A30" s="3145"/>
      <c r="B30" s="3135"/>
      <c r="C30" s="3146" t="s">
        <v>3097</v>
      </c>
      <c r="D30" s="3127"/>
      <c r="E30" s="3147" t="s">
        <v>3097</v>
      </c>
      <c r="F30" s="3127"/>
      <c r="G30" s="3147" t="s">
        <v>3097</v>
      </c>
      <c r="H30" s="3127"/>
      <c r="I30" s="3147" t="s">
        <v>3097</v>
      </c>
      <c r="J30" s="3127"/>
      <c r="K30" s="3089"/>
      <c r="L30" s="3068"/>
      <c r="M30" s="3069"/>
      <c r="N30" s="3069"/>
      <c r="O30" s="3080"/>
      <c r="P30" s="3703"/>
      <c r="Q30" s="3081"/>
      <c r="R30" s="3070"/>
      <c r="S30" s="3071"/>
      <c r="T30" s="3070"/>
      <c r="U30" s="3071"/>
      <c r="V30" s="3070"/>
      <c r="W30" s="3071"/>
      <c r="X30" s="3072"/>
      <c r="Y30" s="3703"/>
      <c r="Z30" s="3082"/>
      <c r="AA30" s="3124">
        <v>1</v>
      </c>
      <c r="AB30" s="3124">
        <v>1</v>
      </c>
      <c r="AC30" s="3124">
        <v>1</v>
      </c>
    </row>
    <row r="31" spans="1:29" ht="15">
      <c r="A31" s="3094"/>
      <c r="B31" s="3135" t="s">
        <v>3487</v>
      </c>
      <c r="C31" s="3142" t="s">
        <v>3624</v>
      </c>
      <c r="D31" s="3107">
        <v>100</v>
      </c>
      <c r="E31" s="3148" t="s">
        <v>3114</v>
      </c>
      <c r="F31" s="3107">
        <f>SUMIF(104:104,E31,105:105)-SUMIF(104:104,C31,105:105)+100</f>
        <v>94</v>
      </c>
      <c r="G31" s="3148" t="s">
        <v>3114</v>
      </c>
      <c r="H31" s="3107">
        <f>SUMIF(104:104,G31,105:105)-SUMIF(104:104,C31,105:105)+100</f>
        <v>94</v>
      </c>
      <c r="I31" s="3148" t="s">
        <v>3488</v>
      </c>
      <c r="J31" s="3107">
        <f>SUMIF(104:104,I31,105:105)-SUMIF(104:104,C31,105:105)+100</f>
        <v>98</v>
      </c>
      <c r="K31" s="3097">
        <v>2</v>
      </c>
      <c r="L31" s="3110"/>
      <c r="M31" s="3054"/>
      <c r="N31" s="3054"/>
      <c r="O31" s="3099"/>
      <c r="P31" s="3703"/>
      <c r="Q31" s="3120" t="str">
        <f t="shared" si="8"/>
        <v>临街状况</v>
      </c>
      <c r="R31" s="3121" t="s">
        <v>3463</v>
      </c>
      <c r="S31" s="3122">
        <f t="shared" ref="S31:S45" si="10">F31</f>
        <v>94</v>
      </c>
      <c r="T31" s="3121" t="s">
        <v>3463</v>
      </c>
      <c r="U31" s="3122">
        <f t="shared" ref="U31:U45" si="11">H31</f>
        <v>94</v>
      </c>
      <c r="V31" s="3121" t="s">
        <v>3463</v>
      </c>
      <c r="W31" s="3122">
        <f t="shared" ref="W31:W45" si="12">J31</f>
        <v>98</v>
      </c>
      <c r="X31" s="3055"/>
      <c r="Y31" s="3703"/>
      <c r="Z31" s="3123" t="str">
        <f t="shared" ref="Z31:Z45" si="13">Q31</f>
        <v>临街状况</v>
      </c>
      <c r="AA31" s="3124">
        <f t="shared" si="3"/>
        <v>1.0638297872340425</v>
      </c>
      <c r="AB31" s="3124">
        <f t="shared" si="4"/>
        <v>1.0638297872340425</v>
      </c>
      <c r="AC31" s="3124">
        <f t="shared" si="5"/>
        <v>1.0204081632653061</v>
      </c>
    </row>
    <row r="32" spans="1:29" ht="28.8">
      <c r="A32" s="3094"/>
      <c r="B32" s="3140" t="s">
        <v>3489</v>
      </c>
      <c r="C32" s="2977" t="s">
        <v>3666</v>
      </c>
      <c r="D32" s="3129">
        <v>100</v>
      </c>
      <c r="E32" s="3133"/>
      <c r="F32" s="3129">
        <f>SUMIF(106:106,E33,107:107)-SUMIF(106:106,C33,107:107)+100</f>
        <v>98</v>
      </c>
      <c r="G32" s="3133"/>
      <c r="H32" s="3129">
        <f>SUMIF(106:106,G33,107:107)-SUMIF(106:106,C33,107:107)+100</f>
        <v>98</v>
      </c>
      <c r="I32" s="3149"/>
      <c r="J32" s="3129">
        <f>SUMIF(106:106,I33,107:107)-SUMIF(106:106,C33,107:107)+100</f>
        <v>98</v>
      </c>
      <c r="K32" s="3097">
        <v>1</v>
      </c>
      <c r="L32" s="3110"/>
      <c r="M32" s="3054"/>
      <c r="N32" s="3054"/>
      <c r="O32" s="3099"/>
      <c r="P32" s="3703"/>
      <c r="Q32" s="3120" t="str">
        <f t="shared" si="8"/>
        <v>毗邻道路的类型与等级</v>
      </c>
      <c r="R32" s="3121" t="s">
        <v>3465</v>
      </c>
      <c r="S32" s="3122">
        <f t="shared" si="10"/>
        <v>98</v>
      </c>
      <c r="T32" s="3121" t="s">
        <v>3465</v>
      </c>
      <c r="U32" s="3122">
        <f t="shared" si="11"/>
        <v>98</v>
      </c>
      <c r="V32" s="3121" t="s">
        <v>3465</v>
      </c>
      <c r="W32" s="3122">
        <f t="shared" si="12"/>
        <v>98</v>
      </c>
      <c r="X32" s="3055"/>
      <c r="Y32" s="3703"/>
      <c r="Z32" s="3123" t="str">
        <f t="shared" si="13"/>
        <v>毗邻道路的类型与等级</v>
      </c>
      <c r="AA32" s="3124">
        <f t="shared" si="3"/>
        <v>1.0204081632653061</v>
      </c>
      <c r="AB32" s="3124">
        <f t="shared" si="4"/>
        <v>1.0204081632653061</v>
      </c>
      <c r="AC32" s="3124">
        <f t="shared" si="5"/>
        <v>1.0204081632653061</v>
      </c>
    </row>
    <row r="33" spans="1:29" ht="15.6" thickBot="1">
      <c r="A33" s="3094"/>
      <c r="B33" s="3135"/>
      <c r="C33" s="3126" t="s">
        <v>3625</v>
      </c>
      <c r="D33" s="3127"/>
      <c r="E33" s="3126" t="s">
        <v>3490</v>
      </c>
      <c r="F33" s="3127"/>
      <c r="G33" s="3126" t="s">
        <v>3490</v>
      </c>
      <c r="H33" s="3127"/>
      <c r="I33" s="3126" t="s">
        <v>3490</v>
      </c>
      <c r="J33" s="3127"/>
      <c r="K33" s="3150"/>
      <c r="L33" s="3110"/>
      <c r="M33" s="3054"/>
      <c r="N33" s="3054"/>
      <c r="O33" s="3099"/>
      <c r="P33" s="3703"/>
      <c r="Q33" s="3120"/>
      <c r="R33" s="3121"/>
      <c r="S33" s="3122"/>
      <c r="T33" s="3121"/>
      <c r="U33" s="3122"/>
      <c r="V33" s="3121"/>
      <c r="W33" s="3122"/>
      <c r="X33" s="3055"/>
      <c r="Y33" s="3703"/>
      <c r="Z33" s="3123"/>
      <c r="AA33" s="3124">
        <v>1</v>
      </c>
      <c r="AB33" s="3124">
        <v>1</v>
      </c>
      <c r="AC33" s="3124">
        <v>1</v>
      </c>
    </row>
    <row r="34" spans="1:29" ht="15.6" hidden="1" thickBot="1">
      <c r="A34" s="3094"/>
      <c r="B34" s="3084" t="s">
        <v>3491</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703"/>
      <c r="Q34" s="3120" t="str">
        <f t="shared" si="8"/>
        <v>土地级别</v>
      </c>
      <c r="R34" s="3121" t="s">
        <v>3463</v>
      </c>
      <c r="S34" s="3122">
        <f t="shared" si="10"/>
        <v>100</v>
      </c>
      <c r="T34" s="3121" t="s">
        <v>3463</v>
      </c>
      <c r="U34" s="3122">
        <f t="shared" si="11"/>
        <v>100</v>
      </c>
      <c r="V34" s="3121" t="s">
        <v>3463</v>
      </c>
      <c r="W34" s="3122">
        <f t="shared" si="12"/>
        <v>100</v>
      </c>
      <c r="X34" s="3055"/>
      <c r="Y34" s="3703"/>
      <c r="Z34" s="3123" t="str">
        <f t="shared" si="13"/>
        <v>土地级别</v>
      </c>
      <c r="AA34" s="3124">
        <f t="shared" si="3"/>
        <v>1</v>
      </c>
      <c r="AB34" s="3124">
        <f t="shared" si="4"/>
        <v>1</v>
      </c>
      <c r="AC34" s="3124">
        <f t="shared" si="5"/>
        <v>1</v>
      </c>
    </row>
    <row r="35" spans="1:29" ht="15.6"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703"/>
      <c r="Q35" s="3120">
        <f t="shared" si="8"/>
        <v>111</v>
      </c>
      <c r="R35" s="3121" t="s">
        <v>3463</v>
      </c>
      <c r="S35" s="3122">
        <f t="shared" si="10"/>
        <v>100</v>
      </c>
      <c r="T35" s="3121" t="s">
        <v>3463</v>
      </c>
      <c r="U35" s="3122">
        <f t="shared" si="11"/>
        <v>100</v>
      </c>
      <c r="V35" s="3121" t="s">
        <v>3463</v>
      </c>
      <c r="W35" s="3122">
        <f t="shared" si="12"/>
        <v>100</v>
      </c>
      <c r="X35" s="3055"/>
      <c r="Y35" s="3703"/>
      <c r="Z35" s="3123">
        <f t="shared" si="13"/>
        <v>111</v>
      </c>
      <c r="AA35" s="3124">
        <f t="shared" si="3"/>
        <v>1</v>
      </c>
      <c r="AB35" s="3124">
        <f t="shared" si="4"/>
        <v>1</v>
      </c>
      <c r="AC35" s="3124">
        <f t="shared" si="5"/>
        <v>1</v>
      </c>
    </row>
    <row r="36" spans="1:29" ht="15.6"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708" t="s">
        <v>3492</v>
      </c>
      <c r="Q36" s="3120">
        <f t="shared" si="8"/>
        <v>111</v>
      </c>
      <c r="R36" s="3121" t="s">
        <v>3463</v>
      </c>
      <c r="S36" s="3122">
        <f t="shared" si="10"/>
        <v>100</v>
      </c>
      <c r="T36" s="3121" t="s">
        <v>3463</v>
      </c>
      <c r="U36" s="3122">
        <f t="shared" si="11"/>
        <v>100</v>
      </c>
      <c r="V36" s="3121" t="s">
        <v>3463</v>
      </c>
      <c r="W36" s="3122">
        <f t="shared" si="12"/>
        <v>100</v>
      </c>
      <c r="X36" s="3055"/>
      <c r="Y36" s="3709" t="s">
        <v>3492</v>
      </c>
      <c r="Z36" s="3123">
        <f t="shared" si="13"/>
        <v>111</v>
      </c>
      <c r="AA36" s="3124">
        <f t="shared" si="3"/>
        <v>1</v>
      </c>
      <c r="AB36" s="3124">
        <f t="shared" si="4"/>
        <v>1</v>
      </c>
      <c r="AC36" s="3124">
        <f t="shared" si="5"/>
        <v>1</v>
      </c>
    </row>
    <row r="37" spans="1:29" s="3167" customFormat="1" ht="15.6"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709"/>
      <c r="Q37" s="3120">
        <f t="shared" si="8"/>
        <v>111</v>
      </c>
      <c r="R37" s="3163" t="s">
        <v>3463</v>
      </c>
      <c r="S37" s="3164">
        <f t="shared" si="10"/>
        <v>100</v>
      </c>
      <c r="T37" s="3163" t="s">
        <v>3463</v>
      </c>
      <c r="U37" s="3164">
        <f t="shared" si="11"/>
        <v>100</v>
      </c>
      <c r="V37" s="3163" t="s">
        <v>3463</v>
      </c>
      <c r="W37" s="3164">
        <f t="shared" si="12"/>
        <v>100</v>
      </c>
      <c r="X37" s="3165"/>
      <c r="Y37" s="3709"/>
      <c r="Z37" s="3166">
        <f t="shared" si="13"/>
        <v>111</v>
      </c>
      <c r="AA37" s="3124">
        <f t="shared" si="3"/>
        <v>1</v>
      </c>
      <c r="AB37" s="3124">
        <f t="shared" si="4"/>
        <v>1</v>
      </c>
      <c r="AC37" s="3124">
        <f t="shared" si="5"/>
        <v>1</v>
      </c>
    </row>
    <row r="38" spans="1:29" ht="15.6">
      <c r="A38" s="3168" t="s">
        <v>3493</v>
      </c>
      <c r="B38" s="3135" t="s">
        <v>3494</v>
      </c>
      <c r="C38" s="3169">
        <f>'数据-基础表'!A3</f>
        <v>20660.93</v>
      </c>
      <c r="D38" s="3170">
        <v>100</v>
      </c>
      <c r="E38" s="3169">
        <v>39744.120000000003</v>
      </c>
      <c r="F38" s="3170">
        <f>LOOKUP(E38,117:117,118:118)-LOOKUP(C38,117:117,118:118)+100</f>
        <v>100</v>
      </c>
      <c r="G38" s="3169">
        <v>46165.91</v>
      </c>
      <c r="H38" s="3170">
        <f>LOOKUP(G38,117:117,118:118)-LOOKUP(C38,117:117,118:118)+100</f>
        <v>100.5</v>
      </c>
      <c r="I38" s="3169">
        <v>38100</v>
      </c>
      <c r="J38" s="3170">
        <f>LOOKUP(I38,117:117,118:118)-LOOKUP(C38,117:117,118:118)+100</f>
        <v>100</v>
      </c>
      <c r="K38" s="3150"/>
      <c r="L38" s="3110"/>
      <c r="M38" s="3054"/>
      <c r="N38" s="3054"/>
      <c r="O38" s="3099"/>
      <c r="P38" s="3709"/>
      <c r="Q38" s="3120" t="str">
        <f>B38</f>
        <v>宗地面积</v>
      </c>
      <c r="R38" s="3121" t="s">
        <v>3463</v>
      </c>
      <c r="S38" s="3122">
        <f t="shared" si="10"/>
        <v>100</v>
      </c>
      <c r="T38" s="3121" t="s">
        <v>3463</v>
      </c>
      <c r="U38" s="3122">
        <f t="shared" si="11"/>
        <v>100.5</v>
      </c>
      <c r="V38" s="3121" t="s">
        <v>3463</v>
      </c>
      <c r="W38" s="3122">
        <f t="shared" si="12"/>
        <v>100</v>
      </c>
      <c r="X38" s="3055"/>
      <c r="Y38" s="3709"/>
      <c r="Z38" s="3123" t="str">
        <f t="shared" si="13"/>
        <v>宗地面积</v>
      </c>
      <c r="AA38" s="3124">
        <f t="shared" si="3"/>
        <v>1</v>
      </c>
      <c r="AB38" s="3124">
        <f t="shared" si="4"/>
        <v>0.99502487562189057</v>
      </c>
      <c r="AC38" s="3124">
        <f t="shared" si="5"/>
        <v>1</v>
      </c>
    </row>
    <row r="39" spans="1:29" ht="15">
      <c r="A39" s="3168"/>
      <c r="B39" s="3084" t="s">
        <v>3495</v>
      </c>
      <c r="C39" s="3376" t="s">
        <v>3496</v>
      </c>
      <c r="D39" s="3107">
        <v>100</v>
      </c>
      <c r="E39" s="3171" t="s">
        <v>3496</v>
      </c>
      <c r="F39" s="3107">
        <f>SUMIF(119:119,E39,120:120)-SUMIF(119:119,C39,120:120)+100</f>
        <v>100</v>
      </c>
      <c r="G39" s="3171" t="s">
        <v>3496</v>
      </c>
      <c r="H39" s="3107">
        <f>SUMIF(119:119,G39,120:120)-SUMIF(119:119,C39,120:120)+100</f>
        <v>100</v>
      </c>
      <c r="I39" s="3171" t="s">
        <v>3496</v>
      </c>
      <c r="J39" s="3107">
        <f>SUMIF(119:119,I39,120:120)-SUMIF(119:119,C39,120:120)+100</f>
        <v>100</v>
      </c>
      <c r="K39" s="3151">
        <v>2</v>
      </c>
      <c r="L39" s="3110"/>
      <c r="M39" s="3054"/>
      <c r="N39" s="3054"/>
      <c r="O39" s="3099"/>
      <c r="P39" s="3709"/>
      <c r="Q39" s="3120" t="str">
        <f t="shared" ref="Q39:Q45" si="14">B39</f>
        <v>宗地形状</v>
      </c>
      <c r="R39" s="3121" t="s">
        <v>3463</v>
      </c>
      <c r="S39" s="3122">
        <f t="shared" si="10"/>
        <v>100</v>
      </c>
      <c r="T39" s="3121" t="s">
        <v>3463</v>
      </c>
      <c r="U39" s="3122">
        <f t="shared" si="11"/>
        <v>100</v>
      </c>
      <c r="V39" s="3121" t="s">
        <v>3463</v>
      </c>
      <c r="W39" s="3122">
        <f t="shared" si="12"/>
        <v>100</v>
      </c>
      <c r="X39" s="3055"/>
      <c r="Y39" s="3709"/>
      <c r="Z39" s="3123" t="str">
        <f t="shared" si="13"/>
        <v>宗地形状</v>
      </c>
      <c r="AA39" s="3124">
        <f t="shared" si="3"/>
        <v>1</v>
      </c>
      <c r="AB39" s="3124">
        <f t="shared" si="4"/>
        <v>1</v>
      </c>
      <c r="AC39" s="3124">
        <f t="shared" si="5"/>
        <v>1</v>
      </c>
    </row>
    <row r="40" spans="1:29" ht="15">
      <c r="A40" s="3168"/>
      <c r="B40" s="3084" t="s">
        <v>3497</v>
      </c>
      <c r="C40" s="3376" t="s">
        <v>3498</v>
      </c>
      <c r="D40" s="3107">
        <v>100</v>
      </c>
      <c r="E40" s="3171" t="s">
        <v>3498</v>
      </c>
      <c r="F40" s="3107">
        <f>SUMIF(121:121,E40,122:122)-SUMIF(121:121,C40,122:122)+100</f>
        <v>100</v>
      </c>
      <c r="G40" s="3171" t="s">
        <v>3498</v>
      </c>
      <c r="H40" s="3107">
        <f>SUMIF(121:121,G40,122:122)-SUMIF(121:121,C40,122:122)+100</f>
        <v>100</v>
      </c>
      <c r="I40" s="3171" t="s">
        <v>3498</v>
      </c>
      <c r="J40" s="3107">
        <f>SUMIF(121:121,I40,122:122)-SUMIF(121:121,C40,122:122)+100</f>
        <v>100</v>
      </c>
      <c r="K40" s="3151">
        <v>1</v>
      </c>
      <c r="L40" s="3110"/>
      <c r="M40" s="3054"/>
      <c r="N40" s="3054"/>
      <c r="O40" s="3099"/>
      <c r="P40" s="3709"/>
      <c r="Q40" s="3120" t="str">
        <f t="shared" si="14"/>
        <v>临街宽度及深度</v>
      </c>
      <c r="R40" s="3121" t="s">
        <v>3463</v>
      </c>
      <c r="S40" s="3122">
        <f t="shared" si="10"/>
        <v>100</v>
      </c>
      <c r="T40" s="3121" t="s">
        <v>3463</v>
      </c>
      <c r="U40" s="3122">
        <f t="shared" si="11"/>
        <v>100</v>
      </c>
      <c r="V40" s="3121" t="s">
        <v>3463</v>
      </c>
      <c r="W40" s="3122">
        <f t="shared" si="12"/>
        <v>100</v>
      </c>
      <c r="X40" s="3055"/>
      <c r="Y40" s="3709"/>
      <c r="Z40" s="3123" t="str">
        <f t="shared" si="13"/>
        <v>临街宽度及深度</v>
      </c>
      <c r="AA40" s="3124">
        <f t="shared" si="3"/>
        <v>1</v>
      </c>
      <c r="AB40" s="3124">
        <f t="shared" si="4"/>
        <v>1</v>
      </c>
      <c r="AC40" s="3124">
        <f t="shared" si="5"/>
        <v>1</v>
      </c>
    </row>
    <row r="41" spans="1:29" s="3074" customFormat="1" ht="15">
      <c r="A41" s="3172"/>
      <c r="B41" s="3084" t="s">
        <v>3499</v>
      </c>
      <c r="C41" s="3377" t="s">
        <v>3444</v>
      </c>
      <c r="D41" s="3086">
        <v>100</v>
      </c>
      <c r="E41" s="3173" t="s">
        <v>3444</v>
      </c>
      <c r="F41" s="3107">
        <f>SUMIF(123:123,E41,124:124)-SUMIF(123:123,C41,124:124)+100</f>
        <v>100</v>
      </c>
      <c r="G41" s="3173" t="s">
        <v>3444</v>
      </c>
      <c r="H41" s="3107">
        <f>SUMIF(123:123,G41,124:124)-SUMIF(123:123,C41,124:124)+100</f>
        <v>100</v>
      </c>
      <c r="I41" s="3173" t="s">
        <v>3097</v>
      </c>
      <c r="J41" s="3107">
        <f>SUMIF(123:123,I41,124:124)-SUMIF(123:123,C41,124:124)+100</f>
        <v>102</v>
      </c>
      <c r="K41" s="3151">
        <v>2</v>
      </c>
      <c r="L41" s="3068"/>
      <c r="M41" s="3069"/>
      <c r="N41" s="3069"/>
      <c r="O41" s="3080"/>
      <c r="P41" s="3709"/>
      <c r="Q41" s="3120" t="str">
        <f t="shared" si="14"/>
        <v>宗地开发程度</v>
      </c>
      <c r="R41" s="3070" t="s">
        <v>3463</v>
      </c>
      <c r="S41" s="3071">
        <f t="shared" si="10"/>
        <v>100</v>
      </c>
      <c r="T41" s="3070" t="s">
        <v>3463</v>
      </c>
      <c r="U41" s="3071">
        <f t="shared" si="11"/>
        <v>100</v>
      </c>
      <c r="V41" s="3070" t="s">
        <v>3463</v>
      </c>
      <c r="W41" s="3071">
        <f t="shared" si="12"/>
        <v>102</v>
      </c>
      <c r="X41" s="3072"/>
      <c r="Y41" s="3709"/>
      <c r="Z41" s="3082" t="str">
        <f t="shared" si="13"/>
        <v>宗地开发程度</v>
      </c>
      <c r="AA41" s="3073">
        <f t="shared" si="3"/>
        <v>1</v>
      </c>
      <c r="AB41" s="3073">
        <f t="shared" si="4"/>
        <v>1</v>
      </c>
      <c r="AC41" s="3073">
        <f t="shared" si="5"/>
        <v>0.98039215686274506</v>
      </c>
    </row>
    <row r="42" spans="1:29" ht="15">
      <c r="A42" s="3168"/>
      <c r="B42" s="3084" t="s">
        <v>3500</v>
      </c>
      <c r="C42" s="3376" t="s">
        <v>3058</v>
      </c>
      <c r="D42" s="3107">
        <v>100</v>
      </c>
      <c r="E42" s="3171" t="s">
        <v>3058</v>
      </c>
      <c r="F42" s="3107">
        <f>SUMIF(125:125,E42,126:126)-SUMIF(125:125,C42,126:126)+100</f>
        <v>100</v>
      </c>
      <c r="G42" s="3171" t="s">
        <v>3058</v>
      </c>
      <c r="H42" s="3107">
        <f>SUMIF(125:125,G42,126:126)-SUMIF(125:125,C42,126:126)+100</f>
        <v>100</v>
      </c>
      <c r="I42" s="3171" t="s">
        <v>3058</v>
      </c>
      <c r="J42" s="3107">
        <f>SUMIF(125:125,I42,126:126)-SUMIF(125:125,C42,126:126)+100</f>
        <v>100</v>
      </c>
      <c r="K42" s="3151">
        <v>2</v>
      </c>
      <c r="L42" s="3110"/>
      <c r="M42" s="3054"/>
      <c r="N42" s="3054"/>
      <c r="O42" s="3099"/>
      <c r="P42" s="3709" t="s">
        <v>3492</v>
      </c>
      <c r="Q42" s="3120" t="str">
        <f t="shared" si="14"/>
        <v>工程地质条件</v>
      </c>
      <c r="R42" s="3121" t="s">
        <v>3463</v>
      </c>
      <c r="S42" s="3122">
        <f t="shared" si="10"/>
        <v>100</v>
      </c>
      <c r="T42" s="3121" t="s">
        <v>3463</v>
      </c>
      <c r="U42" s="3122">
        <f t="shared" si="11"/>
        <v>100</v>
      </c>
      <c r="V42" s="3121" t="s">
        <v>3463</v>
      </c>
      <c r="W42" s="3122">
        <f t="shared" si="12"/>
        <v>100</v>
      </c>
      <c r="X42" s="3055"/>
      <c r="Y42" s="3709" t="s">
        <v>3492</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709"/>
      <c r="Q43" s="3120">
        <f t="shared" si="14"/>
        <v>111</v>
      </c>
      <c r="R43" s="3121" t="s">
        <v>3463</v>
      </c>
      <c r="S43" s="3122">
        <f t="shared" si="10"/>
        <v>100</v>
      </c>
      <c r="T43" s="3121" t="s">
        <v>3463</v>
      </c>
      <c r="U43" s="3122">
        <f t="shared" si="11"/>
        <v>100</v>
      </c>
      <c r="V43" s="3121" t="s">
        <v>3463</v>
      </c>
      <c r="W43" s="3122">
        <f t="shared" si="12"/>
        <v>100</v>
      </c>
      <c r="X43" s="3055"/>
      <c r="Y43" s="3709"/>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709"/>
      <c r="Q44" s="3120">
        <f t="shared" si="14"/>
        <v>111</v>
      </c>
      <c r="R44" s="3121" t="s">
        <v>3463</v>
      </c>
      <c r="S44" s="3122">
        <f t="shared" si="10"/>
        <v>100</v>
      </c>
      <c r="T44" s="3121" t="s">
        <v>3463</v>
      </c>
      <c r="U44" s="3122">
        <f t="shared" si="11"/>
        <v>100</v>
      </c>
      <c r="V44" s="3121" t="s">
        <v>3463</v>
      </c>
      <c r="W44" s="3122">
        <f t="shared" si="12"/>
        <v>100</v>
      </c>
      <c r="X44" s="3055"/>
      <c r="Y44" s="3709"/>
      <c r="Z44" s="3123">
        <f t="shared" si="13"/>
        <v>111</v>
      </c>
      <c r="AA44" s="3124">
        <f t="shared" si="3"/>
        <v>1</v>
      </c>
      <c r="AB44" s="3124">
        <f t="shared" si="4"/>
        <v>1</v>
      </c>
      <c r="AC44" s="3124">
        <f t="shared" si="5"/>
        <v>1</v>
      </c>
    </row>
    <row r="45" spans="1:29" s="3167" customFormat="1" ht="15.6"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709"/>
      <c r="Q45" s="3120">
        <f t="shared" si="14"/>
        <v>111</v>
      </c>
      <c r="R45" s="3163" t="s">
        <v>3463</v>
      </c>
      <c r="S45" s="3164">
        <f t="shared" si="10"/>
        <v>100</v>
      </c>
      <c r="T45" s="3163" t="s">
        <v>3463</v>
      </c>
      <c r="U45" s="3164">
        <f t="shared" si="11"/>
        <v>100</v>
      </c>
      <c r="V45" s="3163" t="s">
        <v>3463</v>
      </c>
      <c r="W45" s="3164">
        <f t="shared" si="12"/>
        <v>100</v>
      </c>
      <c r="X45" s="3165"/>
      <c r="Y45" s="3709"/>
      <c r="Z45" s="3166">
        <f t="shared" si="13"/>
        <v>111</v>
      </c>
      <c r="AA45" s="3124">
        <f t="shared" si="3"/>
        <v>1</v>
      </c>
      <c r="AB45" s="3124">
        <f t="shared" si="4"/>
        <v>1</v>
      </c>
      <c r="AC45" s="3124">
        <f t="shared" si="5"/>
        <v>1</v>
      </c>
    </row>
    <row r="46" spans="1:29" ht="14.4">
      <c r="A46" s="3178" t="s">
        <v>3501</v>
      </c>
      <c r="B46" s="3179" t="s">
        <v>2739</v>
      </c>
      <c r="C46" s="3378" t="s">
        <v>3502</v>
      </c>
      <c r="D46" s="3180"/>
      <c r="E46" s="3181">
        <v>24490</v>
      </c>
      <c r="F46" s="3182"/>
      <c r="G46" s="3183">
        <v>24368</v>
      </c>
      <c r="H46" s="3184"/>
      <c r="I46" s="3181">
        <v>26771</v>
      </c>
      <c r="J46" s="3184"/>
      <c r="K46" s="3185"/>
      <c r="L46" s="3186"/>
      <c r="M46" s="3187"/>
      <c r="N46" s="3054"/>
      <c r="O46" s="3187"/>
      <c r="P46" s="3700" t="str">
        <f>A46</f>
        <v>成交单价</v>
      </c>
      <c r="Q46" s="3700"/>
      <c r="R46" s="3696">
        <f>E46</f>
        <v>24490</v>
      </c>
      <c r="S46" s="3696"/>
      <c r="T46" s="3696">
        <f>G46</f>
        <v>24368</v>
      </c>
      <c r="U46" s="3696"/>
      <c r="V46" s="3696">
        <f>I46</f>
        <v>26771</v>
      </c>
      <c r="W46" s="3696"/>
      <c r="X46" s="3188"/>
      <c r="Y46" s="3189"/>
      <c r="Z46" s="3188"/>
      <c r="AA46" s="3188"/>
      <c r="AB46" s="3188"/>
      <c r="AC46" s="3188"/>
    </row>
    <row r="47" spans="1:29" ht="15" thickBot="1">
      <c r="A47" s="3190" t="s">
        <v>3503</v>
      </c>
      <c r="B47" s="3191"/>
      <c r="C47" s="3379">
        <f>R48</f>
        <v>29721</v>
      </c>
      <c r="D47" s="3193"/>
      <c r="E47" s="3192">
        <f>R47</f>
        <v>28733</v>
      </c>
      <c r="F47" s="3194"/>
      <c r="G47" s="3195">
        <f>T47</f>
        <v>29648</v>
      </c>
      <c r="H47" s="3193"/>
      <c r="I47" s="3192">
        <f>V47</f>
        <v>30783</v>
      </c>
      <c r="J47" s="3193"/>
      <c r="K47" s="3196"/>
      <c r="L47" s="3186"/>
      <c r="M47" s="3187"/>
      <c r="N47" s="3187"/>
      <c r="O47" s="3187"/>
      <c r="P47" s="3700" t="str">
        <f>A47</f>
        <v>比较价值（元/平方米）</v>
      </c>
      <c r="Q47" s="3700"/>
      <c r="R47" s="3704">
        <f>ROUND(PRODUCT(R46,AA7:AA45),0)</f>
        <v>28733</v>
      </c>
      <c r="S47" s="3704"/>
      <c r="T47" s="3704">
        <f>ROUND(PRODUCT(T46,AB7:AB45),0)</f>
        <v>29648</v>
      </c>
      <c r="U47" s="3704"/>
      <c r="V47" s="3704">
        <f>ROUND(PRODUCT(V46,AC7:AC45),0)</f>
        <v>30783</v>
      </c>
      <c r="W47" s="3704"/>
      <c r="X47" s="3188"/>
      <c r="Y47" s="3188"/>
      <c r="Z47" s="3188"/>
      <c r="AA47" s="3188"/>
      <c r="AB47" s="3188"/>
      <c r="AC47" s="3188"/>
    </row>
    <row r="48" spans="1:29" ht="15" thickBot="1">
      <c r="A48" s="3197" t="s">
        <v>3504</v>
      </c>
      <c r="B48" s="3198"/>
      <c r="C48" s="3380">
        <f>R48</f>
        <v>29721</v>
      </c>
      <c r="D48" s="3199"/>
      <c r="E48" s="3199"/>
      <c r="F48" s="3199"/>
      <c r="G48" s="3199"/>
      <c r="H48" s="3199"/>
      <c r="I48" s="3199"/>
      <c r="J48" s="3199"/>
      <c r="K48" s="3200"/>
      <c r="L48" s="3186"/>
      <c r="M48" s="3187"/>
      <c r="N48" s="3187"/>
      <c r="O48" s="3187"/>
      <c r="P48" s="3705" t="str">
        <f>A48</f>
        <v>估价对象XX用房的比较价值（楼面单价，元/平方米）</v>
      </c>
      <c r="Q48" s="3706"/>
      <c r="R48" s="3707">
        <f>ROUND(AVERAGE(R47:V47),0)</f>
        <v>29721</v>
      </c>
      <c r="S48" s="3707"/>
      <c r="T48" s="3707"/>
      <c r="U48" s="3707"/>
      <c r="V48" s="3707"/>
      <c r="W48" s="3707"/>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3505</v>
      </c>
      <c r="D51" s="3204"/>
      <c r="E51" s="3205">
        <f>IF(E46&lt;E47,E47/E46-1,E46/E47-1)</f>
        <v>0.17325438954675376</v>
      </c>
      <c r="F51" s="3206" t="str">
        <f>IF(OR(E51&gt;=0.3,E51&lt;=-0.3),"超过30%","")</f>
        <v/>
      </c>
      <c r="G51" s="3205">
        <f>IF(G46&lt;G47,G47/G46-1,G46/G47-1)</f>
        <v>0.21667760998030205</v>
      </c>
      <c r="H51" s="3206" t="str">
        <f>IF(OR(G51&gt;=0.3,G51&lt;=-0.3),"超过30%","")</f>
        <v/>
      </c>
      <c r="I51" s="3205">
        <f>IF(I46&lt;I47,I47/I46-1,I46/I47-1)</f>
        <v>0.14986365843636773</v>
      </c>
      <c r="J51" s="3206" t="str">
        <f>IF(OR(I51&gt;=0.3,I51&lt;=-0.3),"超过30%","")</f>
        <v/>
      </c>
      <c r="K51" s="3202"/>
      <c r="L51" s="3203"/>
      <c r="M51" s="3187"/>
      <c r="N51" s="3187"/>
      <c r="O51" s="3187"/>
    </row>
    <row r="52" spans="1:15" ht="13.5" customHeight="1">
      <c r="A52" s="3187"/>
      <c r="B52" s="3187"/>
      <c r="C52" s="3382" t="s">
        <v>3506</v>
      </c>
      <c r="D52" s="3207"/>
      <c r="E52" s="3205">
        <f>IF(E47&lt;G47,G47/E47-1,E47/G47-1)</f>
        <v>3.1844916994396621E-2</v>
      </c>
      <c r="F52" s="3206" t="str">
        <f>IF(OR(E52&gt;=0.2,E52&lt;=-0.2),"超过20%","")</f>
        <v/>
      </c>
      <c r="G52" s="3205">
        <f>IF(G47&lt;I47,I47/G47-1,G47/I47-1)</f>
        <v>3.8282514840798809E-2</v>
      </c>
      <c r="H52" s="3206" t="str">
        <f>IF(OR(G52&gt;=0.2,G52&lt;=-0.2),"超过20%","")</f>
        <v/>
      </c>
      <c r="I52" s="3205">
        <f>IF(I47&lt;E47,E47/I47-1,I47/E47-1)</f>
        <v>7.1346535342637463E-2</v>
      </c>
      <c r="J52" s="3206" t="str">
        <f>IF(OR(I52&gt;=0.2,I52&lt;=-0.2),"超过20%","")</f>
        <v/>
      </c>
      <c r="K52" s="3202"/>
      <c r="L52" s="3203"/>
      <c r="M52" s="3187"/>
      <c r="N52" s="3187"/>
      <c r="O52" s="3187"/>
    </row>
    <row r="53" spans="1:15" s="3211" customFormat="1" ht="13.5" customHeight="1">
      <c r="A53" s="3208"/>
      <c r="B53" s="3208"/>
      <c r="C53" s="3382" t="s">
        <v>3507</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4.4" thickBot="1">
      <c r="A54" s="3208"/>
      <c r="B54" s="3212"/>
      <c r="C54" s="3383"/>
      <c r="D54" s="3213"/>
      <c r="E54" s="3213"/>
      <c r="F54" s="3213"/>
      <c r="G54" s="3213"/>
      <c r="H54" s="3213"/>
      <c r="I54" s="3213"/>
      <c r="J54" s="3213"/>
      <c r="K54" s="3209"/>
      <c r="L54" s="3210"/>
      <c r="M54" s="3208"/>
      <c r="N54" s="3208"/>
      <c r="O54" s="3208"/>
    </row>
    <row r="55" spans="1:15" ht="27" customHeight="1">
      <c r="A55" s="3214" t="s">
        <v>3508</v>
      </c>
      <c r="B55" s="3215" t="s">
        <v>3509</v>
      </c>
      <c r="C55" s="3384" t="s">
        <v>2742</v>
      </c>
      <c r="D55" s="3216" t="s">
        <v>3510</v>
      </c>
      <c r="E55" s="3217" t="s">
        <v>3511</v>
      </c>
      <c r="F55" s="3218" t="s">
        <v>3512</v>
      </c>
      <c r="G55" s="3672" t="s">
        <v>3513</v>
      </c>
      <c r="H55" s="3710"/>
      <c r="I55" s="3219" t="s">
        <v>3514</v>
      </c>
      <c r="J55" s="3220">
        <f>[1]项目基本情况!F35</f>
        <v>0</v>
      </c>
      <c r="K55" s="3221" t="s">
        <v>3515</v>
      </c>
      <c r="L55" s="3203"/>
      <c r="M55" s="3187"/>
      <c r="N55" s="3187"/>
      <c r="O55" s="3187"/>
    </row>
    <row r="56" spans="1:15" s="3228" customFormat="1">
      <c r="A56" s="3222" t="s">
        <v>3516</v>
      </c>
      <c r="B56" s="687">
        <f>C48</f>
        <v>29721</v>
      </c>
      <c r="C56" s="3385">
        <v>1</v>
      </c>
      <c r="D56" s="3224">
        <v>1</v>
      </c>
      <c r="E56" s="3223">
        <f>'[1]数据-汇总表'!E8+'[1]数据-汇总表'!E9</f>
        <v>25780.95</v>
      </c>
      <c r="F56" s="1093">
        <f t="shared" ref="F56:F65" si="15">ROUND(B56*E56/10000,0)</f>
        <v>76624</v>
      </c>
      <c r="G56" s="3711"/>
      <c r="H56" s="3700"/>
      <c r="I56" s="3225">
        <v>1</v>
      </c>
      <c r="J56" s="3226">
        <v>1</v>
      </c>
      <c r="K56" s="3208"/>
      <c r="L56" s="3227"/>
      <c r="M56" s="3227"/>
      <c r="N56" s="3227"/>
      <c r="O56" s="3227"/>
    </row>
    <row r="57" spans="1:15" s="3228" customFormat="1">
      <c r="A57" s="691" t="s">
        <v>3517</v>
      </c>
      <c r="B57" s="262" t="e">
        <f>ROUND($C$48*C57*D57,0)</f>
        <v>#VALUE!</v>
      </c>
      <c r="C57" s="3386" t="e">
        <f t="shared" ref="C57:C65" si="16">IF($C$55="北京市系数",I57,J57)</f>
        <v>#VALUE!</v>
      </c>
      <c r="D57" s="3229">
        <v>0.25</v>
      </c>
      <c r="E57" s="692"/>
      <c r="F57" s="1093" t="e">
        <f t="shared" si="15"/>
        <v>#VALUE!</v>
      </c>
      <c r="G57" s="3712" t="s">
        <v>3518</v>
      </c>
      <c r="H57" s="3230" t="str">
        <f>[1]项目基本情况!B37</f>
        <v>六级</v>
      </c>
      <c r="I57" s="3225" t="e">
        <f>SUMIF([1]修正!A45:A56,H57,[1]修正!B45:B56)</f>
        <v>#VALUE!</v>
      </c>
      <c r="J57" s="3231"/>
      <c r="K57" s="3187"/>
      <c r="L57" s="3227"/>
      <c r="M57" s="3227"/>
      <c r="N57" s="3227"/>
      <c r="O57" s="3227"/>
    </row>
    <row r="58" spans="1:15" s="3228" customFormat="1">
      <c r="A58" s="691" t="s">
        <v>3519</v>
      </c>
      <c r="B58" s="262" t="e">
        <f t="shared" ref="B58:B65" si="17">ROUND($C$48*C58*D58,0)</f>
        <v>#VALUE!</v>
      </c>
      <c r="C58" s="3386" t="e">
        <f t="shared" si="16"/>
        <v>#VALUE!</v>
      </c>
      <c r="D58" s="3229">
        <v>0.25</v>
      </c>
      <c r="E58" s="692"/>
      <c r="F58" s="1093" t="e">
        <f t="shared" si="15"/>
        <v>#VALUE!</v>
      </c>
      <c r="G58" s="3712"/>
      <c r="H58" s="3230" t="str">
        <f>[1]项目基本情况!B37</f>
        <v>六级</v>
      </c>
      <c r="I58" s="3225" t="e">
        <f>SUMIF([1]修正!A45:A56,H58,[1]修正!C45:C56)</f>
        <v>#VALUE!</v>
      </c>
      <c r="J58" s="3231"/>
      <c r="K58" s="3208"/>
      <c r="L58" s="3227"/>
      <c r="M58" s="3227"/>
      <c r="N58" s="3227"/>
      <c r="O58" s="3227"/>
    </row>
    <row r="59" spans="1:15" s="3228" customFormat="1">
      <c r="A59" s="691" t="s">
        <v>3520</v>
      </c>
      <c r="B59" s="262" t="e">
        <f t="shared" si="17"/>
        <v>#VALUE!</v>
      </c>
      <c r="C59" s="3386" t="e">
        <f t="shared" si="16"/>
        <v>#VALUE!</v>
      </c>
      <c r="D59" s="3229">
        <v>0.25</v>
      </c>
      <c r="E59" s="692"/>
      <c r="F59" s="1093" t="e">
        <f t="shared" si="15"/>
        <v>#VALUE!</v>
      </c>
      <c r="G59" s="3712"/>
      <c r="H59" s="3230" t="str">
        <f>[1]项目基本情况!B37</f>
        <v>六级</v>
      </c>
      <c r="I59" s="3225" t="e">
        <f>SUMIF([1]修正!A45:A56,H59,[1]修正!D45:D56)</f>
        <v>#VALUE!</v>
      </c>
      <c r="J59" s="3231"/>
      <c r="K59" s="3187"/>
      <c r="L59" s="3227"/>
      <c r="M59" s="3227"/>
      <c r="N59" s="3227"/>
      <c r="O59" s="3227"/>
    </row>
    <row r="60" spans="1:15" s="3228" customFormat="1">
      <c r="A60" s="691" t="s">
        <v>3521</v>
      </c>
      <c r="B60" s="262" t="e">
        <f t="shared" si="17"/>
        <v>#VALUE!</v>
      </c>
      <c r="C60" s="3386" t="e">
        <f t="shared" si="16"/>
        <v>#VALUE!</v>
      </c>
      <c r="D60" s="3229">
        <v>0.25</v>
      </c>
      <c r="E60" s="692"/>
      <c r="F60" s="1093" t="e">
        <f t="shared" si="15"/>
        <v>#VALUE!</v>
      </c>
      <c r="G60" s="3712"/>
      <c r="H60" s="3230" t="str">
        <f>[1]项目基本情况!B37</f>
        <v>六级</v>
      </c>
      <c r="I60" s="3225" t="e">
        <f>SUMIF([1]修正!A45:A56,H60,[1]修正!E45:E56)</f>
        <v>#VALUE!</v>
      </c>
      <c r="J60" s="3231"/>
      <c r="K60" s="3208"/>
      <c r="L60" s="3227"/>
      <c r="M60" s="3227"/>
      <c r="N60" s="3227"/>
      <c r="O60" s="3227"/>
    </row>
    <row r="61" spans="1:15" s="3228" customFormat="1">
      <c r="A61" s="691" t="s">
        <v>3522</v>
      </c>
      <c r="B61" s="262" t="e">
        <f t="shared" si="17"/>
        <v>#VALUE!</v>
      </c>
      <c r="C61" s="3386" t="e">
        <f t="shared" si="16"/>
        <v>#VALUE!</v>
      </c>
      <c r="D61" s="3229">
        <v>0.25</v>
      </c>
      <c r="E61" s="261">
        <f>'[1]数据-汇总表'!E11</f>
        <v>0</v>
      </c>
      <c r="F61" s="1093" t="e">
        <f t="shared" si="15"/>
        <v>#VALUE!</v>
      </c>
      <c r="G61" s="3232" t="s">
        <v>3523</v>
      </c>
      <c r="H61" s="3230" t="str">
        <f>[1]项目基本情况!C37</f>
        <v>六级</v>
      </c>
      <c r="I61" s="3225" t="e">
        <f>SUMIF([1]修正!A45:A56,H61,[1]修正!F45:F56)</f>
        <v>#VALUE!</v>
      </c>
      <c r="J61" s="3231"/>
      <c r="K61" s="3187"/>
      <c r="L61" s="3227"/>
      <c r="M61" s="3227"/>
      <c r="N61" s="3227"/>
      <c r="O61" s="3227"/>
    </row>
    <row r="62" spans="1:15" s="3228" customFormat="1">
      <c r="A62" s="691" t="s">
        <v>3524</v>
      </c>
      <c r="B62" s="262" t="e">
        <f t="shared" si="17"/>
        <v>#VALUE!</v>
      </c>
      <c r="C62" s="3386" t="e">
        <f t="shared" si="16"/>
        <v>#VALUE!</v>
      </c>
      <c r="D62" s="3229">
        <v>0.25</v>
      </c>
      <c r="E62" s="261">
        <f>'[1]数据-汇总表'!E12</f>
        <v>0</v>
      </c>
      <c r="F62" s="1093" t="e">
        <f t="shared" si="15"/>
        <v>#VALUE!</v>
      </c>
      <c r="G62" s="3233" t="s">
        <v>2757</v>
      </c>
      <c r="H62" s="3230" t="str">
        <f>IF(G62="商业",[1]项目基本情况!B37,IF(G62="办公",[1]项目基本情况!C37,IF(G62="住宅",[1]项目基本情况!D37,[1]项目基本情况!E37)))</f>
        <v>六级</v>
      </c>
      <c r="I62" s="3225" t="e">
        <f>SUMIF([1]修正!A45:A56,H62,[1]修正!G45:G56)</f>
        <v>#VALUE!</v>
      </c>
      <c r="J62" s="3231"/>
      <c r="K62" s="3208"/>
      <c r="L62" s="3227"/>
      <c r="M62" s="3227"/>
      <c r="N62" s="3227"/>
      <c r="O62" s="3227"/>
    </row>
    <row r="63" spans="1:15" s="3228" customFormat="1">
      <c r="A63" s="691" t="s">
        <v>3525</v>
      </c>
      <c r="B63" s="262" t="e">
        <f t="shared" si="17"/>
        <v>#VALUE!</v>
      </c>
      <c r="C63" s="3386" t="e">
        <f t="shared" si="16"/>
        <v>#VALUE!</v>
      </c>
      <c r="D63" s="3229">
        <v>0.25</v>
      </c>
      <c r="E63" s="261">
        <f>'[1]数据-汇总表'!E13</f>
        <v>3485.53</v>
      </c>
      <c r="F63" s="1093" t="e">
        <f t="shared" si="15"/>
        <v>#VALUE!</v>
      </c>
      <c r="G63" s="3233" t="s">
        <v>2759</v>
      </c>
      <c r="H63" s="3230" t="str">
        <f>IF(G63="商业",[1]项目基本情况!B37,IF(G63="办公",[1]项目基本情况!C37,IF(G63="住宅",[1]项目基本情况!D37,[1]项目基本情况!E37)))</f>
        <v>六级</v>
      </c>
      <c r="I63" s="3225" t="e">
        <f>SUMIF([1]修正!A45:A56,H63,[1]修正!H45:H56)</f>
        <v>#VALUE!</v>
      </c>
      <c r="J63" s="3231"/>
      <c r="K63" s="3187"/>
      <c r="L63" s="3227"/>
      <c r="M63" s="3227"/>
      <c r="N63" s="3227"/>
      <c r="O63" s="3227"/>
    </row>
    <row r="64" spans="1:15" s="3228" customFormat="1">
      <c r="A64" s="691" t="s">
        <v>3526</v>
      </c>
      <c r="B64" s="262" t="e">
        <f t="shared" si="17"/>
        <v>#VALUE!</v>
      </c>
      <c r="C64" s="3386" t="e">
        <f t="shared" si="16"/>
        <v>#VALUE!</v>
      </c>
      <c r="D64" s="3229">
        <v>0.25</v>
      </c>
      <c r="E64" s="261">
        <f>'[1]数据-汇总表'!E14</f>
        <v>0</v>
      </c>
      <c r="F64" s="1093" t="e">
        <f t="shared" si="15"/>
        <v>#VALUE!</v>
      </c>
      <c r="G64" s="3232" t="s">
        <v>3527</v>
      </c>
      <c r="H64" s="3230" t="str">
        <f>[1]项目基本情况!B37</f>
        <v>六级</v>
      </c>
      <c r="I64" s="3225" t="e">
        <f>SUMIF([1]修正!A45:A56,H64,[1]修正!H45:H56)</f>
        <v>#VALUE!</v>
      </c>
      <c r="J64" s="3231"/>
      <c r="K64" s="3208"/>
      <c r="L64" s="3227"/>
      <c r="M64" s="3227"/>
      <c r="N64" s="3227"/>
      <c r="O64" s="3227"/>
    </row>
    <row r="65" spans="1:17" s="3228" customFormat="1" ht="14.4" thickBot="1">
      <c r="A65" s="691" t="s">
        <v>3528</v>
      </c>
      <c r="B65" s="262" t="e">
        <f t="shared" si="17"/>
        <v>#VALUE!</v>
      </c>
      <c r="C65" s="3386" t="e">
        <f t="shared" si="16"/>
        <v>#VALUE!</v>
      </c>
      <c r="D65" s="3229">
        <v>0.25</v>
      </c>
      <c r="E65" s="261">
        <f>'[1]数据-汇总表'!E15</f>
        <v>0</v>
      </c>
      <c r="F65" s="1093" t="e">
        <f t="shared" si="15"/>
        <v>#VALUE!</v>
      </c>
      <c r="G65" s="3234" t="s">
        <v>3523</v>
      </c>
      <c r="H65" s="3235" t="str">
        <f>[1]项目基本情况!C37</f>
        <v>六级</v>
      </c>
      <c r="I65" s="3236" t="e">
        <f>SUMIF([1]修正!A45:A56,H65,[1]修正!H45:H56)</f>
        <v>#VALUE!</v>
      </c>
      <c r="J65" s="3237"/>
      <c r="K65" s="3187"/>
      <c r="L65" s="3227"/>
      <c r="M65" s="3227"/>
      <c r="N65" s="3227"/>
      <c r="O65" s="3227"/>
    </row>
    <row r="66" spans="1:17" s="3228" customFormat="1" thickBot="1">
      <c r="A66" s="693" t="s">
        <v>3529</v>
      </c>
      <c r="B66" s="3238" t="s">
        <v>3530</v>
      </c>
      <c r="C66" s="3387" t="s">
        <v>3530</v>
      </c>
      <c r="D66" s="3238" t="s">
        <v>3530</v>
      </c>
      <c r="E66" s="3238">
        <f>IF(B46="楼面地价",SUM(E56:E65),'[1]数据-汇总表'!D3)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2.2" thickBot="1">
      <c r="A69" s="3243" t="s">
        <v>3531</v>
      </c>
      <c r="B69" s="3188"/>
      <c r="C69" s="3388"/>
      <c r="D69" s="3244"/>
      <c r="E69" s="3244"/>
      <c r="F69" s="3245"/>
      <c r="G69" s="3245"/>
      <c r="H69" s="3244"/>
      <c r="I69" s="3244"/>
      <c r="J69" s="3246"/>
      <c r="K69" s="3247"/>
      <c r="L69" s="3248"/>
      <c r="M69" s="3246"/>
      <c r="N69" s="3246"/>
      <c r="O69" s="3246"/>
      <c r="P69" s="3249"/>
      <c r="Q69" s="3250"/>
    </row>
    <row r="70" spans="1:17" s="3255" customFormat="1" ht="14.4">
      <c r="A70" s="3251" t="s">
        <v>3532</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3468</v>
      </c>
      <c r="B71" s="3257" t="e">
        <f>"北京市平均增长率"&amp;TEXT(SUMIF([1]基准地价修正!N21:N25,A71,[1]基准地价修正!P21:P25),"0.00%")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 thickBot="1">
      <c r="A72" s="3260" t="s">
        <v>3533</v>
      </c>
      <c r="B72" s="3261"/>
      <c r="C72" s="3262"/>
      <c r="D72" s="3263"/>
      <c r="E72" s="3263"/>
      <c r="F72" s="3263"/>
      <c r="G72" s="3263"/>
      <c r="H72" s="3263"/>
      <c r="I72" s="3263"/>
      <c r="J72" s="3263"/>
      <c r="K72" s="3263"/>
      <c r="L72" s="3263"/>
      <c r="M72" s="3264"/>
      <c r="N72" s="3263"/>
      <c r="O72" s="3265"/>
      <c r="P72" s="3250"/>
      <c r="Q72" s="3250"/>
    </row>
    <row r="73" spans="1:17" s="3074" customFormat="1" ht="14.4">
      <c r="A73" s="3266" t="s">
        <v>3464</v>
      </c>
      <c r="B73" s="3267"/>
      <c r="C73" s="3268" t="s">
        <v>3534</v>
      </c>
      <c r="D73" s="3269"/>
      <c r="E73" s="3269"/>
      <c r="F73" s="3269"/>
      <c r="G73" s="3269"/>
      <c r="H73" s="3269"/>
      <c r="I73" s="3269"/>
      <c r="J73" s="3269"/>
      <c r="K73" s="3269"/>
      <c r="L73" s="3270"/>
      <c r="M73" s="3271"/>
      <c r="N73" s="3272"/>
      <c r="O73" s="3272"/>
      <c r="P73" s="3273"/>
      <c r="Q73" s="3250"/>
    </row>
    <row r="74" spans="1:17" s="3074" customFormat="1" ht="14.4" thickBot="1">
      <c r="A74" s="3266"/>
      <c r="B74" s="3267"/>
      <c r="C74" s="3274">
        <v>100</v>
      </c>
      <c r="D74" s="3275"/>
      <c r="E74" s="3275"/>
      <c r="F74" s="3275"/>
      <c r="G74" s="3275"/>
      <c r="H74" s="3275"/>
      <c r="I74" s="3275"/>
      <c r="J74" s="3275"/>
      <c r="K74" s="3275"/>
      <c r="L74" s="3275"/>
      <c r="M74" s="3276"/>
      <c r="N74" s="3272"/>
      <c r="O74" s="3272"/>
      <c r="P74" s="3250"/>
      <c r="Q74" s="3250"/>
    </row>
    <row r="75" spans="1:17" ht="14.4">
      <c r="A75" s="3277" t="s">
        <v>3535</v>
      </c>
      <c r="B75" s="3278" t="s">
        <v>3536</v>
      </c>
      <c r="C75" s="3279" t="s">
        <v>3537</v>
      </c>
      <c r="D75" s="3280"/>
      <c r="E75" s="3280"/>
      <c r="F75" s="3280"/>
      <c r="G75" s="3280"/>
      <c r="H75" s="3280"/>
      <c r="I75" s="3280"/>
      <c r="J75" s="3280"/>
      <c r="K75" s="3281"/>
      <c r="L75" s="3282"/>
      <c r="M75" s="3283"/>
      <c r="N75" s="3284"/>
      <c r="O75" s="3284"/>
      <c r="P75" s="3285"/>
      <c r="Q75" s="3250"/>
    </row>
    <row r="76" spans="1:17" ht="14.4" thickBot="1">
      <c r="A76" s="3286"/>
      <c r="B76" s="3287"/>
      <c r="C76" s="3288">
        <v>100</v>
      </c>
      <c r="D76" s="3288"/>
      <c r="E76" s="3288"/>
      <c r="F76" s="3288"/>
      <c r="G76" s="3288"/>
      <c r="H76" s="3288"/>
      <c r="I76" s="3288"/>
      <c r="J76" s="3288"/>
      <c r="K76" s="3288"/>
      <c r="L76" s="3288"/>
      <c r="M76" s="3289"/>
      <c r="N76" s="3290"/>
      <c r="O76" s="3290"/>
      <c r="P76" s="3285"/>
      <c r="Q76" s="3250"/>
    </row>
    <row r="77" spans="1:17" ht="29.4" thickTop="1">
      <c r="A77" s="3286"/>
      <c r="B77" s="3291" t="s">
        <v>2545</v>
      </c>
      <c r="C77" s="3292"/>
      <c r="D77" s="3292"/>
      <c r="E77" s="3292"/>
      <c r="F77" s="3292"/>
      <c r="G77" s="3292"/>
      <c r="H77" s="3292"/>
      <c r="I77" s="3292"/>
      <c r="J77" s="3292"/>
      <c r="K77" s="3293"/>
      <c r="L77" s="3294"/>
      <c r="M77" s="3295"/>
      <c r="N77" s="3284"/>
      <c r="O77" s="3284"/>
      <c r="P77" s="3285"/>
      <c r="Q77" s="3250"/>
    </row>
    <row r="78" spans="1:17" ht="14.4" thickBot="1">
      <c r="A78" s="3286"/>
      <c r="B78" s="3296"/>
      <c r="C78" s="3297"/>
      <c r="D78" s="3297"/>
      <c r="E78" s="3297"/>
      <c r="F78" s="3297"/>
      <c r="G78" s="3297"/>
      <c r="H78" s="3297"/>
      <c r="I78" s="3297"/>
      <c r="J78" s="3297"/>
      <c r="K78" s="3297"/>
      <c r="L78" s="3297"/>
      <c r="M78" s="3298"/>
      <c r="N78" s="3290"/>
      <c r="O78" s="3290"/>
      <c r="P78" s="3285"/>
      <c r="Q78" s="3250"/>
    </row>
    <row r="79" spans="1:17" ht="15" thickTop="1">
      <c r="A79" s="3286"/>
      <c r="B79" s="3299" t="s">
        <v>3473</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4.4"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 thickTop="1">
      <c r="A82" s="3305"/>
      <c r="B82" s="3291" t="str">
        <f>B12</f>
        <v>自持</v>
      </c>
      <c r="C82" s="3389" t="s">
        <v>3538</v>
      </c>
      <c r="D82" s="3306" t="s">
        <v>3475</v>
      </c>
      <c r="E82" s="3307"/>
      <c r="F82" s="3307"/>
      <c r="G82" s="3307"/>
      <c r="H82" s="3308"/>
      <c r="I82" s="3308"/>
      <c r="J82" s="3308"/>
      <c r="K82" s="3308"/>
      <c r="L82" s="3309"/>
      <c r="M82" s="3310"/>
      <c r="N82" s="3311"/>
      <c r="O82" s="3311"/>
      <c r="P82" s="3312"/>
      <c r="Q82" s="3313"/>
    </row>
    <row r="83" spans="1:17" s="3167" customFormat="1" ht="14.4"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4.4"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4.4" thickBot="1">
      <c r="A85" s="3305"/>
      <c r="B85" s="3296"/>
      <c r="C85" s="3314"/>
      <c r="D85" s="3314"/>
      <c r="E85" s="3314"/>
      <c r="F85" s="3314"/>
      <c r="G85" s="3314"/>
      <c r="H85" s="3317"/>
      <c r="I85" s="3317"/>
      <c r="J85" s="3317"/>
      <c r="K85" s="3317"/>
      <c r="L85" s="3317"/>
      <c r="M85" s="3318"/>
      <c r="N85" s="3311"/>
      <c r="O85" s="3311"/>
      <c r="P85" s="3312"/>
      <c r="Q85" s="3313"/>
    </row>
    <row r="86" spans="1:17" s="3167" customFormat="1" ht="14.4"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4.4" thickBot="1">
      <c r="A87" s="3323"/>
      <c r="B87" s="3324"/>
      <c r="C87" s="3325"/>
      <c r="D87" s="3325"/>
      <c r="E87" s="3325"/>
      <c r="F87" s="3325"/>
      <c r="G87" s="3325"/>
      <c r="H87" s="3326"/>
      <c r="I87" s="3326"/>
      <c r="J87" s="3326"/>
      <c r="K87" s="3326"/>
      <c r="L87" s="3326"/>
      <c r="M87" s="3327"/>
      <c r="N87" s="3311"/>
      <c r="O87" s="3311"/>
      <c r="P87" s="3312"/>
      <c r="Q87" s="3313"/>
    </row>
    <row r="88" spans="1:17" ht="14.4">
      <c r="A88" s="3277" t="s">
        <v>3477</v>
      </c>
      <c r="B88" s="3278" t="s">
        <v>3539</v>
      </c>
      <c r="C88" s="3328" t="s">
        <v>3540</v>
      </c>
      <c r="D88" s="3328" t="s">
        <v>3541</v>
      </c>
      <c r="E88" s="3328" t="s">
        <v>3542</v>
      </c>
      <c r="F88" s="3328" t="s">
        <v>3543</v>
      </c>
      <c r="G88" s="3328" t="s">
        <v>3544</v>
      </c>
      <c r="H88" s="3329"/>
      <c r="I88" s="3329"/>
      <c r="J88" s="3329"/>
      <c r="K88" s="3330"/>
      <c r="L88" s="3331"/>
      <c r="M88" s="3332"/>
      <c r="N88" s="3284"/>
      <c r="O88" s="3284"/>
      <c r="P88" s="3333"/>
      <c r="Q88" s="3250"/>
    </row>
    <row r="89" spans="1:17" ht="14.4"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 thickTop="1">
      <c r="A90" s="3286"/>
      <c r="B90" s="3291" t="s">
        <v>3545</v>
      </c>
      <c r="C90" s="3334" t="s">
        <v>3546</v>
      </c>
      <c r="D90" s="3334" t="s">
        <v>3547</v>
      </c>
      <c r="E90" s="3334" t="s">
        <v>3548</v>
      </c>
      <c r="F90" s="3334" t="s">
        <v>3543</v>
      </c>
      <c r="G90" s="3334" t="s">
        <v>3544</v>
      </c>
      <c r="H90" s="3292"/>
      <c r="I90" s="3292"/>
      <c r="J90" s="3292"/>
      <c r="K90" s="3293"/>
      <c r="L90" s="3294"/>
      <c r="M90" s="3295"/>
      <c r="N90" s="3284"/>
      <c r="O90" s="3284"/>
      <c r="P90" s="3285"/>
      <c r="Q90" s="3250"/>
    </row>
    <row r="91" spans="1:17" ht="14.4" thickBot="1">
      <c r="A91" s="3286"/>
      <c r="B91" s="3296"/>
      <c r="C91" s="3297">
        <v>100</v>
      </c>
      <c r="D91" s="3297">
        <f>C91-$K17</f>
        <v>97</v>
      </c>
      <c r="E91" s="3297">
        <f>D91-$K17</f>
        <v>94</v>
      </c>
      <c r="F91" s="3297">
        <f>E91-$K17</f>
        <v>91</v>
      </c>
      <c r="G91" s="3297">
        <f>F91-$K17</f>
        <v>88</v>
      </c>
      <c r="H91" s="3297"/>
      <c r="I91" s="3297"/>
      <c r="J91" s="3297"/>
      <c r="K91" s="3297"/>
      <c r="L91" s="3297"/>
      <c r="M91" s="3298"/>
      <c r="N91" s="3290"/>
      <c r="O91" s="3290"/>
      <c r="P91" s="3285"/>
      <c r="Q91" s="3250"/>
    </row>
    <row r="92" spans="1:17" ht="15" thickTop="1">
      <c r="A92" s="3286"/>
      <c r="B92" s="3291" t="s">
        <v>3549</v>
      </c>
      <c r="C92" s="3334" t="s">
        <v>3546</v>
      </c>
      <c r="D92" s="3334" t="s">
        <v>3547</v>
      </c>
      <c r="E92" s="3334" t="s">
        <v>3548</v>
      </c>
      <c r="F92" s="3334" t="s">
        <v>3543</v>
      </c>
      <c r="G92" s="3334" t="s">
        <v>3544</v>
      </c>
      <c r="H92" s="3292"/>
      <c r="I92" s="3292"/>
      <c r="J92" s="3292"/>
      <c r="K92" s="3293"/>
      <c r="L92" s="3294"/>
      <c r="M92" s="3295"/>
      <c r="N92" s="3284"/>
      <c r="O92" s="3284"/>
      <c r="P92" s="3285"/>
      <c r="Q92" s="3250"/>
    </row>
    <row r="93" spans="1:17" ht="14.4" thickBot="1">
      <c r="A93" s="3286"/>
      <c r="B93" s="3296"/>
      <c r="C93" s="3297">
        <v>100</v>
      </c>
      <c r="D93" s="3297">
        <f>C93-$K19</f>
        <v>97</v>
      </c>
      <c r="E93" s="3297">
        <f>D93-$K19</f>
        <v>94</v>
      </c>
      <c r="F93" s="3297">
        <f>E93-$K19</f>
        <v>91</v>
      </c>
      <c r="G93" s="3297">
        <f>F93-$K19</f>
        <v>88</v>
      </c>
      <c r="H93" s="3297"/>
      <c r="I93" s="3297"/>
      <c r="J93" s="3297"/>
      <c r="K93" s="3297"/>
      <c r="L93" s="3297"/>
      <c r="M93" s="3298"/>
      <c r="N93" s="3290"/>
      <c r="O93" s="3290"/>
      <c r="P93" s="3285"/>
      <c r="Q93" s="3250"/>
    </row>
    <row r="94" spans="1:17" ht="15" thickTop="1">
      <c r="A94" s="3286"/>
      <c r="B94" s="3291" t="s">
        <v>3550</v>
      </c>
      <c r="C94" s="3334" t="s">
        <v>3546</v>
      </c>
      <c r="D94" s="3334" t="s">
        <v>3547</v>
      </c>
      <c r="E94" s="3334" t="s">
        <v>3548</v>
      </c>
      <c r="F94" s="3334" t="s">
        <v>3543</v>
      </c>
      <c r="G94" s="3334" t="s">
        <v>3544</v>
      </c>
      <c r="H94" s="3292"/>
      <c r="I94" s="3292"/>
      <c r="J94" s="3292"/>
      <c r="K94" s="3293"/>
      <c r="L94" s="3294"/>
      <c r="M94" s="3295"/>
      <c r="N94" s="3284"/>
      <c r="O94" s="3284"/>
      <c r="P94" s="3285"/>
      <c r="Q94" s="3250"/>
    </row>
    <row r="95" spans="1:17" ht="14.4"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29.4" thickTop="1">
      <c r="A96" s="3335"/>
      <c r="B96" s="3291" t="s">
        <v>3551</v>
      </c>
      <c r="C96" s="3334" t="s">
        <v>3546</v>
      </c>
      <c r="D96" s="3334" t="s">
        <v>3547</v>
      </c>
      <c r="E96" s="3334" t="s">
        <v>3548</v>
      </c>
      <c r="F96" s="3334" t="s">
        <v>3543</v>
      </c>
      <c r="G96" s="3334" t="s">
        <v>3544</v>
      </c>
      <c r="H96" s="3334"/>
      <c r="I96" s="3334"/>
      <c r="J96" s="3334"/>
      <c r="K96" s="3334"/>
      <c r="L96" s="3336"/>
      <c r="M96" s="3337"/>
      <c r="N96" s="3272"/>
      <c r="O96" s="3272"/>
      <c r="P96" s="3285"/>
      <c r="Q96" s="3250"/>
    </row>
    <row r="97" spans="1:17" s="3074" customFormat="1" ht="14.4"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9.4" thickTop="1">
      <c r="A98" s="3335"/>
      <c r="B98" s="3291" t="s">
        <v>3552</v>
      </c>
      <c r="C98" s="3328" t="s">
        <v>3546</v>
      </c>
      <c r="D98" s="3328" t="s">
        <v>3547</v>
      </c>
      <c r="E98" s="3328" t="s">
        <v>3548</v>
      </c>
      <c r="F98" s="3328" t="s">
        <v>3543</v>
      </c>
      <c r="G98" s="3328" t="s">
        <v>3544</v>
      </c>
      <c r="H98" s="3334"/>
      <c r="I98" s="3334"/>
      <c r="J98" s="3334"/>
      <c r="K98" s="3334"/>
      <c r="L98" s="3334"/>
      <c r="M98" s="3337"/>
      <c r="N98" s="3272"/>
      <c r="O98" s="3272"/>
      <c r="P98" s="3285"/>
      <c r="Q98" s="3250"/>
    </row>
    <row r="99" spans="1:17" s="3074" customFormat="1" ht="14.4"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 thickTop="1">
      <c r="A100" s="3305"/>
      <c r="B100" s="3291" t="s">
        <v>3553</v>
      </c>
      <c r="C100" s="3328" t="s">
        <v>3546</v>
      </c>
      <c r="D100" s="3328" t="s">
        <v>3547</v>
      </c>
      <c r="E100" s="3328" t="s">
        <v>3548</v>
      </c>
      <c r="F100" s="3328" t="s">
        <v>3543</v>
      </c>
      <c r="G100" s="3328" t="s">
        <v>3544</v>
      </c>
      <c r="H100" s="3339"/>
      <c r="I100" s="3339"/>
      <c r="J100" s="3339"/>
      <c r="K100" s="3339"/>
      <c r="L100" s="3340"/>
      <c r="M100" s="3341"/>
      <c r="N100" s="3311"/>
      <c r="O100" s="3311"/>
      <c r="P100" s="3312"/>
      <c r="Q100" s="3313"/>
    </row>
    <row r="101" spans="1:17" s="3167" customFormat="1" ht="14.4"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 thickTop="1">
      <c r="A102" s="3305"/>
      <c r="B102" s="3299" t="s">
        <v>3554</v>
      </c>
      <c r="C102" s="3344" t="s">
        <v>3555</v>
      </c>
      <c r="D102" s="3344" t="s">
        <v>3556</v>
      </c>
      <c r="E102" s="3344" t="s">
        <v>3557</v>
      </c>
      <c r="F102" s="3344" t="s">
        <v>3558</v>
      </c>
      <c r="G102" s="3344" t="s">
        <v>3559</v>
      </c>
      <c r="H102" s="3339"/>
      <c r="I102" s="3339"/>
      <c r="J102" s="3339"/>
      <c r="K102" s="3339"/>
      <c r="L102" s="3339"/>
      <c r="M102" s="3345"/>
      <c r="N102" s="3311"/>
      <c r="O102" s="3311"/>
      <c r="P102" s="3312"/>
      <c r="Q102" s="3313"/>
    </row>
    <row r="103" spans="1:17" s="3167" customFormat="1" ht="14.4"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 thickTop="1">
      <c r="A104" s="3286"/>
      <c r="B104" s="3291" t="str">
        <f>B31</f>
        <v>临街状况</v>
      </c>
      <c r="C104" s="3292" t="s">
        <v>3560</v>
      </c>
      <c r="D104" s="3292" t="s">
        <v>3561</v>
      </c>
      <c r="E104" s="3292" t="s">
        <v>3562</v>
      </c>
      <c r="F104" s="3292" t="s">
        <v>3563</v>
      </c>
      <c r="G104" s="3292"/>
      <c r="H104" s="3292"/>
      <c r="I104" s="3292"/>
      <c r="J104" s="3292"/>
      <c r="K104" s="3293"/>
      <c r="L104" s="3294"/>
      <c r="M104" s="3295"/>
      <c r="N104" s="3284"/>
      <c r="O104" s="3284"/>
      <c r="P104" s="3285"/>
      <c r="Q104" s="3250"/>
    </row>
    <row r="105" spans="1:17" ht="14.4"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9.4" thickTop="1">
      <c r="A106" s="3286"/>
      <c r="B106" s="3291" t="s">
        <v>3564</v>
      </c>
      <c r="C106" s="3346" t="s">
        <v>3565</v>
      </c>
      <c r="D106" s="3346" t="s">
        <v>3566</v>
      </c>
      <c r="E106" s="3346" t="s">
        <v>3567</v>
      </c>
      <c r="F106" s="3346" t="s">
        <v>3568</v>
      </c>
      <c r="G106" s="3346" t="s">
        <v>3569</v>
      </c>
      <c r="H106" s="3347"/>
      <c r="I106" s="3347"/>
      <c r="J106" s="3347"/>
      <c r="K106" s="3348"/>
      <c r="L106" s="3349"/>
      <c r="M106" s="3350"/>
      <c r="N106" s="3284"/>
      <c r="O106" s="3284"/>
      <c r="P106" s="3285"/>
      <c r="Q106" s="3250"/>
    </row>
    <row r="107" spans="1:17" ht="14.4" thickBot="1">
      <c r="A107" s="3286"/>
      <c r="B107" s="3296"/>
      <c r="C107" s="3297">
        <v>100</v>
      </c>
      <c r="D107" s="3297">
        <f>C107-$K32</f>
        <v>99</v>
      </c>
      <c r="E107" s="3297">
        <f t="shared" ref="E107:M107" si="23">D107-$K32</f>
        <v>98</v>
      </c>
      <c r="F107" s="3297">
        <f t="shared" si="23"/>
        <v>97</v>
      </c>
      <c r="G107" s="3297">
        <f t="shared" si="23"/>
        <v>96</v>
      </c>
      <c r="H107" s="3297">
        <f t="shared" si="23"/>
        <v>95</v>
      </c>
      <c r="I107" s="3297">
        <f t="shared" si="23"/>
        <v>94</v>
      </c>
      <c r="J107" s="3297">
        <f t="shared" si="23"/>
        <v>93</v>
      </c>
      <c r="K107" s="3297">
        <f t="shared" si="23"/>
        <v>92</v>
      </c>
      <c r="L107" s="3297">
        <f t="shared" si="23"/>
        <v>91</v>
      </c>
      <c r="M107" s="3297">
        <f t="shared" si="23"/>
        <v>90</v>
      </c>
      <c r="N107" s="3290"/>
      <c r="O107" s="3290"/>
      <c r="P107" s="3285"/>
      <c r="Q107" s="3250"/>
    </row>
    <row r="108" spans="1:17" ht="15" thickTop="1">
      <c r="A108" s="3286"/>
      <c r="B108" s="3291" t="s">
        <v>3570</v>
      </c>
      <c r="C108" s="3347"/>
      <c r="D108" s="3347"/>
      <c r="E108" s="3347"/>
      <c r="F108" s="3347"/>
      <c r="G108" s="3347"/>
      <c r="H108" s="3347"/>
      <c r="I108" s="3347"/>
      <c r="J108" s="3347"/>
      <c r="K108" s="3348"/>
      <c r="L108" s="3349"/>
      <c r="M108" s="3350"/>
      <c r="N108" s="3284"/>
      <c r="O108" s="3284"/>
      <c r="P108" s="3285"/>
      <c r="Q108" s="3250"/>
    </row>
    <row r="109" spans="1:17" ht="14.4"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4.4"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4.4" thickBot="1">
      <c r="A111" s="3286"/>
      <c r="B111" s="3324"/>
      <c r="C111" s="3314"/>
      <c r="D111" s="3314"/>
      <c r="E111" s="3314"/>
      <c r="F111" s="3314"/>
      <c r="G111" s="3355"/>
      <c r="H111" s="3355"/>
      <c r="I111" s="3355"/>
      <c r="J111" s="3355"/>
      <c r="K111" s="3355"/>
      <c r="L111" s="3355"/>
      <c r="M111" s="3356"/>
      <c r="N111" s="3290"/>
      <c r="O111" s="3290"/>
      <c r="P111" s="3285"/>
      <c r="Q111" s="3250"/>
    </row>
    <row r="112" spans="1:17" ht="14.4"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4.4"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4.4"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4.4" thickBot="1">
      <c r="A115" s="3305"/>
      <c r="B115" s="3299"/>
      <c r="C115" s="3275"/>
      <c r="D115" s="3362"/>
      <c r="E115" s="3362"/>
      <c r="F115" s="3362"/>
      <c r="G115" s="3362"/>
      <c r="H115" s="3362"/>
      <c r="I115" s="3362"/>
      <c r="J115" s="3362"/>
      <c r="K115" s="3362"/>
      <c r="L115" s="3362"/>
      <c r="M115" s="3363"/>
      <c r="N115" s="3290"/>
      <c r="O115" s="3290"/>
      <c r="P115" s="3312"/>
      <c r="Q115" s="3313"/>
    </row>
    <row r="116" spans="1:17" ht="27.6">
      <c r="A116" s="3277" t="s">
        <v>3493</v>
      </c>
      <c r="B116" s="3278" t="s">
        <v>3571</v>
      </c>
      <c r="C116" s="3329" t="str">
        <f>C117&amp;"(含)"&amp;"-"&amp;D117</f>
        <v>0(含)-10000</v>
      </c>
      <c r="D116" s="3329" t="str">
        <f t="shared" ref="D116:M116" si="25">D117&amp;"(含)"&amp;"-"&amp;E117</f>
        <v>10000(含)-20000</v>
      </c>
      <c r="E116" s="3329" t="str">
        <f t="shared" si="25"/>
        <v>20000(含)-40000</v>
      </c>
      <c r="F116" s="3329" t="str">
        <f t="shared" si="25"/>
        <v>40000(含)-80000</v>
      </c>
      <c r="G116" s="3329" t="str">
        <f t="shared" si="25"/>
        <v>80000(含)-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c r="A117" s="3286"/>
      <c r="B117" s="3299"/>
      <c r="C117" s="3259">
        <v>0</v>
      </c>
      <c r="D117" s="3259">
        <v>10000</v>
      </c>
      <c r="E117" s="3259">
        <v>20000</v>
      </c>
      <c r="F117" s="3259">
        <v>40000</v>
      </c>
      <c r="G117" s="3259">
        <v>80000</v>
      </c>
      <c r="H117" s="3259"/>
      <c r="I117" s="3259"/>
      <c r="J117" s="3359"/>
      <c r="K117" s="3359"/>
      <c r="L117" s="3360"/>
      <c r="M117" s="3361"/>
      <c r="N117" s="3284"/>
      <c r="O117" s="3284"/>
      <c r="P117" s="3285"/>
      <c r="Q117" s="3250"/>
    </row>
    <row r="118" spans="1:17" ht="14.4" thickBot="1">
      <c r="A118" s="3286"/>
      <c r="B118" s="3296"/>
      <c r="C118" s="3325">
        <v>100</v>
      </c>
      <c r="D118" s="3355">
        <f>C118+0.5</f>
        <v>100.5</v>
      </c>
      <c r="E118" s="3355">
        <f t="shared" ref="E118:G118" si="26">D118+0.5</f>
        <v>101</v>
      </c>
      <c r="F118" s="3355">
        <f t="shared" si="26"/>
        <v>101.5</v>
      </c>
      <c r="G118" s="3355">
        <f t="shared" si="26"/>
        <v>102</v>
      </c>
      <c r="H118" s="3355"/>
      <c r="I118" s="3355"/>
      <c r="J118" s="3355"/>
      <c r="K118" s="3355"/>
      <c r="L118" s="3355"/>
      <c r="M118" s="3356"/>
      <c r="N118" s="3290"/>
      <c r="O118" s="3290"/>
      <c r="P118" s="3285"/>
      <c r="Q118" s="3250"/>
    </row>
    <row r="119" spans="1:17" ht="15" thickTop="1">
      <c r="A119" s="3364"/>
      <c r="B119" s="3291" t="s">
        <v>3495</v>
      </c>
      <c r="C119" s="3365" t="s">
        <v>3572</v>
      </c>
      <c r="D119" s="3365" t="s">
        <v>3573</v>
      </c>
      <c r="E119" s="3365" t="s">
        <v>3574</v>
      </c>
      <c r="F119" s="3365" t="s">
        <v>3575</v>
      </c>
      <c r="G119" s="3365" t="s">
        <v>3576</v>
      </c>
      <c r="H119" s="3347"/>
      <c r="I119" s="3347"/>
      <c r="J119" s="3347"/>
      <c r="K119" s="3348"/>
      <c r="L119" s="3349"/>
      <c r="M119" s="3350"/>
      <c r="N119" s="3284"/>
      <c r="O119" s="3284"/>
      <c r="P119" s="3285"/>
      <c r="Q119" s="3250"/>
    </row>
    <row r="120" spans="1:17" ht="14.4"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29.4" thickTop="1">
      <c r="A121" s="3364"/>
      <c r="B121" s="3291" t="s">
        <v>3497</v>
      </c>
      <c r="C121" s="3346" t="s">
        <v>3577</v>
      </c>
      <c r="D121" s="3346" t="s">
        <v>3578</v>
      </c>
      <c r="E121" s="3346" t="s">
        <v>3574</v>
      </c>
      <c r="F121" s="3365" t="s">
        <v>3579</v>
      </c>
      <c r="G121" s="3365" t="s">
        <v>3580</v>
      </c>
      <c r="H121" s="3347"/>
      <c r="I121" s="3347"/>
      <c r="J121" s="3347"/>
      <c r="K121" s="3348"/>
      <c r="L121" s="3349"/>
      <c r="M121" s="3350"/>
      <c r="N121" s="3284"/>
      <c r="O121" s="3284"/>
      <c r="P121" s="3285"/>
      <c r="Q121" s="3250"/>
    </row>
    <row r="122" spans="1:17" ht="14.4"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3499</v>
      </c>
      <c r="C123" s="3366" t="s">
        <v>3581</v>
      </c>
      <c r="D123" s="3366" t="s">
        <v>3582</v>
      </c>
      <c r="E123" s="3366" t="s">
        <v>3583</v>
      </c>
      <c r="F123" s="3366" t="s">
        <v>3584</v>
      </c>
      <c r="G123" s="3366" t="s">
        <v>3585</v>
      </c>
      <c r="H123" s="3347"/>
      <c r="I123" s="3347"/>
      <c r="J123" s="3347"/>
      <c r="K123" s="3348"/>
      <c r="L123" s="3349"/>
      <c r="M123" s="3350"/>
      <c r="N123" s="3311"/>
      <c r="O123" s="3311"/>
      <c r="P123" s="3312"/>
      <c r="Q123" s="3313"/>
    </row>
    <row r="124" spans="1:17" s="3167" customFormat="1" ht="14.4"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3500</v>
      </c>
      <c r="C125" s="3346" t="s">
        <v>3586</v>
      </c>
      <c r="D125" s="3346" t="s">
        <v>3587</v>
      </c>
      <c r="E125" s="3365" t="s">
        <v>3574</v>
      </c>
      <c r="F125" s="3365" t="s">
        <v>3588</v>
      </c>
      <c r="G125" s="3365" t="s">
        <v>3589</v>
      </c>
      <c r="H125" s="3347"/>
      <c r="I125" s="3347"/>
      <c r="J125" s="3347"/>
      <c r="K125" s="3348"/>
      <c r="L125" s="3349"/>
      <c r="M125" s="3350"/>
      <c r="N125" s="3284"/>
      <c r="O125" s="3284"/>
      <c r="P125" s="3285"/>
      <c r="Q125" s="3250"/>
    </row>
    <row r="126" spans="1:17" ht="14.4"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4.4"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4.4" thickBot="1">
      <c r="A128" s="3286"/>
      <c r="B128" s="3296"/>
      <c r="C128" s="3314"/>
      <c r="D128" s="3314"/>
      <c r="E128" s="3314"/>
      <c r="F128" s="3314"/>
      <c r="G128" s="3288"/>
      <c r="H128" s="3288"/>
      <c r="I128" s="3288"/>
      <c r="J128" s="3288"/>
      <c r="K128" s="3288"/>
      <c r="L128" s="3288"/>
      <c r="M128" s="3289"/>
      <c r="N128" s="3290"/>
      <c r="O128" s="3290"/>
      <c r="P128" s="3285"/>
      <c r="Q128" s="3250"/>
    </row>
    <row r="129" spans="1:17" ht="14.4"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4.4"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4.4"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4.4"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97" priority="14" stopIfTrue="1" operator="containsText" text="超过">
      <formula>NOT(ISERROR(SEARCH("超过",F51)))</formula>
    </cfRule>
  </conditionalFormatting>
  <conditionalFormatting sqref="J53">
    <cfRule type="containsText" dxfId="196" priority="13" stopIfTrue="1" operator="containsText" text="超过">
      <formula>NOT(ISERROR(SEARCH("超过",J53)))</formula>
    </cfRule>
  </conditionalFormatting>
  <conditionalFormatting sqref="H53">
    <cfRule type="containsText" dxfId="195" priority="12" stopIfTrue="1" operator="containsText" text="超过">
      <formula>NOT(ISERROR(SEARCH("超过",H53)))</formula>
    </cfRule>
  </conditionalFormatting>
  <conditionalFormatting sqref="F53">
    <cfRule type="containsText" dxfId="194" priority="11" stopIfTrue="1" operator="containsText" text="超过">
      <formula>NOT(ISERROR(SEARCH("超过",F53)))</formula>
    </cfRule>
  </conditionalFormatting>
  <conditionalFormatting sqref="F52 H52 J52">
    <cfRule type="containsText" dxfId="193" priority="10" stopIfTrue="1" operator="containsText" text="超过">
      <formula>NOT(ISERROR(SEARCH("超过",F52)))</formula>
    </cfRule>
  </conditionalFormatting>
  <conditionalFormatting sqref="E51">
    <cfRule type="expression" dxfId="192" priority="9" stopIfTrue="1">
      <formula>$F$51="超过30%"</formula>
    </cfRule>
  </conditionalFormatting>
  <conditionalFormatting sqref="G53">
    <cfRule type="expression" dxfId="191" priority="8" stopIfTrue="1">
      <formula>$H$53="超过30%"</formula>
    </cfRule>
  </conditionalFormatting>
  <conditionalFormatting sqref="E52">
    <cfRule type="expression" dxfId="190" priority="7" stopIfTrue="1">
      <formula>$F$52="超过20%"</formula>
    </cfRule>
  </conditionalFormatting>
  <conditionalFormatting sqref="E53">
    <cfRule type="expression" dxfId="189" priority="6" stopIfTrue="1">
      <formula>$F$53="超过30%"</formula>
    </cfRule>
  </conditionalFormatting>
  <conditionalFormatting sqref="G51">
    <cfRule type="expression" dxfId="188" priority="5" stopIfTrue="1">
      <formula>$H$53+$H$51="超过30%"</formula>
    </cfRule>
  </conditionalFormatting>
  <conditionalFormatting sqref="G52">
    <cfRule type="expression" dxfId="187" priority="4" stopIfTrue="1">
      <formula>$H$52="超过20%"</formula>
    </cfRule>
  </conditionalFormatting>
  <conditionalFormatting sqref="I51">
    <cfRule type="expression" dxfId="186" priority="3" stopIfTrue="1">
      <formula>$J$51="超过30%"</formula>
    </cfRule>
  </conditionalFormatting>
  <conditionalFormatting sqref="I52">
    <cfRule type="expression" dxfId="185" priority="2" stopIfTrue="1">
      <formula>$J$52="超过20%"</formula>
    </cfRule>
  </conditionalFormatting>
  <conditionalFormatting sqref="I53">
    <cfRule type="expression" dxfId="184" priority="1" stopIfTrue="1">
      <formula>$J$53="超过30%"</formula>
    </cfRule>
  </conditionalFormatting>
  <dataValidations count="24">
    <dataValidation type="list" allowBlank="1" showInputMessage="1" showErrorMessage="1" sqref="A71" xr:uid="{00000000-0002-0000-1700-000000000000}">
      <formula1>"综合,商业,办公,住宅"</formula1>
    </dataValidation>
    <dataValidation type="list" allowBlank="1" showInputMessage="1" showErrorMessage="1" sqref="C30 E30 G30 I30" xr:uid="{00000000-0002-0000-1700-000001000000}">
      <formula1>基础设施水平</formula1>
    </dataValidation>
    <dataValidation type="list" allowBlank="1" showInputMessage="1" showErrorMessage="1" sqref="D57:D65" xr:uid="{00000000-0002-0000-1700-000002000000}">
      <formula1>"25%,1"</formula1>
    </dataValidation>
    <dataValidation type="list" allowBlank="1" showInputMessage="1" showErrorMessage="1" sqref="G63" xr:uid="{00000000-0002-0000-1700-000003000000}">
      <formula1>"住宅,工业"</formula1>
    </dataValidation>
    <dataValidation type="list" allowBlank="1" showInputMessage="1" showErrorMessage="1" sqref="G62" xr:uid="{00000000-0002-0000-1700-000004000000}">
      <formula1>"商业,办公,住宅,工业"</formula1>
    </dataValidation>
    <dataValidation type="list" allowBlank="1" showInputMessage="1" showErrorMessage="1" sqref="C55" xr:uid="{00000000-0002-0000-1700-000005000000}">
      <formula1>"北京市系数,其他省市系数"</formula1>
    </dataValidation>
    <dataValidation type="list" allowBlank="1" showInputMessage="1" showErrorMessage="1" sqref="E24 G24 I24 C24" xr:uid="{00000000-0002-0000-1700-000006000000}">
      <formula1>区域土地利用方向</formula1>
    </dataValidation>
    <dataValidation type="list" allowBlank="1" showInputMessage="1" showErrorMessage="1" sqref="C31 E31 G31 I31" xr:uid="{00000000-0002-0000-1700-000007000000}">
      <formula1>临街状况</formula1>
    </dataValidation>
    <dataValidation type="list" allowBlank="1" showInputMessage="1" showErrorMessage="1" sqref="C42 E42 G42 I42" xr:uid="{00000000-0002-0000-1700-000008000000}">
      <formula1>套综工程地质条件</formula1>
    </dataValidation>
    <dataValidation type="list" allowBlank="1" showInputMessage="1" showErrorMessage="1" sqref="C41 E41 G41 I41" xr:uid="{00000000-0002-0000-1700-000009000000}">
      <formula1>套综宗地内开发程度</formula1>
    </dataValidation>
    <dataValidation type="list" allowBlank="1" showInputMessage="1" showErrorMessage="1" sqref="C40 E40 G40 I40" xr:uid="{00000000-0002-0000-1700-00000A000000}">
      <formula1>套综临街宽度及深度</formula1>
    </dataValidation>
    <dataValidation type="list" allowBlank="1" showInputMessage="1" showErrorMessage="1" sqref="C39 E39 G39 I39" xr:uid="{00000000-0002-0000-1700-00000B000000}">
      <formula1>套综宗地形状</formula1>
    </dataValidation>
    <dataValidation type="list" allowBlank="1" showInputMessage="1" showErrorMessage="1" sqref="C34 E34 G34 I34" xr:uid="{00000000-0002-0000-1700-00000C000000}">
      <formula1>套综土地级别</formula1>
    </dataValidation>
    <dataValidation type="list" allowBlank="1" showInputMessage="1" showErrorMessage="1" sqref="C33 E33 G33 I33" xr:uid="{00000000-0002-0000-1700-00000D000000}">
      <formula1>套综道路等级</formula1>
    </dataValidation>
    <dataValidation type="list" allowBlank="1" showInputMessage="1" showErrorMessage="1" sqref="E20 C20 G20 I20" xr:uid="{00000000-0002-0000-1700-00000E000000}">
      <formula1>办公集聚程度</formula1>
    </dataValidation>
    <dataValidation type="list" allowBlank="1" showInputMessage="1" showErrorMessage="1" sqref="E18 C18 G18 I18" xr:uid="{00000000-0002-0000-1700-00000F000000}">
      <formula1>商业繁华度</formula1>
    </dataValidation>
    <dataValidation type="list" allowBlank="1" showInputMessage="1" showErrorMessage="1" sqref="C9 E9 G9 I9" xr:uid="{00000000-0002-0000-1700-000010000000}">
      <formula1>套综用途</formula1>
    </dataValidation>
    <dataValidation type="list" allowBlank="1" showInputMessage="1" showErrorMessage="1" sqref="C8 E8 G8 I8" xr:uid="{00000000-0002-0000-1700-000011000000}">
      <formula1>套综交易情况</formula1>
    </dataValidation>
    <dataValidation type="list" allowBlank="1" showInputMessage="1" showErrorMessage="1" sqref="B46" xr:uid="{00000000-0002-0000-1700-000012000000}">
      <formula1>单价内涵</formula1>
    </dataValidation>
    <dataValidation type="list" allowBlank="1" showInputMessage="1" showErrorMessage="1" sqref="C26 E26 G26 I26" xr:uid="{00000000-0002-0000-1700-000013000000}">
      <formula1>环境</formula1>
    </dataValidation>
    <dataValidation type="list" allowBlank="1" showInputMessage="1" showErrorMessage="1" sqref="E16 G16 I16 C16" xr:uid="{00000000-0002-0000-1700-000014000000}">
      <formula1>居住社区成熟度</formula1>
    </dataValidation>
    <dataValidation type="list" allowBlank="1" showInputMessage="1" showErrorMessage="1" sqref="E22 C22 G22 I22" xr:uid="{00000000-0002-0000-1700-000015000000}">
      <formula1>交通便捷度</formula1>
    </dataValidation>
    <dataValidation type="list" allowBlank="1" showInputMessage="1" showErrorMessage="1" sqref="E28 C28 G28 I28" xr:uid="{00000000-0002-0000-1700-000016000000}">
      <formula1>公共配套设施</formula1>
    </dataValidation>
    <dataValidation type="list" allowBlank="1" showInputMessage="1" showErrorMessage="1" sqref="C25" xr:uid="{00000000-0002-0000-1700-000017000000}">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workbookViewId="0">
      <selection activeCell="D10" sqref="D1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2314</v>
      </c>
      <c r="B1" s="1916"/>
      <c r="C1" s="242"/>
      <c r="D1" s="242"/>
      <c r="E1" s="242"/>
      <c r="F1" s="242"/>
      <c r="G1" s="1361">
        <f>MATCH(B1,'数据-取费表'!A6:A16,0)+5</f>
        <v>10</v>
      </c>
    </row>
    <row r="2" spans="1:9" s="244" customFormat="1" ht="18" customHeight="1">
      <c r="A2" s="245" t="s">
        <v>2315</v>
      </c>
      <c r="B2" s="246">
        <f ca="1">IF(D2="——",C52,C52-E2)</f>
        <v>213034</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50525</v>
      </c>
      <c r="C3" s="243" t="s">
        <v>2318</v>
      </c>
      <c r="D3" s="243"/>
      <c r="E3" s="243"/>
      <c r="F3" s="243"/>
      <c r="G3" s="243"/>
    </row>
    <row r="4" spans="1:9" s="252" customFormat="1" ht="16.2">
      <c r="A4" s="249" t="s">
        <v>2319</v>
      </c>
      <c r="B4" s="250"/>
      <c r="C4" s="250"/>
      <c r="D4" s="250"/>
      <c r="E4" s="250"/>
      <c r="F4" s="250"/>
      <c r="G4" s="251"/>
    </row>
    <row r="5" spans="1:9" s="258" customFormat="1" ht="13.5" customHeight="1">
      <c r="A5" s="299" t="s">
        <v>2320</v>
      </c>
      <c r="B5" s="254" t="s">
        <v>2321</v>
      </c>
      <c r="C5" s="255">
        <f ca="1">C6+C7+C8</f>
        <v>129981</v>
      </c>
      <c r="D5" s="255" t="s">
        <v>2322</v>
      </c>
      <c r="E5" s="256" t="s">
        <v>2323</v>
      </c>
      <c r="F5" s="256" t="s">
        <v>2324</v>
      </c>
      <c r="G5" s="257"/>
    </row>
    <row r="6" spans="1:9" s="258" customFormat="1" ht="13.5" customHeight="1">
      <c r="A6" s="939" t="s">
        <v>2325</v>
      </c>
      <c r="B6" s="259" t="s">
        <v>2326</v>
      </c>
      <c r="C6" s="260">
        <f>ROUND('土地比较法-住宅、综合'!B56*'数据-汇总表'!F27/10000,0)</f>
        <v>125316</v>
      </c>
      <c r="D6" s="261"/>
      <c r="E6" s="262"/>
      <c r="F6" s="262"/>
      <c r="G6" s="263"/>
    </row>
    <row r="7" spans="1:9" s="258" customFormat="1" ht="13.5" customHeight="1">
      <c r="A7" s="939" t="s">
        <v>2327</v>
      </c>
      <c r="B7" s="259" t="s">
        <v>2328</v>
      </c>
      <c r="C7" s="264">
        <f>ROUND(C6*F7,0)</f>
        <v>3822</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843</v>
      </c>
      <c r="D8" s="266"/>
      <c r="E8" s="264"/>
      <c r="F8" s="265"/>
      <c r="G8" s="2523" t="s">
        <v>3626</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3627</v>
      </c>
      <c r="H9" s="1371"/>
      <c r="I9" s="2525" t="s">
        <v>2332</v>
      </c>
    </row>
    <row r="10" spans="1:9" s="258" customFormat="1" ht="13.5" customHeight="1">
      <c r="A10" s="940" t="s">
        <v>801</v>
      </c>
      <c r="B10" s="268" t="s">
        <v>2333</v>
      </c>
      <c r="C10" s="269">
        <f ca="1">ROUND(D10*E10/10000,0)</f>
        <v>843</v>
      </c>
      <c r="D10" s="1022">
        <f ca="1">IF(B1="",'数据-汇总表'!E6,IF(INDIRECT("'数据-取费表'!c"&amp;$G$1)="住宅",INDIRECT("'数据-取费表'!s"&amp;$G$1),INDIRECT("'数据-取费表'!k"&amp;$G$1)+INDIRECT("'数据-取费表'!s"&amp;$G$1)))</f>
        <v>42164.249999999993</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42164.249999999993</v>
      </c>
      <c r="E19" s="255">
        <f>'数据-取费表'!B31</f>
        <v>200</v>
      </c>
      <c r="F19" s="275"/>
      <c r="G19" s="2523" t="s">
        <v>3628</v>
      </c>
    </row>
    <row r="20" spans="1:7" s="258" customFormat="1" ht="13.5" customHeight="1">
      <c r="A20" s="299" t="s">
        <v>2346</v>
      </c>
      <c r="B20" s="254" t="s">
        <v>2347</v>
      </c>
      <c r="C20" s="276">
        <f ca="1">ROUND((C5+C19)*F20,0)</f>
        <v>2600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12765</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12641</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124</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6.4">
      <c r="A27" s="299" t="s">
        <v>2365</v>
      </c>
      <c r="B27" s="288" t="s">
        <v>2366</v>
      </c>
      <c r="C27" s="289">
        <f ca="1">C28</f>
        <v>33145</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33145</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193864</v>
      </c>
      <c r="D31" s="274"/>
      <c r="E31" s="255"/>
      <c r="F31" s="294"/>
      <c r="G31" s="278" t="s">
        <v>2375</v>
      </c>
    </row>
    <row r="32" spans="1:7" s="252" customFormat="1" ht="16.2">
      <c r="A32" s="296" t="s">
        <v>2376</v>
      </c>
      <c r="B32" s="297"/>
      <c r="C32" s="297"/>
      <c r="D32" s="297"/>
      <c r="E32" s="297"/>
      <c r="F32" s="297"/>
      <c r="G32" s="298"/>
    </row>
    <row r="33" spans="1:7" s="258" customFormat="1" ht="13.5" customHeight="1">
      <c r="A33" s="299" t="s">
        <v>782</v>
      </c>
      <c r="B33" s="254" t="s">
        <v>2377</v>
      </c>
      <c r="C33" s="300">
        <f ca="1">SUM(C34:C38)</f>
        <v>16264</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14757</v>
      </c>
      <c r="D34" s="261"/>
      <c r="E34" s="264"/>
      <c r="F34" s="301">
        <f ca="1">IF('数据-取费表'!B24=0,1,IF(B1="",'数据-取费表'!N16,INDIRECT("'数据-取费表'!n"&amp;$G$1)))</f>
        <v>1</v>
      </c>
      <c r="G34" s="263" t="s">
        <v>2379</v>
      </c>
    </row>
    <row r="35" spans="1:7" ht="13.5" customHeight="1">
      <c r="A35" s="941" t="s">
        <v>796</v>
      </c>
      <c r="B35" s="259" t="s">
        <v>2380</v>
      </c>
      <c r="C35" s="264">
        <f ca="1">ROUND(C34*F35,0)</f>
        <v>443</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843</v>
      </c>
      <c r="D37" s="261">
        <f ca="1">D19</f>
        <v>42164.249999999993</v>
      </c>
      <c r="E37" s="293">
        <f>'数据-取费表'!B35</f>
        <v>200</v>
      </c>
      <c r="F37" s="303"/>
      <c r="G37" s="305" t="s">
        <v>2385</v>
      </c>
    </row>
    <row r="38" spans="1:7" ht="13.5" customHeight="1">
      <c r="A38" s="941" t="s">
        <v>799</v>
      </c>
      <c r="B38" s="259" t="s">
        <v>2386</v>
      </c>
      <c r="C38" s="264">
        <f ca="1">ROUND(C34*F38,0)</f>
        <v>221</v>
      </c>
      <c r="D38" s="264"/>
      <c r="E38" s="264"/>
      <c r="F38" s="303">
        <f>'数据-取费表'!B36</f>
        <v>1.4999999999999999E-2</v>
      </c>
      <c r="G38" s="263" t="s">
        <v>2381</v>
      </c>
    </row>
    <row r="39" spans="1:7" s="258" customFormat="1" ht="13.5" customHeight="1">
      <c r="A39" s="299" t="s">
        <v>2387</v>
      </c>
      <c r="B39" s="254" t="s">
        <v>2388</v>
      </c>
      <c r="C39" s="276">
        <f ca="1">ROUND(C33*F20,0)</f>
        <v>325</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788</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773</v>
      </c>
      <c r="D42" s="282"/>
      <c r="E42" s="282"/>
      <c r="F42" s="283"/>
      <c r="G42" s="3713" t="s">
        <v>2397</v>
      </c>
    </row>
    <row r="43" spans="1:7" ht="13.5" customHeight="1">
      <c r="A43" s="941" t="s">
        <v>792</v>
      </c>
      <c r="B43" s="259" t="s">
        <v>2398</v>
      </c>
      <c r="C43" s="282">
        <f ca="1">ROUND(IF('数据-取费表'!B22&lt;=1,C39*F22*'数据-取费表'!B21/2,C39*(POWER((1+F22),'数据-取费表'!B21/2)-1)),0)</f>
        <v>15</v>
      </c>
      <c r="D43" s="282"/>
      <c r="E43" s="282"/>
      <c r="F43" s="283"/>
      <c r="G43" s="3714"/>
    </row>
    <row r="44" spans="1:7" ht="13.5" customHeight="1">
      <c r="A44" s="941" t="s">
        <v>793</v>
      </c>
      <c r="B44" s="259" t="s">
        <v>2399</v>
      </c>
      <c r="C44" s="282">
        <f ca="1">ROUND(IF('数据-取费表'!B22&lt;=1,C40*F22*'数据-取费表'!B21/2,C40*(POWER((1+F22),'数据-取费表'!B21/2)-1)),4)</f>
        <v>1E-3</v>
      </c>
      <c r="D44" s="282"/>
      <c r="E44" s="282"/>
      <c r="F44" s="283"/>
      <c r="G44" s="3715"/>
    </row>
    <row r="45" spans="1:7" s="258" customFormat="1" ht="13.5" customHeight="1">
      <c r="A45" s="299" t="s">
        <v>2400</v>
      </c>
      <c r="B45" s="288" t="s">
        <v>2366</v>
      </c>
      <c r="C45" s="289">
        <f ca="1">C46</f>
        <v>4147</v>
      </c>
      <c r="D45" s="279">
        <f ca="1">C47</f>
        <v>5.0000000000000001E-3</v>
      </c>
      <c r="E45" s="280" t="s">
        <v>2392</v>
      </c>
      <c r="F45" s="290"/>
      <c r="G45" s="291" t="s">
        <v>2401</v>
      </c>
    </row>
    <row r="46" spans="1:7" s="258" customFormat="1" ht="13.5" customHeight="1">
      <c r="A46" s="941" t="s">
        <v>791</v>
      </c>
      <c r="B46" s="292" t="s">
        <v>2402</v>
      </c>
      <c r="C46" s="293">
        <f ca="1">ROUND((C33+C39)*F27,0)</f>
        <v>4147</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23378</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19170</v>
      </c>
      <c r="D51" s="276"/>
      <c r="E51" s="276"/>
      <c r="F51" s="308"/>
      <c r="G51" s="278" t="s">
        <v>2413</v>
      </c>
    </row>
    <row r="52" spans="1:7" s="252" customFormat="1" ht="16.8" thickBot="1">
      <c r="A52" s="309" t="s">
        <v>2414</v>
      </c>
      <c r="B52" s="310"/>
      <c r="C52" s="311">
        <f ca="1">C31+C51</f>
        <v>213034</v>
      </c>
      <c r="D52" s="310"/>
      <c r="E52" s="310"/>
      <c r="F52" s="310"/>
      <c r="G52" s="312"/>
    </row>
    <row r="55" spans="1:7" ht="15">
      <c r="B55" s="314" t="s">
        <v>2415</v>
      </c>
      <c r="C55" s="315"/>
    </row>
    <row r="56" spans="1:7">
      <c r="B56" s="317" t="s">
        <v>1501</v>
      </c>
      <c r="C56" s="319">
        <f ca="1">1-C57</f>
        <v>0.91</v>
      </c>
    </row>
    <row r="57" spans="1:7">
      <c r="B57" s="317" t="s">
        <v>1502</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59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2516</v>
      </c>
      <c r="B1" s="2555" t="s">
        <v>2630</v>
      </c>
      <c r="C1" s="1614" t="s">
        <v>2518</v>
      </c>
      <c r="D1" s="1601" t="s">
        <v>1366</v>
      </c>
      <c r="E1" s="2630"/>
      <c r="F1" s="2557" t="s">
        <v>3050</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f>IF(C2="——",ROUND(C49*D3/10000,0),ROUND(C49*D3/10000,0)-D2)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f>IF(C2="——",C49,ROUND(B2*10000/D3,0))</f>
        <v>50339</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4.4">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9" t="s">
        <v>2636</v>
      </c>
      <c r="AC4" s="3716" t="s">
        <v>2637</v>
      </c>
    </row>
    <row r="5" spans="1:29" ht="14.4">
      <c r="A5" s="403"/>
      <c r="B5" s="404"/>
      <c r="C5" s="3728" t="s">
        <v>3433</v>
      </c>
      <c r="D5" s="3729"/>
      <c r="E5" s="3726" t="s">
        <v>3443</v>
      </c>
      <c r="F5" s="3727"/>
      <c r="G5" s="3728" t="s">
        <v>3435</v>
      </c>
      <c r="H5" s="3729"/>
      <c r="I5" s="3728" t="s">
        <v>3436</v>
      </c>
      <c r="J5" s="3729"/>
      <c r="K5" s="609"/>
      <c r="L5" s="1113"/>
      <c r="M5" s="1114"/>
      <c r="N5" s="1114"/>
      <c r="O5" s="1114"/>
      <c r="P5" s="3741"/>
      <c r="Q5" s="3742"/>
      <c r="R5" s="3724"/>
      <c r="S5" s="3725"/>
      <c r="T5" s="3724"/>
      <c r="U5" s="3725"/>
      <c r="V5" s="3719"/>
      <c r="W5" s="3719"/>
      <c r="X5" s="1793"/>
      <c r="Y5" s="3724"/>
      <c r="Z5" s="3725"/>
      <c r="AA5" s="3717"/>
      <c r="AB5" s="3719"/>
      <c r="AC5" s="3717"/>
    </row>
    <row r="6" spans="1:29" ht="15" thickBot="1">
      <c r="A6" s="405"/>
      <c r="B6" s="406"/>
      <c r="C6" s="3730" t="s">
        <v>2534</v>
      </c>
      <c r="D6" s="3731"/>
      <c r="E6" s="3732" t="s">
        <v>2534</v>
      </c>
      <c r="F6" s="3733"/>
      <c r="G6" s="3730" t="s">
        <v>2534</v>
      </c>
      <c r="H6" s="3731"/>
      <c r="I6" s="3730" t="s">
        <v>2534</v>
      </c>
      <c r="J6" s="3731"/>
      <c r="K6" s="609" t="s">
        <v>2535</v>
      </c>
      <c r="L6" s="1113"/>
      <c r="M6" s="1114"/>
      <c r="N6" s="1114"/>
      <c r="O6" s="1114"/>
      <c r="P6" s="3743"/>
      <c r="Q6" s="3744"/>
      <c r="R6" s="3724"/>
      <c r="S6" s="3725"/>
      <c r="T6" s="3745"/>
      <c r="U6" s="3746"/>
      <c r="V6" s="3719"/>
      <c r="W6" s="3719"/>
      <c r="X6" s="1793"/>
      <c r="Y6" s="3745"/>
      <c r="Z6" s="3746"/>
      <c r="AA6" s="3718"/>
      <c r="AB6" s="3719"/>
      <c r="AC6" s="3718"/>
    </row>
    <row r="7" spans="1:29" s="117" customFormat="1" ht="15" thickBot="1">
      <c r="A7" s="407" t="s">
        <v>2536</v>
      </c>
      <c r="B7" s="408"/>
      <c r="C7" s="409">
        <f>'数据-取费表'!B2</f>
        <v>43836</v>
      </c>
      <c r="D7" s="410">
        <v>100</v>
      </c>
      <c r="E7" s="411">
        <v>43820</v>
      </c>
      <c r="F7" s="412">
        <f>SUMIF(58:58,YEAR(E7)&amp;"-"&amp;MONTH(E7),59:59)</f>
        <v>99</v>
      </c>
      <c r="G7" s="411">
        <v>43823</v>
      </c>
      <c r="H7" s="410">
        <f>SUMIF(58:58,YEAR(G7)&amp;"-"&amp;MONTH(G7),59:59)</f>
        <v>99</v>
      </c>
      <c r="I7" s="411">
        <v>43780</v>
      </c>
      <c r="J7" s="410">
        <f>SUMIF(58:58,YEAR(I7)&amp;"-"&amp;MONTH(I7),59:59)</f>
        <v>99</v>
      </c>
      <c r="K7" s="610"/>
      <c r="L7" s="1115"/>
      <c r="M7" s="1116"/>
      <c r="N7" s="1116"/>
      <c r="O7" s="1116"/>
      <c r="P7" s="3720" t="s">
        <v>2537</v>
      </c>
      <c r="Q7" s="3747"/>
      <c r="R7" s="766" t="s">
        <v>17</v>
      </c>
      <c r="S7" s="767">
        <f t="shared" ref="S7:S15" si="0">F7</f>
        <v>99</v>
      </c>
      <c r="T7" s="766" t="s">
        <v>17</v>
      </c>
      <c r="U7" s="767">
        <f t="shared" ref="U7:U15" si="1">H7</f>
        <v>99</v>
      </c>
      <c r="V7" s="766" t="s">
        <v>17</v>
      </c>
      <c r="W7" s="767">
        <f t="shared" ref="W7:W15" si="2">J7</f>
        <v>99</v>
      </c>
      <c r="X7" s="768"/>
      <c r="Y7" s="3720" t="s">
        <v>2537</v>
      </c>
      <c r="Z7" s="3721"/>
      <c r="AA7" s="769">
        <f>D7/F7</f>
        <v>1.0101010101010102</v>
      </c>
      <c r="AB7" s="769">
        <f>D7/H7</f>
        <v>1.0101010101010102</v>
      </c>
      <c r="AC7" s="769">
        <f>D7/J7</f>
        <v>1.0101010101010102</v>
      </c>
    </row>
    <row r="8" spans="1:29" s="117" customFormat="1" ht="1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720" t="s">
        <v>2540</v>
      </c>
      <c r="Q8" s="3721"/>
      <c r="R8" s="766" t="s">
        <v>17</v>
      </c>
      <c r="S8" s="767">
        <f t="shared" si="0"/>
        <v>100</v>
      </c>
      <c r="T8" s="766" t="s">
        <v>17</v>
      </c>
      <c r="U8" s="767">
        <f t="shared" si="1"/>
        <v>100</v>
      </c>
      <c r="V8" s="766" t="s">
        <v>17</v>
      </c>
      <c r="W8" s="767">
        <f t="shared" si="2"/>
        <v>100</v>
      </c>
      <c r="X8" s="768"/>
      <c r="Y8" s="3720" t="s">
        <v>2540</v>
      </c>
      <c r="Z8" s="3721"/>
      <c r="AA8" s="769">
        <f t="shared" ref="AA8:AA46" si="3">D8/F8</f>
        <v>1</v>
      </c>
      <c r="AB8" s="769">
        <f t="shared" ref="AB8:AB46" si="4">D8/H8</f>
        <v>1</v>
      </c>
      <c r="AC8" s="769">
        <f t="shared" ref="AC8:AC46" si="5">D8/J8</f>
        <v>1</v>
      </c>
    </row>
    <row r="9" spans="1:29" s="117" customFormat="1" ht="14.4">
      <c r="A9" s="414" t="s">
        <v>2541</v>
      </c>
      <c r="B9" s="71" t="s">
        <v>2542</v>
      </c>
      <c r="C9" s="2965"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734"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769">
        <f t="shared" si="5"/>
        <v>1</v>
      </c>
    </row>
    <row r="10" spans="1:29" s="426" customFormat="1" ht="28.8">
      <c r="A10" s="420"/>
      <c r="B10" s="421" t="s">
        <v>2545</v>
      </c>
      <c r="C10" s="422" t="s">
        <v>3434</v>
      </c>
      <c r="D10" s="136">
        <v>100</v>
      </c>
      <c r="E10" s="422" t="s">
        <v>3434</v>
      </c>
      <c r="F10" s="424">
        <f>SUMIF(65:65,E10,66:66)-SUMIF(65:65,C10,66:66)+100</f>
        <v>100</v>
      </c>
      <c r="G10" s="422" t="s">
        <v>3434</v>
      </c>
      <c r="H10" s="136">
        <f>SUMIF(65:65,G10,66:66)-SUMIF(65:65,C10,66:66)+100</f>
        <v>100</v>
      </c>
      <c r="I10" s="422" t="s">
        <v>3434</v>
      </c>
      <c r="J10" s="136">
        <f>SUMIF(65:65,I10,66:66)-SUMIF(65:65,C10,66:66)+100</f>
        <v>100</v>
      </c>
      <c r="K10" s="611"/>
      <c r="L10" s="1118"/>
      <c r="M10" s="1119"/>
      <c r="N10" s="1119"/>
      <c r="O10" s="1119"/>
      <c r="P10" s="3734"/>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734"/>
      <c r="Q11" s="1775" t="str">
        <f t="shared" si="6"/>
        <v>容积率</v>
      </c>
      <c r="R11" s="766" t="s">
        <v>17</v>
      </c>
      <c r="S11" s="767">
        <f t="shared" si="0"/>
        <v>100</v>
      </c>
      <c r="T11" s="766" t="s">
        <v>17</v>
      </c>
      <c r="U11" s="767">
        <f t="shared" si="1"/>
        <v>100</v>
      </c>
      <c r="V11" s="766" t="s">
        <v>17</v>
      </c>
      <c r="W11" s="767">
        <f t="shared" si="2"/>
        <v>100</v>
      </c>
      <c r="X11" s="768"/>
      <c r="Y11" s="3521"/>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734"/>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734"/>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5.6"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734"/>
      <c r="Q14" s="1775">
        <f t="shared" si="6"/>
        <v>111</v>
      </c>
      <c r="R14" s="766" t="s">
        <v>17</v>
      </c>
      <c r="S14" s="767">
        <f t="shared" si="0"/>
        <v>100</v>
      </c>
      <c r="T14" s="766" t="s">
        <v>17</v>
      </c>
      <c r="U14" s="767">
        <f t="shared" si="1"/>
        <v>100</v>
      </c>
      <c r="V14" s="766" t="s">
        <v>17</v>
      </c>
      <c r="W14" s="767">
        <f t="shared" si="2"/>
        <v>100</v>
      </c>
      <c r="X14" s="768"/>
      <c r="Y14" s="3521"/>
      <c r="Z14" s="55">
        <f t="shared" si="7"/>
        <v>111</v>
      </c>
      <c r="AA14" s="769">
        <f t="shared" si="3"/>
        <v>1</v>
      </c>
      <c r="AB14" s="769">
        <f t="shared" si="4"/>
        <v>1</v>
      </c>
      <c r="AC14" s="769">
        <f t="shared" si="5"/>
        <v>1</v>
      </c>
    </row>
    <row r="15" spans="1:29" ht="86.4">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748" t="s">
        <v>2548</v>
      </c>
      <c r="Q15" s="1790" t="str">
        <f t="shared" si="6"/>
        <v>商业繁华度</v>
      </c>
      <c r="R15" s="770" t="s">
        <v>17</v>
      </c>
      <c r="S15" s="771">
        <f t="shared" si="0"/>
        <v>100</v>
      </c>
      <c r="T15" s="770" t="s">
        <v>17</v>
      </c>
      <c r="U15" s="771">
        <f t="shared" si="1"/>
        <v>100</v>
      </c>
      <c r="V15" s="770" t="s">
        <v>17</v>
      </c>
      <c r="W15" s="771">
        <f t="shared" si="2"/>
        <v>100</v>
      </c>
      <c r="X15" s="1793"/>
      <c r="Y15" s="3750"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749"/>
      <c r="Q16" s="1790"/>
      <c r="R16" s="770"/>
      <c r="S16" s="771"/>
      <c r="T16" s="770"/>
      <c r="U16" s="771"/>
      <c r="V16" s="770"/>
      <c r="W16" s="771"/>
      <c r="X16" s="1793"/>
      <c r="Y16" s="3751"/>
      <c r="Z16" s="1794"/>
      <c r="AA16" s="1791">
        <v>1</v>
      </c>
      <c r="AB16" s="1791">
        <v>1</v>
      </c>
      <c r="AC16" s="1791">
        <v>1</v>
      </c>
    </row>
    <row r="17" spans="1:29" ht="144">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749"/>
      <c r="Q17" s="1790" t="str">
        <f>B17</f>
        <v>交通便捷度</v>
      </c>
      <c r="R17" s="770" t="s">
        <v>17</v>
      </c>
      <c r="S17" s="771">
        <f>F17</f>
        <v>100</v>
      </c>
      <c r="T17" s="770" t="s">
        <v>17</v>
      </c>
      <c r="U17" s="771">
        <f>H17</f>
        <v>100</v>
      </c>
      <c r="V17" s="770" t="s">
        <v>17</v>
      </c>
      <c r="W17" s="771">
        <f>J17</f>
        <v>100</v>
      </c>
      <c r="X17" s="1793"/>
      <c r="Y17" s="3751"/>
      <c r="Z17" s="1794" t="str">
        <f>Q17</f>
        <v>交通便捷度</v>
      </c>
      <c r="AA17" s="1791">
        <f t="shared" si="3"/>
        <v>1</v>
      </c>
      <c r="AB17" s="1791">
        <f t="shared" si="4"/>
        <v>1</v>
      </c>
      <c r="AC17" s="1791">
        <f t="shared" si="5"/>
        <v>1</v>
      </c>
    </row>
    <row r="18" spans="1:29" ht="15">
      <c r="A18" s="427"/>
      <c r="B18" s="455"/>
      <c r="C18" s="2581" t="s">
        <v>3058</v>
      </c>
      <c r="D18" s="449"/>
      <c r="E18" s="2581" t="s">
        <v>3058</v>
      </c>
      <c r="F18" s="452"/>
      <c r="G18" s="2581" t="s">
        <v>3058</v>
      </c>
      <c r="H18" s="447"/>
      <c r="I18" s="2581" t="s">
        <v>3058</v>
      </c>
      <c r="J18" s="447"/>
      <c r="K18" s="614"/>
      <c r="L18" s="1123"/>
      <c r="M18" s="1114"/>
      <c r="N18" s="1114"/>
      <c r="O18" s="1114"/>
      <c r="P18" s="3749"/>
      <c r="Q18" s="1790"/>
      <c r="R18" s="770"/>
      <c r="S18" s="771"/>
      <c r="T18" s="770"/>
      <c r="U18" s="771"/>
      <c r="V18" s="770"/>
      <c r="W18" s="771"/>
      <c r="X18" s="1793"/>
      <c r="Y18" s="3751"/>
      <c r="Z18" s="1794"/>
      <c r="AA18" s="1791">
        <v>1</v>
      </c>
      <c r="AB18" s="1791">
        <v>1</v>
      </c>
      <c r="AC18" s="1791">
        <v>1</v>
      </c>
    </row>
    <row r="19" spans="1:29" ht="57.6">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749"/>
      <c r="Q19" s="1790" t="str">
        <f>B19</f>
        <v>公共配套设施</v>
      </c>
      <c r="R19" s="770" t="s">
        <v>17</v>
      </c>
      <c r="S19" s="771">
        <f>F19</f>
        <v>100</v>
      </c>
      <c r="T19" s="770" t="s">
        <v>17</v>
      </c>
      <c r="U19" s="771">
        <f>H19</f>
        <v>100</v>
      </c>
      <c r="V19" s="770" t="s">
        <v>17</v>
      </c>
      <c r="W19" s="771">
        <f>J19</f>
        <v>100</v>
      </c>
      <c r="X19" s="1793"/>
      <c r="Y19" s="3751"/>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749"/>
      <c r="Q20" s="1790"/>
      <c r="R20" s="770"/>
      <c r="S20" s="771"/>
      <c r="T20" s="770"/>
      <c r="U20" s="771"/>
      <c r="V20" s="770"/>
      <c r="W20" s="771"/>
      <c r="X20" s="1793"/>
      <c r="Y20" s="3751"/>
      <c r="Z20" s="1794"/>
      <c r="AA20" s="1791">
        <v>1</v>
      </c>
      <c r="AB20" s="1791">
        <v>1</v>
      </c>
      <c r="AC20" s="1791">
        <v>1</v>
      </c>
    </row>
    <row r="21" spans="1:29" ht="57.6">
      <c r="A21" s="427"/>
      <c r="B21" s="1366" t="s">
        <v>2643</v>
      </c>
      <c r="C21" s="2580" t="str">
        <f>估价对象房地状况!C8</f>
        <v>估价对象所在区域基础设施水平“七通一平</v>
      </c>
      <c r="D21" s="454">
        <v>100</v>
      </c>
      <c r="E21" s="2967" t="s">
        <v>3065</v>
      </c>
      <c r="F21" s="457">
        <f>SUMIF(82:82,E22,83:83)-SUMIF(82:82,C22,83:83)+100</f>
        <v>100</v>
      </c>
      <c r="G21" s="2967" t="s">
        <v>3065</v>
      </c>
      <c r="H21" s="449">
        <f>SUMIF(82:82,G22,83:83)-SUMIF(82:82,C22,83:83)+100</f>
        <v>100</v>
      </c>
      <c r="I21" s="2967" t="s">
        <v>3065</v>
      </c>
      <c r="J21" s="449">
        <f>SUMIF(82:82,I22,83:83)-SUMIF(82:82,C22,83:83)+100</f>
        <v>100</v>
      </c>
      <c r="K21" s="613">
        <v>1</v>
      </c>
      <c r="L21" s="1123"/>
      <c r="M21" s="1114"/>
      <c r="N21" s="1114"/>
      <c r="O21" s="1114"/>
      <c r="P21" s="3749"/>
      <c r="Q21" s="1790" t="str">
        <f>B21</f>
        <v>基础设施水平</v>
      </c>
      <c r="R21" s="770" t="s">
        <v>17</v>
      </c>
      <c r="S21" s="771">
        <f>F21</f>
        <v>100</v>
      </c>
      <c r="T21" s="770" t="s">
        <v>17</v>
      </c>
      <c r="U21" s="771">
        <f>H21</f>
        <v>100</v>
      </c>
      <c r="V21" s="770" t="s">
        <v>17</v>
      </c>
      <c r="W21" s="771">
        <f>J21</f>
        <v>100</v>
      </c>
      <c r="X21" s="1793"/>
      <c r="Y21" s="3751"/>
      <c r="Z21" s="1794" t="str">
        <f>Q21</f>
        <v>基础设施水平</v>
      </c>
      <c r="AA21" s="1791">
        <f t="shared" ref="AA21" si="8">D21/F21</f>
        <v>1</v>
      </c>
      <c r="AB21" s="1791">
        <f t="shared" ref="AB21" si="9">D21/H21</f>
        <v>1</v>
      </c>
      <c r="AC21" s="1791">
        <f t="shared" ref="AC21" si="10">D21/J21</f>
        <v>1</v>
      </c>
    </row>
    <row r="22" spans="1:29" ht="15">
      <c r="A22" s="427"/>
      <c r="B22" s="1366"/>
      <c r="C22" s="2581" t="s">
        <v>3097</v>
      </c>
      <c r="D22" s="447"/>
      <c r="E22" s="2581" t="s">
        <v>3097</v>
      </c>
      <c r="F22" s="448"/>
      <c r="G22" s="2581" t="s">
        <v>3097</v>
      </c>
      <c r="H22" s="447"/>
      <c r="I22" s="2581" t="s">
        <v>3097</v>
      </c>
      <c r="J22" s="447"/>
      <c r="K22" s="1365"/>
      <c r="L22" s="1123"/>
      <c r="M22" s="1114"/>
      <c r="N22" s="1114"/>
      <c r="O22" s="1114"/>
      <c r="P22" s="3749"/>
      <c r="Q22" s="1790"/>
      <c r="R22" s="770"/>
      <c r="S22" s="771"/>
      <c r="T22" s="770"/>
      <c r="U22" s="771"/>
      <c r="V22" s="770"/>
      <c r="W22" s="771"/>
      <c r="X22" s="1793"/>
      <c r="Y22" s="3751"/>
      <c r="Z22" s="1794"/>
      <c r="AA22" s="1791">
        <v>1</v>
      </c>
      <c r="AB22" s="1791">
        <v>1</v>
      </c>
      <c r="AC22" s="1791">
        <v>1</v>
      </c>
    </row>
    <row r="23" spans="1:29" ht="115.2">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749"/>
      <c r="Q23" s="1790" t="str">
        <f>B23</f>
        <v>自然及人文环境</v>
      </c>
      <c r="R23" s="770" t="s">
        <v>17</v>
      </c>
      <c r="S23" s="771">
        <f>F23</f>
        <v>100</v>
      </c>
      <c r="T23" s="770" t="s">
        <v>17</v>
      </c>
      <c r="U23" s="771">
        <f>H23</f>
        <v>100</v>
      </c>
      <c r="V23" s="770" t="s">
        <v>17</v>
      </c>
      <c r="W23" s="771">
        <f>J23</f>
        <v>100</v>
      </c>
      <c r="X23" s="1793"/>
      <c r="Y23" s="3751"/>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749"/>
      <c r="Q24" s="1790"/>
      <c r="R24" s="770"/>
      <c r="S24" s="771"/>
      <c r="T24" s="770"/>
      <c r="U24" s="771"/>
      <c r="V24" s="770"/>
      <c r="W24" s="771"/>
      <c r="X24" s="1793"/>
      <c r="Y24" s="3751"/>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749"/>
      <c r="Q25" s="1790" t="str">
        <f t="shared" ref="Q25:Q46" si="11">B25</f>
        <v>临街状况</v>
      </c>
      <c r="R25" s="770" t="s">
        <v>17</v>
      </c>
      <c r="S25" s="771">
        <f>F25</f>
        <v>100</v>
      </c>
      <c r="T25" s="770" t="s">
        <v>17</v>
      </c>
      <c r="U25" s="771">
        <f>H25</f>
        <v>100</v>
      </c>
      <c r="V25" s="770" t="s">
        <v>17</v>
      </c>
      <c r="W25" s="771">
        <f>J25</f>
        <v>100</v>
      </c>
      <c r="X25" s="1793"/>
      <c r="Y25" s="3751"/>
      <c r="Z25" s="1794" t="str">
        <f>Q25</f>
        <v>临街状况</v>
      </c>
      <c r="AA25" s="1791">
        <f t="shared" si="3"/>
        <v>1</v>
      </c>
      <c r="AB25" s="1791">
        <f t="shared" si="4"/>
        <v>1</v>
      </c>
      <c r="AC25" s="1791">
        <f t="shared" si="5"/>
        <v>1</v>
      </c>
    </row>
    <row r="26" spans="1:29" ht="15">
      <c r="A26" s="427"/>
      <c r="B26" s="1368" t="s">
        <v>2645</v>
      </c>
      <c r="C26" s="2970" t="s">
        <v>3442</v>
      </c>
      <c r="D26" s="434">
        <v>100</v>
      </c>
      <c r="E26" s="2970" t="s">
        <v>3075</v>
      </c>
      <c r="F26" s="460">
        <f>SUMIF(88:88,E26,89:89)-SUMIF(88:88,C26,89:89)+100</f>
        <v>100</v>
      </c>
      <c r="G26" s="2970" t="s">
        <v>3075</v>
      </c>
      <c r="H26" s="434">
        <f>SUMIF(88:88,G26,89:89)-SUMIF(88:88,C26,89:89)+100</f>
        <v>100</v>
      </c>
      <c r="I26" s="2970" t="s">
        <v>3075</v>
      </c>
      <c r="J26" s="434">
        <f>SUMIF(88:88,I26,89:89)-SUMIF(88:88,C26,89:89)+100</f>
        <v>100</v>
      </c>
      <c r="K26" s="612"/>
      <c r="L26" s="1123"/>
      <c r="M26" s="1114"/>
      <c r="N26" s="1114"/>
      <c r="O26" s="1114"/>
      <c r="P26" s="3749"/>
      <c r="Q26" s="1790" t="str">
        <f t="shared" si="11"/>
        <v>平面位置/可视性</v>
      </c>
      <c r="R26" s="770" t="s">
        <v>17</v>
      </c>
      <c r="S26" s="771">
        <f>F26</f>
        <v>100</v>
      </c>
      <c r="T26" s="770" t="s">
        <v>17</v>
      </c>
      <c r="U26" s="771">
        <f>H26</f>
        <v>100</v>
      </c>
      <c r="V26" s="770" t="s">
        <v>17</v>
      </c>
      <c r="W26" s="771">
        <f>J26</f>
        <v>100</v>
      </c>
      <c r="X26" s="1793"/>
      <c r="Y26" s="3751"/>
      <c r="Z26" s="1794" t="str">
        <f>Q26</f>
        <v>平面位置/可视性</v>
      </c>
      <c r="AA26" s="1791">
        <f t="shared" si="3"/>
        <v>1</v>
      </c>
      <c r="AB26" s="1791">
        <f t="shared" si="4"/>
        <v>1</v>
      </c>
      <c r="AC26" s="1791">
        <f t="shared" si="5"/>
        <v>1</v>
      </c>
    </row>
    <row r="27" spans="1:29" s="117" customFormat="1" ht="15">
      <c r="A27" s="430"/>
      <c r="B27" s="450" t="s">
        <v>2646</v>
      </c>
      <c r="C27" s="2638" t="s">
        <v>3058</v>
      </c>
      <c r="D27" s="461">
        <v>100</v>
      </c>
      <c r="E27" s="2638" t="s">
        <v>3058</v>
      </c>
      <c r="F27" s="463">
        <f>SUMIF(90:90,E27,91:91)-SUMIF(90:90,C27,91:91)+100</f>
        <v>100</v>
      </c>
      <c r="G27" s="2638" t="s">
        <v>3058</v>
      </c>
      <c r="H27" s="461">
        <f>SUMIF(90:90,G27,91:91)-SUMIF(90:90,C27,91:91)+100</f>
        <v>100</v>
      </c>
      <c r="I27" s="2638" t="s">
        <v>3058</v>
      </c>
      <c r="J27" s="461">
        <f>SUMIF(90:90,I27,91:91)-SUMIF(90:90,C27,91:91)+100</f>
        <v>100</v>
      </c>
      <c r="K27" s="611">
        <v>2</v>
      </c>
      <c r="L27" s="1115"/>
      <c r="M27" s="1116"/>
      <c r="N27" s="1116"/>
      <c r="O27" s="1116"/>
      <c r="P27" s="3749"/>
      <c r="Q27" s="1775" t="str">
        <f t="shared" si="11"/>
        <v>人流量</v>
      </c>
      <c r="R27" s="766" t="s">
        <v>17</v>
      </c>
      <c r="S27" s="767">
        <f>F27</f>
        <v>100</v>
      </c>
      <c r="T27" s="766" t="s">
        <v>17</v>
      </c>
      <c r="U27" s="767">
        <f>H27</f>
        <v>100</v>
      </c>
      <c r="V27" s="766" t="s">
        <v>17</v>
      </c>
      <c r="W27" s="767">
        <f>J27</f>
        <v>100</v>
      </c>
      <c r="X27" s="768"/>
      <c r="Y27" s="3751"/>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749"/>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751"/>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749"/>
      <c r="Q29" s="1790">
        <f t="shared" si="11"/>
        <v>111</v>
      </c>
      <c r="R29" s="770" t="s">
        <v>17</v>
      </c>
      <c r="S29" s="771">
        <f t="shared" si="12"/>
        <v>100</v>
      </c>
      <c r="T29" s="770" t="s">
        <v>17</v>
      </c>
      <c r="U29" s="771">
        <f t="shared" si="13"/>
        <v>100</v>
      </c>
      <c r="V29" s="770" t="s">
        <v>17</v>
      </c>
      <c r="W29" s="771">
        <f t="shared" si="14"/>
        <v>100</v>
      </c>
      <c r="X29" s="1793"/>
      <c r="Y29" s="3751"/>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749"/>
      <c r="Q30" s="1790">
        <f t="shared" si="11"/>
        <v>111</v>
      </c>
      <c r="R30" s="770" t="s">
        <v>17</v>
      </c>
      <c r="S30" s="771">
        <f t="shared" si="12"/>
        <v>100</v>
      </c>
      <c r="T30" s="770" t="s">
        <v>17</v>
      </c>
      <c r="U30" s="771">
        <f t="shared" si="13"/>
        <v>100</v>
      </c>
      <c r="V30" s="770" t="s">
        <v>17</v>
      </c>
      <c r="W30" s="771">
        <f t="shared" si="14"/>
        <v>100</v>
      </c>
      <c r="X30" s="1793"/>
      <c r="Y30" s="3751"/>
      <c r="Z30" s="1794">
        <f t="shared" si="15"/>
        <v>111</v>
      </c>
      <c r="AA30" s="1791">
        <f t="shared" si="3"/>
        <v>1</v>
      </c>
      <c r="AB30" s="1791">
        <f t="shared" si="4"/>
        <v>1</v>
      </c>
      <c r="AC30" s="1791">
        <f t="shared" si="5"/>
        <v>1</v>
      </c>
    </row>
    <row r="31" spans="1:29" ht="15.6"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749"/>
      <c r="Q31" s="1790">
        <f t="shared" si="11"/>
        <v>111</v>
      </c>
      <c r="R31" s="770" t="s">
        <v>17</v>
      </c>
      <c r="S31" s="771">
        <f t="shared" si="12"/>
        <v>100</v>
      </c>
      <c r="T31" s="770" t="s">
        <v>17</v>
      </c>
      <c r="U31" s="771">
        <f t="shared" si="13"/>
        <v>100</v>
      </c>
      <c r="V31" s="770" t="s">
        <v>17</v>
      </c>
      <c r="W31" s="771">
        <f t="shared" si="14"/>
        <v>100</v>
      </c>
      <c r="X31" s="1793"/>
      <c r="Y31" s="3751"/>
      <c r="Z31" s="1794">
        <f t="shared" si="15"/>
        <v>111</v>
      </c>
      <c r="AA31" s="1791">
        <f t="shared" si="3"/>
        <v>1</v>
      </c>
      <c r="AB31" s="1791">
        <f t="shared" si="4"/>
        <v>1</v>
      </c>
      <c r="AC31" s="1791">
        <f t="shared" si="5"/>
        <v>1</v>
      </c>
    </row>
    <row r="32" spans="1:29" ht="15">
      <c r="A32" s="439" t="s">
        <v>2551</v>
      </c>
      <c r="B32" s="71" t="s">
        <v>2648</v>
      </c>
      <c r="C32" s="2590" t="s">
        <v>3094</v>
      </c>
      <c r="D32" s="466">
        <v>100</v>
      </c>
      <c r="E32" s="2590" t="s">
        <v>3094</v>
      </c>
      <c r="F32" s="460">
        <f>SUMIF(100:100,E32,101:101)-SUMIF(100:100,C32,101:101)+100</f>
        <v>100</v>
      </c>
      <c r="G32" s="2590" t="s">
        <v>3094</v>
      </c>
      <c r="H32" s="434">
        <f>SUMIF(100:100,G32,101:101)-SUMIF(100:100,C32,101:101)+100</f>
        <v>100</v>
      </c>
      <c r="I32" s="2590" t="s">
        <v>3094</v>
      </c>
      <c r="J32" s="466">
        <f>SUMIF(100:100,I32,101:101)-SUMIF(100:100,C32,101:101)+100</f>
        <v>100</v>
      </c>
      <c r="K32" s="611">
        <v>3</v>
      </c>
      <c r="L32" s="1123"/>
      <c r="M32" s="1114"/>
      <c r="N32" s="1114"/>
      <c r="O32" s="1114"/>
      <c r="P32" s="3752" t="s">
        <v>2553</v>
      </c>
      <c r="Q32" s="1790" t="str">
        <f t="shared" si="11"/>
        <v>商业类型</v>
      </c>
      <c r="R32" s="770" t="s">
        <v>17</v>
      </c>
      <c r="S32" s="771">
        <f t="shared" si="12"/>
        <v>100</v>
      </c>
      <c r="T32" s="770" t="s">
        <v>17</v>
      </c>
      <c r="U32" s="771">
        <f t="shared" si="13"/>
        <v>100</v>
      </c>
      <c r="V32" s="770" t="s">
        <v>17</v>
      </c>
      <c r="W32" s="771">
        <f t="shared" si="14"/>
        <v>100</v>
      </c>
      <c r="X32" s="1793"/>
      <c r="Y32" s="3755"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753"/>
      <c r="Q33" s="772" t="str">
        <f t="shared" si="11"/>
        <v>项目建筑规模</v>
      </c>
      <c r="R33" s="773" t="s">
        <v>17</v>
      </c>
      <c r="S33" s="774">
        <f t="shared" si="12"/>
        <v>102.5</v>
      </c>
      <c r="T33" s="773" t="s">
        <v>17</v>
      </c>
      <c r="U33" s="774">
        <f t="shared" si="13"/>
        <v>102</v>
      </c>
      <c r="V33" s="773" t="s">
        <v>17</v>
      </c>
      <c r="W33" s="774">
        <f t="shared" si="14"/>
        <v>102</v>
      </c>
      <c r="X33" s="775"/>
      <c r="Y33" s="3755"/>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3044</v>
      </c>
      <c r="D34" s="434">
        <v>100</v>
      </c>
      <c r="E34" s="2592" t="s">
        <v>3044</v>
      </c>
      <c r="F34" s="460">
        <f>SUMIF(105:105,E34,106:106)-SUMIF(105:105,C34,106:106)+100</f>
        <v>100</v>
      </c>
      <c r="G34" s="2592" t="s">
        <v>3044</v>
      </c>
      <c r="H34" s="434">
        <f>SUMIF(105:105,G34,106:106)-SUMIF(105:105,C34,106:106)+100</f>
        <v>100</v>
      </c>
      <c r="I34" s="2592" t="s">
        <v>3044</v>
      </c>
      <c r="J34" s="434">
        <f>SUMIF(105:105,I34,106:106)-SUMIF(105:105,C34,106:106)+100</f>
        <v>100</v>
      </c>
      <c r="K34" s="611">
        <v>2</v>
      </c>
      <c r="L34" s="1123"/>
      <c r="M34" s="1114"/>
      <c r="N34" s="1114"/>
      <c r="O34" s="1114"/>
      <c r="P34" s="3753"/>
      <c r="Q34" s="1790" t="str">
        <f t="shared" si="11"/>
        <v>建筑结构</v>
      </c>
      <c r="R34" s="770" t="s">
        <v>17</v>
      </c>
      <c r="S34" s="771">
        <f t="shared" si="12"/>
        <v>100</v>
      </c>
      <c r="T34" s="770" t="s">
        <v>17</v>
      </c>
      <c r="U34" s="771">
        <f t="shared" si="13"/>
        <v>100</v>
      </c>
      <c r="V34" s="770" t="s">
        <v>17</v>
      </c>
      <c r="W34" s="771">
        <f t="shared" si="14"/>
        <v>100</v>
      </c>
      <c r="X34" s="1793"/>
      <c r="Y34" s="3755"/>
      <c r="Z34" s="1794" t="str">
        <f t="shared" si="15"/>
        <v>建筑结构</v>
      </c>
      <c r="AA34" s="1791">
        <f t="shared" si="3"/>
        <v>1</v>
      </c>
      <c r="AB34" s="1791">
        <f t="shared" si="4"/>
        <v>1</v>
      </c>
      <c r="AC34" s="1791">
        <f t="shared" si="5"/>
        <v>1</v>
      </c>
    </row>
    <row r="35" spans="1:29" ht="15">
      <c r="A35" s="471"/>
      <c r="B35" s="421" t="s">
        <v>2649</v>
      </c>
      <c r="C35" s="2586" t="s">
        <v>3096</v>
      </c>
      <c r="D35" s="434">
        <v>100</v>
      </c>
      <c r="E35" s="2586" t="s">
        <v>3096</v>
      </c>
      <c r="F35" s="460">
        <f>SUMIF(107:107,E35,108:108)-SUMIF(107:107,C35,108:108)+100</f>
        <v>100</v>
      </c>
      <c r="G35" s="2586" t="s">
        <v>3096</v>
      </c>
      <c r="H35" s="434">
        <f>SUMIF(107:107,G35,108:108)-SUMIF(107:107,C35,108:108)+100</f>
        <v>100</v>
      </c>
      <c r="I35" s="2586" t="s">
        <v>3096</v>
      </c>
      <c r="J35" s="434">
        <f>SUMIF(107:107,I35,108:108)-SUMIF(107:107,C35,108:108)+100</f>
        <v>100</v>
      </c>
      <c r="K35" s="611">
        <v>2</v>
      </c>
      <c r="L35" s="1123"/>
      <c r="M35" s="1114"/>
      <c r="N35" s="1114"/>
      <c r="O35" s="1114"/>
      <c r="P35" s="3753"/>
      <c r="Q35" s="1790" t="str">
        <f t="shared" si="11"/>
        <v>公共部分装修</v>
      </c>
      <c r="R35" s="770" t="s">
        <v>17</v>
      </c>
      <c r="S35" s="771">
        <f t="shared" si="12"/>
        <v>100</v>
      </c>
      <c r="T35" s="770" t="s">
        <v>17</v>
      </c>
      <c r="U35" s="771">
        <f t="shared" si="13"/>
        <v>100</v>
      </c>
      <c r="V35" s="770" t="s">
        <v>17</v>
      </c>
      <c r="W35" s="771">
        <f t="shared" si="14"/>
        <v>100</v>
      </c>
      <c r="X35" s="1793"/>
      <c r="Y35" s="3755"/>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753"/>
      <c r="Q36" s="1790" t="str">
        <f t="shared" si="11"/>
        <v>成新度</v>
      </c>
      <c r="R36" s="770" t="s">
        <v>17</v>
      </c>
      <c r="S36" s="771">
        <f t="shared" si="12"/>
        <v>100</v>
      </c>
      <c r="T36" s="770" t="s">
        <v>17</v>
      </c>
      <c r="U36" s="771">
        <f t="shared" si="13"/>
        <v>100</v>
      </c>
      <c r="V36" s="770" t="s">
        <v>17</v>
      </c>
      <c r="W36" s="771">
        <f t="shared" si="14"/>
        <v>100</v>
      </c>
      <c r="X36" s="1793"/>
      <c r="Y36" s="3755"/>
      <c r="Z36" s="1794" t="str">
        <f t="shared" si="15"/>
        <v>成新度</v>
      </c>
      <c r="AA36" s="1791">
        <f t="shared" si="3"/>
        <v>1</v>
      </c>
      <c r="AB36" s="1791">
        <f t="shared" si="4"/>
        <v>1</v>
      </c>
      <c r="AC36" s="1791">
        <f t="shared" si="5"/>
        <v>1</v>
      </c>
    </row>
    <row r="37" spans="1:29" s="117" customFormat="1" ht="15">
      <c r="A37" s="472"/>
      <c r="B37" s="421" t="s">
        <v>2651</v>
      </c>
      <c r="C37" s="2586" t="s">
        <v>3444</v>
      </c>
      <c r="D37" s="136">
        <v>100</v>
      </c>
      <c r="E37" s="2586" t="s">
        <v>3444</v>
      </c>
      <c r="F37" s="460">
        <f>SUMIF(112:112,E37,113:113)-SUMIF(112:112,C37,113:113)+100</f>
        <v>100</v>
      </c>
      <c r="G37" s="2586" t="s">
        <v>3444</v>
      </c>
      <c r="H37" s="434">
        <f>SUMIF(112:112,G37,113:113)-SUMIF(112:112,C37,113:113)+100</f>
        <v>100</v>
      </c>
      <c r="I37" s="2586" t="s">
        <v>3444</v>
      </c>
      <c r="J37" s="434">
        <f>SUMIF(112:112,I37,113:113)-SUMIF(112:112,C37,113:113)+100</f>
        <v>100</v>
      </c>
      <c r="K37" s="611">
        <v>1</v>
      </c>
      <c r="L37" s="1115"/>
      <c r="M37" s="1116"/>
      <c r="N37" s="1116"/>
      <c r="O37" s="1116"/>
      <c r="P37" s="3753"/>
      <c r="Q37" s="1775" t="str">
        <f t="shared" si="11"/>
        <v>市政基础设施</v>
      </c>
      <c r="R37" s="766" t="s">
        <v>17</v>
      </c>
      <c r="S37" s="767">
        <f t="shared" si="12"/>
        <v>100</v>
      </c>
      <c r="T37" s="766" t="s">
        <v>17</v>
      </c>
      <c r="U37" s="767">
        <f t="shared" si="13"/>
        <v>100</v>
      </c>
      <c r="V37" s="766" t="s">
        <v>17</v>
      </c>
      <c r="W37" s="767">
        <f t="shared" si="14"/>
        <v>100</v>
      </c>
      <c r="X37" s="768"/>
      <c r="Y37" s="3755"/>
      <c r="Z37" s="55" t="str">
        <f t="shared" si="15"/>
        <v>市政基础设施</v>
      </c>
      <c r="AA37" s="769">
        <f t="shared" si="3"/>
        <v>1</v>
      </c>
      <c r="AB37" s="769">
        <f t="shared" si="4"/>
        <v>1</v>
      </c>
      <c r="AC37" s="769">
        <f t="shared" si="5"/>
        <v>1</v>
      </c>
    </row>
    <row r="38" spans="1:29" ht="15">
      <c r="A38" s="471"/>
      <c r="B38" s="421" t="s">
        <v>2652</v>
      </c>
      <c r="C38" s="2586" t="s">
        <v>3098</v>
      </c>
      <c r="D38" s="434">
        <v>100</v>
      </c>
      <c r="E38" s="2586" t="s">
        <v>3098</v>
      </c>
      <c r="F38" s="460">
        <f>SUMIF(114:114,E38,115:115)-SUMIF(114:114,C38,115:115)+100</f>
        <v>100</v>
      </c>
      <c r="G38" s="2586" t="s">
        <v>3098</v>
      </c>
      <c r="H38" s="434">
        <f>SUMIF(114:114,G38,115:115)-SUMIF(114:114,C38,115:115)+100</f>
        <v>100</v>
      </c>
      <c r="I38" s="2586" t="s">
        <v>3098</v>
      </c>
      <c r="J38" s="434">
        <f>SUMIF(114:114,I38,115:115)-SUMIF(114:114,C38,115:115)+100</f>
        <v>100</v>
      </c>
      <c r="K38" s="611">
        <v>3</v>
      </c>
      <c r="L38" s="1123"/>
      <c r="M38" s="1114"/>
      <c r="N38" s="1114"/>
      <c r="O38" s="1114"/>
      <c r="P38" s="3753" t="s">
        <v>2553</v>
      </c>
      <c r="Q38" s="1790" t="str">
        <f t="shared" si="11"/>
        <v>业态</v>
      </c>
      <c r="R38" s="770" t="s">
        <v>17</v>
      </c>
      <c r="S38" s="771">
        <f t="shared" si="12"/>
        <v>100</v>
      </c>
      <c r="T38" s="770" t="s">
        <v>17</v>
      </c>
      <c r="U38" s="771">
        <f t="shared" si="13"/>
        <v>100</v>
      </c>
      <c r="V38" s="770" t="s">
        <v>17</v>
      </c>
      <c r="W38" s="771">
        <f t="shared" si="14"/>
        <v>100</v>
      </c>
      <c r="X38" s="1793"/>
      <c r="Y38" s="3755" t="s">
        <v>2553</v>
      </c>
      <c r="Z38" s="1794" t="str">
        <f t="shared" si="15"/>
        <v>业态</v>
      </c>
      <c r="AA38" s="1791">
        <f t="shared" si="3"/>
        <v>1</v>
      </c>
      <c r="AB38" s="1791">
        <f t="shared" si="4"/>
        <v>1</v>
      </c>
      <c r="AC38" s="1791">
        <f t="shared" si="5"/>
        <v>1</v>
      </c>
    </row>
    <row r="39" spans="1:29" ht="15">
      <c r="A39" s="471"/>
      <c r="B39" s="421" t="s">
        <v>2653</v>
      </c>
      <c r="C39" s="2586" t="s">
        <v>3099</v>
      </c>
      <c r="D39" s="434">
        <v>100</v>
      </c>
      <c r="E39" s="2586" t="s">
        <v>3099</v>
      </c>
      <c r="F39" s="460">
        <f>SUMIF(116:116,E39,117:117)-SUMIF(116:116,C39,117:117)+100</f>
        <v>100</v>
      </c>
      <c r="G39" s="2586" t="s">
        <v>3099</v>
      </c>
      <c r="H39" s="434">
        <f>SUMIF(116:116,G39,117:117)-SUMIF(116:116,C39,117:117)+100</f>
        <v>100</v>
      </c>
      <c r="I39" s="2586" t="s">
        <v>3102</v>
      </c>
      <c r="J39" s="434">
        <f>SUMIF(116:116,I39,117:117)-SUMIF(116:116,C39,117:117)+100</f>
        <v>103</v>
      </c>
      <c r="K39" s="611">
        <v>3</v>
      </c>
      <c r="L39" s="1123"/>
      <c r="M39" s="1114"/>
      <c r="N39" s="1114"/>
      <c r="O39" s="1114"/>
      <c r="P39" s="3753"/>
      <c r="Q39" s="1790" t="str">
        <f t="shared" si="11"/>
        <v>层高</v>
      </c>
      <c r="R39" s="770" t="s">
        <v>17</v>
      </c>
      <c r="S39" s="771">
        <f t="shared" si="12"/>
        <v>100</v>
      </c>
      <c r="T39" s="770" t="s">
        <v>17</v>
      </c>
      <c r="U39" s="771">
        <f t="shared" si="13"/>
        <v>100</v>
      </c>
      <c r="V39" s="770" t="s">
        <v>17</v>
      </c>
      <c r="W39" s="771">
        <f t="shared" si="14"/>
        <v>103</v>
      </c>
      <c r="X39" s="1793"/>
      <c r="Y39" s="3755"/>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753"/>
      <c r="Q40" s="1790" t="str">
        <f t="shared" si="11"/>
        <v>单套建筑面积</v>
      </c>
      <c r="R40" s="770" t="s">
        <v>17</v>
      </c>
      <c r="S40" s="771">
        <f t="shared" si="12"/>
        <v>100</v>
      </c>
      <c r="T40" s="770" t="s">
        <v>17</v>
      </c>
      <c r="U40" s="771">
        <f t="shared" si="13"/>
        <v>100</v>
      </c>
      <c r="V40" s="770" t="s">
        <v>17</v>
      </c>
      <c r="W40" s="771">
        <f t="shared" si="14"/>
        <v>100</v>
      </c>
      <c r="X40" s="1793"/>
      <c r="Y40" s="3755"/>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753"/>
      <c r="Q41" s="772" t="str">
        <f t="shared" si="11"/>
        <v>进深比</v>
      </c>
      <c r="R41" s="773" t="s">
        <v>17</v>
      </c>
      <c r="S41" s="774">
        <f t="shared" si="12"/>
        <v>100</v>
      </c>
      <c r="T41" s="773" t="s">
        <v>17</v>
      </c>
      <c r="U41" s="774">
        <f t="shared" si="13"/>
        <v>100</v>
      </c>
      <c r="V41" s="773" t="s">
        <v>17</v>
      </c>
      <c r="W41" s="774">
        <f t="shared" si="14"/>
        <v>100</v>
      </c>
      <c r="X41" s="775"/>
      <c r="Y41" s="3755"/>
      <c r="Z41" s="776" t="str">
        <f t="shared" si="15"/>
        <v>进深比</v>
      </c>
      <c r="AA41" s="1791">
        <f t="shared" si="3"/>
        <v>1</v>
      </c>
      <c r="AB41" s="1791">
        <f t="shared" si="4"/>
        <v>1</v>
      </c>
      <c r="AC41" s="1791">
        <f t="shared" si="5"/>
        <v>1</v>
      </c>
    </row>
    <row r="42" spans="1:29" ht="15">
      <c r="A42" s="471"/>
      <c r="B42" s="421" t="s">
        <v>2656</v>
      </c>
      <c r="C42" s="2586" t="s">
        <v>3101</v>
      </c>
      <c r="D42" s="434">
        <v>100</v>
      </c>
      <c r="E42" s="2586" t="s">
        <v>3101</v>
      </c>
      <c r="F42" s="460">
        <f>SUMIF(122:122,E42,123:123)-SUMIF(122:122,C42,123:123)+100</f>
        <v>100</v>
      </c>
      <c r="G42" s="2586" t="s">
        <v>3101</v>
      </c>
      <c r="H42" s="434">
        <f>SUMIF(122:122,G42,123:123)-SUMIF(122:122,C42,123:123)+100</f>
        <v>100</v>
      </c>
      <c r="I42" s="2586" t="s">
        <v>3101</v>
      </c>
      <c r="J42" s="434">
        <f>SUMIF(122:122,I42,123:123)-SUMIF(122:122,C42,123:123)+100</f>
        <v>100</v>
      </c>
      <c r="K42" s="611">
        <v>3</v>
      </c>
      <c r="L42" s="1123"/>
      <c r="M42" s="1114"/>
      <c r="N42" s="1114"/>
      <c r="O42" s="1114"/>
      <c r="P42" s="3753"/>
      <c r="Q42" s="1790" t="str">
        <f t="shared" si="11"/>
        <v>内部装修</v>
      </c>
      <c r="R42" s="770" t="s">
        <v>17</v>
      </c>
      <c r="S42" s="771">
        <f t="shared" si="12"/>
        <v>100</v>
      </c>
      <c r="T42" s="770" t="s">
        <v>17</v>
      </c>
      <c r="U42" s="771">
        <f t="shared" si="13"/>
        <v>100</v>
      </c>
      <c r="V42" s="770" t="s">
        <v>17</v>
      </c>
      <c r="W42" s="771">
        <f t="shared" si="14"/>
        <v>100</v>
      </c>
      <c r="X42" s="1793"/>
      <c r="Y42" s="3755"/>
      <c r="Z42" s="1794" t="str">
        <f t="shared" si="15"/>
        <v>内部装修</v>
      </c>
      <c r="AA42" s="1791">
        <f t="shared" si="3"/>
        <v>1</v>
      </c>
      <c r="AB42" s="1791">
        <f t="shared" si="4"/>
        <v>1</v>
      </c>
      <c r="AC42" s="1791">
        <f t="shared" si="5"/>
        <v>1</v>
      </c>
    </row>
    <row r="43" spans="1:29" ht="28.8">
      <c r="A43" s="471"/>
      <c r="B43" s="421" t="s">
        <v>2564</v>
      </c>
      <c r="C43" s="2586" t="s">
        <v>3058</v>
      </c>
      <c r="D43" s="434">
        <v>100</v>
      </c>
      <c r="E43" s="2586" t="s">
        <v>3058</v>
      </c>
      <c r="F43" s="460">
        <f>SUMIF(124:124,E43,125:125)-SUMIF(124:124,C43,125:125)+100</f>
        <v>100</v>
      </c>
      <c r="G43" s="2586" t="s">
        <v>3058</v>
      </c>
      <c r="H43" s="434">
        <f>SUMIF(124:124,G43,125:125)-SUMIF(124:124,C43,125:125)+100</f>
        <v>100</v>
      </c>
      <c r="I43" s="2586" t="s">
        <v>3058</v>
      </c>
      <c r="J43" s="434">
        <f>SUMIF(124:124,I43,125:125)-SUMIF(124:124,C43,125:125)+100</f>
        <v>100</v>
      </c>
      <c r="K43" s="611">
        <v>2</v>
      </c>
      <c r="L43" s="1123"/>
      <c r="M43" s="1114"/>
      <c r="N43" s="1114"/>
      <c r="O43" s="1114"/>
      <c r="P43" s="3753"/>
      <c r="Q43" s="1790" t="str">
        <f t="shared" si="11"/>
        <v>内部装修维护情况</v>
      </c>
      <c r="R43" s="770" t="s">
        <v>17</v>
      </c>
      <c r="S43" s="771">
        <f t="shared" si="12"/>
        <v>100</v>
      </c>
      <c r="T43" s="770" t="s">
        <v>17</v>
      </c>
      <c r="U43" s="771">
        <f t="shared" si="13"/>
        <v>100</v>
      </c>
      <c r="V43" s="770" t="s">
        <v>17</v>
      </c>
      <c r="W43" s="771">
        <f t="shared" si="14"/>
        <v>100</v>
      </c>
      <c r="X43" s="1793"/>
      <c r="Y43" s="3755"/>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753"/>
      <c r="Q44" s="1775">
        <f t="shared" si="11"/>
        <v>0</v>
      </c>
      <c r="R44" s="766" t="s">
        <v>17</v>
      </c>
      <c r="S44" s="767">
        <f t="shared" si="12"/>
        <v>100</v>
      </c>
      <c r="T44" s="766" t="s">
        <v>17</v>
      </c>
      <c r="U44" s="767">
        <f t="shared" si="13"/>
        <v>100</v>
      </c>
      <c r="V44" s="766" t="s">
        <v>17</v>
      </c>
      <c r="W44" s="767">
        <f t="shared" si="14"/>
        <v>100</v>
      </c>
      <c r="X44" s="768"/>
      <c r="Y44" s="3755"/>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753"/>
      <c r="Q45" s="1790">
        <f t="shared" si="11"/>
        <v>0</v>
      </c>
      <c r="R45" s="770" t="s">
        <v>17</v>
      </c>
      <c r="S45" s="771">
        <f t="shared" si="12"/>
        <v>100</v>
      </c>
      <c r="T45" s="770" t="s">
        <v>17</v>
      </c>
      <c r="U45" s="771">
        <f t="shared" si="13"/>
        <v>100</v>
      </c>
      <c r="V45" s="770" t="s">
        <v>17</v>
      </c>
      <c r="W45" s="771">
        <f t="shared" si="14"/>
        <v>100</v>
      </c>
      <c r="X45" s="1793"/>
      <c r="Y45" s="3755"/>
      <c r="Z45" s="1794">
        <f t="shared" si="15"/>
        <v>0</v>
      </c>
      <c r="AA45" s="1791">
        <f t="shared" si="3"/>
        <v>1</v>
      </c>
      <c r="AB45" s="1791">
        <f t="shared" si="4"/>
        <v>1</v>
      </c>
      <c r="AC45" s="1791">
        <f t="shared" si="5"/>
        <v>1</v>
      </c>
    </row>
    <row r="46" spans="1:29" ht="15.6"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754"/>
      <c r="Q46" s="1790">
        <f t="shared" si="11"/>
        <v>1</v>
      </c>
      <c r="R46" s="770" t="s">
        <v>17</v>
      </c>
      <c r="S46" s="771">
        <f t="shared" si="12"/>
        <v>100</v>
      </c>
      <c r="T46" s="770" t="s">
        <v>17</v>
      </c>
      <c r="U46" s="771">
        <f t="shared" si="13"/>
        <v>100</v>
      </c>
      <c r="V46" s="770" t="s">
        <v>17</v>
      </c>
      <c r="W46" s="771">
        <f t="shared" si="14"/>
        <v>100</v>
      </c>
      <c r="X46" s="1793"/>
      <c r="Y46" s="3756"/>
      <c r="Z46" s="1794">
        <f t="shared" si="15"/>
        <v>1</v>
      </c>
      <c r="AA46" s="1791">
        <f t="shared" si="3"/>
        <v>1</v>
      </c>
      <c r="AB46" s="1791">
        <f t="shared" si="4"/>
        <v>1</v>
      </c>
      <c r="AC46" s="1791">
        <f t="shared" si="5"/>
        <v>1</v>
      </c>
    </row>
    <row r="47" spans="1:29" ht="14.4">
      <c r="A47" s="478" t="s">
        <v>2565</v>
      </c>
      <c r="B47" s="479"/>
      <c r="C47" s="1388" t="s">
        <v>1</v>
      </c>
      <c r="D47" s="1389"/>
      <c r="E47" s="1390">
        <v>50400</v>
      </c>
      <c r="F47" s="1391"/>
      <c r="G47" s="1390">
        <v>50285</v>
      </c>
      <c r="H47" s="1393"/>
      <c r="I47" s="1390">
        <v>53620</v>
      </c>
      <c r="J47" s="1393"/>
      <c r="K47" s="779"/>
      <c r="L47" s="1126"/>
      <c r="M47" s="1127"/>
      <c r="N47" s="1114"/>
      <c r="O47" s="1127"/>
      <c r="P47" s="3757" t="str">
        <f>A47</f>
        <v>成交单价（元/平方米）</v>
      </c>
      <c r="Q47" s="3757"/>
      <c r="R47" s="3719">
        <f>E47</f>
        <v>50400</v>
      </c>
      <c r="S47" s="3719"/>
      <c r="T47" s="3719">
        <f>G47</f>
        <v>50285</v>
      </c>
      <c r="U47" s="3719"/>
      <c r="V47" s="3719">
        <f>I47</f>
        <v>53620</v>
      </c>
      <c r="W47" s="3719"/>
      <c r="X47" s="755"/>
      <c r="Y47" s="777"/>
      <c r="Z47" s="755"/>
      <c r="AA47" s="755"/>
      <c r="AB47" s="755"/>
      <c r="AC47" s="755"/>
    </row>
    <row r="48" spans="1:29" ht="15" thickBot="1">
      <c r="A48" s="485" t="s">
        <v>2657</v>
      </c>
      <c r="B48" s="486"/>
      <c r="C48" s="1394">
        <f>R49</f>
        <v>50339</v>
      </c>
      <c r="D48" s="1395"/>
      <c r="E48" s="1396">
        <f>R48</f>
        <v>49667</v>
      </c>
      <c r="F48" s="1396"/>
      <c r="G48" s="1394">
        <f>T48</f>
        <v>49797</v>
      </c>
      <c r="H48" s="1395"/>
      <c r="I48" s="1396">
        <f>V48</f>
        <v>51553</v>
      </c>
      <c r="J48" s="1395"/>
      <c r="K48" s="780"/>
      <c r="L48" s="1126"/>
      <c r="M48" s="1127"/>
      <c r="N48" s="1114"/>
      <c r="O48" s="1127"/>
      <c r="P48" s="3757" t="str">
        <f>A48</f>
        <v>比较价值（元/平方米）</v>
      </c>
      <c r="Q48" s="3757"/>
      <c r="R48" s="3758">
        <f>IF(F1="售价",ROUND(PRODUCT(R47,AA7:AA46),0),ROUND(PRODUCT(R47,AA7:AA46),1))</f>
        <v>49667</v>
      </c>
      <c r="S48" s="3758"/>
      <c r="T48" s="3758">
        <f>IF(F1="售价",ROUND(PRODUCT(T47,AB7:AB46),0),ROUND(PRODUCT(T47,AB7:AB46),1))</f>
        <v>49797</v>
      </c>
      <c r="U48" s="3758"/>
      <c r="V48" s="3758">
        <f>IF(F1="售价",ROUND(PRODUCT(V47,AC7:AC46),0),ROUND(PRODUCT(V47,AC7:AC46),1))</f>
        <v>51553</v>
      </c>
      <c r="W48" s="3758"/>
      <c r="X48" s="755"/>
      <c r="Y48" s="755"/>
      <c r="Z48" s="755"/>
      <c r="AA48" s="755"/>
      <c r="AB48" s="755"/>
      <c r="AC48" s="755"/>
    </row>
    <row r="49" spans="1:29" ht="15" thickBot="1">
      <c r="A49" s="491" t="s">
        <v>2658</v>
      </c>
      <c r="B49" s="492"/>
      <c r="C49" s="1398">
        <f>R49</f>
        <v>50339</v>
      </c>
      <c r="D49" s="1398"/>
      <c r="E49" s="1398"/>
      <c r="F49" s="1398"/>
      <c r="G49" s="1398"/>
      <c r="H49" s="1398"/>
      <c r="I49" s="1398"/>
      <c r="J49" s="1398"/>
      <c r="K49" s="781"/>
      <c r="L49" s="1126"/>
      <c r="M49" s="1127"/>
      <c r="N49" s="1114"/>
      <c r="O49" s="1127"/>
      <c r="P49" s="3759" t="str">
        <f>A49</f>
        <v>估价对象XX用房的比较价值（楼面单价，元/平方米）</v>
      </c>
      <c r="Q49" s="3760"/>
      <c r="R49" s="3761">
        <f>IF(F1="售价",ROUND(AVERAGE(R48:V48),0),ROUND(AVERAGE(R48:V48),1))</f>
        <v>50339</v>
      </c>
      <c r="S49" s="3761"/>
      <c r="T49" s="3761"/>
      <c r="U49" s="3761"/>
      <c r="V49" s="3761"/>
      <c r="W49" s="3761"/>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1.4758290212817382E-2</v>
      </c>
      <c r="F52" s="499" t="str">
        <f>IF(OR(E52&gt;=0.3,E52&lt;=-0.3),"超过30%","")</f>
        <v/>
      </c>
      <c r="G52" s="498">
        <f>IF(G47&lt;G48,G48/G47-1,G47/G48-1)</f>
        <v>9.7997871357711208E-3</v>
      </c>
      <c r="H52" s="499" t="str">
        <f>IF(OR(G52&gt;=0.3,G52&lt;=-0.3),"超过30%","")</f>
        <v/>
      </c>
      <c r="I52" s="498">
        <f>IF(I47&lt;I48,I48/I47-1,I47/I48-1)</f>
        <v>4.0094659864605253E-2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2.6174320977712107E-3</v>
      </c>
      <c r="F53" s="499" t="str">
        <f>IF(OR(E53&gt;=0.2,E53&lt;=-0.2),"超过20%","")</f>
        <v/>
      </c>
      <c r="G53" s="498">
        <f>IF(G48&lt;I48,I48/G48-1,G48/I48-1)</f>
        <v>3.5263168463963712E-2</v>
      </c>
      <c r="H53" s="499" t="str">
        <f>IF(OR(G53&gt;=0.2,G53&lt;=-0.2),"超过20%","")</f>
        <v/>
      </c>
      <c r="I53" s="498">
        <f>IF(I48&lt;E48,E48/I48-1,I48/E48-1)</f>
        <v>3.7972899510741565E-2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2.2"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4.4">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c r="A59" s="508"/>
      <c r="B59" s="509"/>
      <c r="C59" s="1553">
        <v>100</v>
      </c>
      <c r="D59" s="1553">
        <v>99</v>
      </c>
      <c r="E59" s="511">
        <v>99</v>
      </c>
      <c r="F59" s="511">
        <v>99</v>
      </c>
      <c r="G59" s="511">
        <v>99</v>
      </c>
      <c r="H59" s="511"/>
      <c r="I59" s="511"/>
      <c r="J59" s="511"/>
      <c r="K59" s="511"/>
      <c r="L59" s="511"/>
      <c r="M59" s="512"/>
      <c r="N59" s="511"/>
      <c r="O59" s="512"/>
      <c r="P59" s="2601"/>
    </row>
    <row r="60" spans="1:29" s="117" customFormat="1" ht="15" thickBot="1">
      <c r="A60" s="514" t="s">
        <v>2573</v>
      </c>
      <c r="B60" s="515"/>
      <c r="C60" s="516"/>
      <c r="D60" s="517"/>
      <c r="E60" s="517"/>
      <c r="F60" s="517"/>
      <c r="G60" s="517"/>
      <c r="H60" s="517"/>
      <c r="I60" s="517"/>
      <c r="J60" s="517"/>
      <c r="K60" s="517"/>
      <c r="L60" s="517"/>
      <c r="M60" s="518"/>
      <c r="N60" s="517"/>
      <c r="O60" s="518"/>
      <c r="P60" s="2601"/>
      <c r="Q60" s="503"/>
    </row>
    <row r="61" spans="1:29" s="117" customFormat="1" ht="14.4">
      <c r="A61" s="520" t="s">
        <v>2538</v>
      </c>
      <c r="B61" s="509"/>
      <c r="C61" s="521" t="s">
        <v>2640</v>
      </c>
      <c r="D61" s="522"/>
      <c r="E61" s="522"/>
      <c r="F61" s="522"/>
      <c r="G61" s="522"/>
      <c r="H61" s="522"/>
      <c r="I61" s="522"/>
      <c r="J61" s="522"/>
      <c r="K61" s="522"/>
      <c r="L61" s="523"/>
      <c r="M61" s="524"/>
      <c r="N61" s="1134"/>
      <c r="O61" s="1134"/>
      <c r="P61" s="2602"/>
      <c r="Q61" s="503"/>
    </row>
    <row r="62" spans="1:29" s="117" customFormat="1" ht="14.4" thickBot="1">
      <c r="A62" s="520"/>
      <c r="B62" s="509"/>
      <c r="C62" s="510">
        <v>100</v>
      </c>
      <c r="D62" s="511"/>
      <c r="E62" s="511"/>
      <c r="F62" s="511"/>
      <c r="G62" s="511"/>
      <c r="H62" s="511"/>
      <c r="I62" s="511"/>
      <c r="J62" s="511"/>
      <c r="K62" s="511"/>
      <c r="L62" s="511"/>
      <c r="M62" s="513"/>
      <c r="N62" s="1134"/>
      <c r="O62" s="1134"/>
      <c r="P62" s="2601"/>
      <c r="Q62" s="503"/>
    </row>
    <row r="63" spans="1:29" ht="14.4">
      <c r="A63" s="526" t="s">
        <v>2576</v>
      </c>
      <c r="B63" s="527" t="s">
        <v>2542</v>
      </c>
      <c r="C63" s="528" t="str">
        <f>C9</f>
        <v>商业</v>
      </c>
      <c r="D63" s="529"/>
      <c r="E63" s="529"/>
      <c r="F63" s="529"/>
      <c r="G63" s="529"/>
      <c r="H63" s="529"/>
      <c r="I63" s="529"/>
      <c r="J63" s="529"/>
      <c r="K63" s="530"/>
      <c r="L63" s="531"/>
      <c r="M63" s="532"/>
      <c r="N63" s="1135"/>
      <c r="O63" s="1135"/>
      <c r="P63" s="2603"/>
      <c r="Q63" s="503"/>
    </row>
    <row r="64" spans="1:29" ht="14.4" thickBot="1">
      <c r="A64" s="533"/>
      <c r="B64" s="534"/>
      <c r="C64" s="535">
        <v>100</v>
      </c>
      <c r="D64" s="535"/>
      <c r="E64" s="535"/>
      <c r="F64" s="535"/>
      <c r="G64" s="535"/>
      <c r="H64" s="535"/>
      <c r="I64" s="535"/>
      <c r="J64" s="535"/>
      <c r="K64" s="535"/>
      <c r="L64" s="535"/>
      <c r="M64" s="536"/>
      <c r="N64" s="1136"/>
      <c r="O64" s="1136"/>
      <c r="P64" s="2603"/>
      <c r="Q64" s="503"/>
    </row>
    <row r="65" spans="1:17" ht="29.4"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c r="A68" s="533"/>
      <c r="B68" s="547"/>
      <c r="C68" s="548">
        <v>0</v>
      </c>
      <c r="D68" s="548">
        <v>2</v>
      </c>
      <c r="E68" s="548">
        <v>4</v>
      </c>
      <c r="F68" s="548">
        <v>6</v>
      </c>
      <c r="G68" s="548">
        <v>8</v>
      </c>
      <c r="H68" s="548">
        <v>10</v>
      </c>
      <c r="I68" s="548">
        <v>12</v>
      </c>
      <c r="J68" s="548"/>
      <c r="K68" s="549"/>
      <c r="L68" s="550"/>
      <c r="M68" s="551"/>
      <c r="N68" s="1135"/>
      <c r="O68" s="1135"/>
      <c r="P68" s="260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4.4" thickTop="1">
      <c r="A70" s="552"/>
      <c r="B70" s="537">
        <f>B12</f>
        <v>111</v>
      </c>
      <c r="C70" s="553"/>
      <c r="D70" s="553"/>
      <c r="E70" s="553"/>
      <c r="F70" s="553"/>
      <c r="G70" s="553"/>
      <c r="H70" s="554"/>
      <c r="I70" s="554"/>
      <c r="J70" s="554"/>
      <c r="K70" s="554"/>
      <c r="L70" s="555"/>
      <c r="M70" s="556"/>
      <c r="N70" s="1137"/>
      <c r="O70" s="1137"/>
      <c r="P70" s="2604"/>
      <c r="Q70" s="558"/>
    </row>
    <row r="71" spans="1:17" s="470" customFormat="1" ht="14.4" thickBot="1">
      <c r="A71" s="552"/>
      <c r="B71" s="542"/>
      <c r="C71" s="559"/>
      <c r="D71" s="535"/>
      <c r="E71" s="535"/>
      <c r="F71" s="535"/>
      <c r="G71" s="535"/>
      <c r="H71" s="535"/>
      <c r="I71" s="535"/>
      <c r="J71" s="535"/>
      <c r="K71" s="535"/>
      <c r="L71" s="535"/>
      <c r="M71" s="536"/>
      <c r="N71" s="1136"/>
      <c r="O71" s="1136"/>
      <c r="P71" s="2604"/>
      <c r="Q71" s="558"/>
    </row>
    <row r="72" spans="1:17" s="470" customFormat="1" ht="14.4" thickTop="1">
      <c r="A72" s="552"/>
      <c r="B72" s="537">
        <f>B13</f>
        <v>111</v>
      </c>
      <c r="C72" s="553"/>
      <c r="D72" s="553"/>
      <c r="E72" s="553"/>
      <c r="F72" s="553"/>
      <c r="G72" s="553"/>
      <c r="H72" s="554"/>
      <c r="I72" s="554"/>
      <c r="J72" s="554"/>
      <c r="K72" s="554"/>
      <c r="L72" s="555"/>
      <c r="M72" s="556"/>
      <c r="N72" s="1137"/>
      <c r="O72" s="1137"/>
      <c r="P72" s="2605"/>
      <c r="Q72" s="560"/>
    </row>
    <row r="73" spans="1:17" s="470" customFormat="1" ht="14.4" thickBot="1">
      <c r="A73" s="552"/>
      <c r="B73" s="542"/>
      <c r="C73" s="559"/>
      <c r="D73" s="535"/>
      <c r="E73" s="535"/>
      <c r="F73" s="535"/>
      <c r="G73" s="559"/>
      <c r="H73" s="561"/>
      <c r="I73" s="561"/>
      <c r="J73" s="561"/>
      <c r="K73" s="561"/>
      <c r="L73" s="561"/>
      <c r="M73" s="562"/>
      <c r="N73" s="1137"/>
      <c r="O73" s="1137"/>
      <c r="P73" s="2604"/>
      <c r="Q73" s="558"/>
    </row>
    <row r="74" spans="1:17" s="470" customFormat="1" ht="14.4" thickTop="1">
      <c r="A74" s="552"/>
      <c r="B74" s="545">
        <f>B14</f>
        <v>111</v>
      </c>
      <c r="C74" s="553"/>
      <c r="D74" s="553"/>
      <c r="E74" s="553"/>
      <c r="F74" s="553"/>
      <c r="G74" s="522"/>
      <c r="H74" s="563"/>
      <c r="I74" s="563"/>
      <c r="J74" s="563"/>
      <c r="K74" s="563"/>
      <c r="L74" s="564"/>
      <c r="M74" s="565"/>
      <c r="N74" s="1137"/>
      <c r="O74" s="1137"/>
      <c r="P74" s="2606"/>
      <c r="Q74" s="558"/>
    </row>
    <row r="75" spans="1:17" s="470" customFormat="1" ht="14.4" thickBot="1">
      <c r="A75" s="567"/>
      <c r="B75" s="568"/>
      <c r="C75" s="569"/>
      <c r="D75" s="569"/>
      <c r="E75" s="569"/>
      <c r="F75" s="569"/>
      <c r="G75" s="569"/>
      <c r="H75" s="570"/>
      <c r="I75" s="570"/>
      <c r="J75" s="570"/>
      <c r="K75" s="570"/>
      <c r="L75" s="570"/>
      <c r="M75" s="571"/>
      <c r="N75" s="1137"/>
      <c r="O75" s="1137"/>
      <c r="P75" s="2604"/>
      <c r="Q75" s="558"/>
    </row>
    <row r="76" spans="1:17" ht="14.4">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4.4"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4.4"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 thickTop="1">
      <c r="A86" s="578"/>
      <c r="B86" s="537" t="s">
        <v>2668</v>
      </c>
      <c r="C86" s="2969" t="s">
        <v>3066</v>
      </c>
      <c r="D86" s="2969" t="s">
        <v>3067</v>
      </c>
      <c r="E86" s="2969" t="s">
        <v>3068</v>
      </c>
      <c r="F86" s="2969" t="s">
        <v>3069</v>
      </c>
      <c r="G86" s="553"/>
      <c r="H86" s="553"/>
      <c r="I86" s="553"/>
      <c r="J86" s="553"/>
      <c r="K86" s="553"/>
      <c r="L86" s="579"/>
      <c r="M86" s="580"/>
      <c r="N86" s="1134"/>
      <c r="O86" s="1134"/>
      <c r="P86" s="2603"/>
      <c r="Q86" s="503"/>
    </row>
    <row r="87" spans="1:17" s="117" customFormat="1" ht="14.4"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5.6" thickTop="1" thickBot="1">
      <c r="A88" s="578"/>
      <c r="B88" s="537" t="str">
        <f>B26</f>
        <v>平面位置/可视性</v>
      </c>
      <c r="C88" s="2969" t="s">
        <v>3070</v>
      </c>
      <c r="D88" s="2969" t="s">
        <v>3071</v>
      </c>
      <c r="E88" s="2969" t="s">
        <v>3072</v>
      </c>
      <c r="F88" s="2969" t="s">
        <v>3073</v>
      </c>
      <c r="G88" s="2969" t="s">
        <v>3074</v>
      </c>
      <c r="H88" s="553"/>
      <c r="I88" s="553"/>
      <c r="J88" s="553"/>
      <c r="K88" s="553"/>
      <c r="L88" s="553"/>
      <c r="M88" s="580"/>
      <c r="N88" s="1134"/>
      <c r="O88" s="1134"/>
      <c r="P88" s="2603"/>
      <c r="Q88" s="503"/>
    </row>
    <row r="89" spans="1:17" s="117" customFormat="1" ht="15.6"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 thickTop="1">
      <c r="A90" s="552"/>
      <c r="B90" s="537" t="str">
        <f>B27</f>
        <v>人流量</v>
      </c>
      <c r="C90" s="2969" t="s">
        <v>3070</v>
      </c>
      <c r="D90" s="2969" t="s">
        <v>3071</v>
      </c>
      <c r="E90" s="2969" t="s">
        <v>3072</v>
      </c>
      <c r="F90" s="2969" t="s">
        <v>3073</v>
      </c>
      <c r="G90" s="2969" t="s">
        <v>3074</v>
      </c>
      <c r="H90" s="554"/>
      <c r="I90" s="554"/>
      <c r="J90" s="554"/>
      <c r="K90" s="554"/>
      <c r="L90" s="555"/>
      <c r="M90" s="556"/>
      <c r="N90" s="1137"/>
      <c r="O90" s="1137"/>
      <c r="P90" s="2604"/>
      <c r="Q90" s="558"/>
    </row>
    <row r="91" spans="1:17" s="470" customFormat="1" ht="14.4"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 thickTop="1">
      <c r="A92" s="533"/>
      <c r="B92" s="537" t="str">
        <f>B28</f>
        <v>楼层</v>
      </c>
      <c r="C92" s="2969">
        <v>1</v>
      </c>
      <c r="D92" s="553"/>
      <c r="E92" s="553"/>
      <c r="F92" s="553"/>
      <c r="G92" s="553"/>
      <c r="H92" s="553"/>
      <c r="I92" s="553"/>
      <c r="J92" s="553"/>
      <c r="K92" s="553"/>
      <c r="L92" s="579"/>
      <c r="M92" s="580"/>
      <c r="N92" s="1135"/>
      <c r="O92" s="1135"/>
      <c r="P92" s="2603"/>
      <c r="Q92" s="503"/>
    </row>
    <row r="93" spans="1:17" ht="14.4" thickBot="1">
      <c r="A93" s="533"/>
      <c r="B93" s="542"/>
      <c r="C93" s="535">
        <v>100</v>
      </c>
      <c r="D93" s="535"/>
      <c r="E93" s="535"/>
      <c r="F93" s="535"/>
      <c r="G93" s="535"/>
      <c r="H93" s="535"/>
      <c r="I93" s="535"/>
      <c r="J93" s="535"/>
      <c r="K93" s="535"/>
      <c r="L93" s="535"/>
      <c r="M93" s="536"/>
      <c r="N93" s="1136"/>
      <c r="O93" s="1136"/>
      <c r="P93" s="2603"/>
      <c r="Q93" s="503"/>
    </row>
    <row r="94" spans="1:17" ht="14.4" thickTop="1">
      <c r="A94" s="533"/>
      <c r="B94" s="537">
        <f>B29</f>
        <v>111</v>
      </c>
      <c r="C94" s="553"/>
      <c r="D94" s="553"/>
      <c r="E94" s="553"/>
      <c r="F94" s="553"/>
      <c r="G94" s="582"/>
      <c r="H94" s="582"/>
      <c r="I94" s="582"/>
      <c r="J94" s="582"/>
      <c r="K94" s="583"/>
      <c r="L94" s="584"/>
      <c r="M94" s="585"/>
      <c r="N94" s="1135"/>
      <c r="O94" s="1135"/>
      <c r="P94" s="2603"/>
      <c r="Q94" s="503"/>
    </row>
    <row r="95" spans="1:17" ht="14.4" thickBot="1">
      <c r="A95" s="533"/>
      <c r="B95" s="542"/>
      <c r="C95" s="559"/>
      <c r="D95" s="535"/>
      <c r="E95" s="535"/>
      <c r="F95" s="535"/>
      <c r="G95" s="535"/>
      <c r="H95" s="535"/>
      <c r="I95" s="535"/>
      <c r="J95" s="535"/>
      <c r="K95" s="535"/>
      <c r="L95" s="535"/>
      <c r="M95" s="536"/>
      <c r="N95" s="1136"/>
      <c r="O95" s="1136"/>
      <c r="P95" s="2603"/>
      <c r="Q95" s="503"/>
    </row>
    <row r="96" spans="1:17" ht="14.4" thickTop="1">
      <c r="A96" s="533"/>
      <c r="B96" s="537">
        <f>B30</f>
        <v>111</v>
      </c>
      <c r="C96" s="553"/>
      <c r="D96" s="553"/>
      <c r="E96" s="553"/>
      <c r="F96" s="553"/>
      <c r="G96" s="582"/>
      <c r="H96" s="582"/>
      <c r="I96" s="582"/>
      <c r="J96" s="582"/>
      <c r="K96" s="583"/>
      <c r="L96" s="584"/>
      <c r="M96" s="585"/>
      <c r="N96" s="1135"/>
      <c r="O96" s="1135"/>
      <c r="P96" s="2603"/>
      <c r="Q96" s="503"/>
    </row>
    <row r="97" spans="1:17" ht="14.4" thickBot="1">
      <c r="A97" s="533"/>
      <c r="B97" s="542"/>
      <c r="C97" s="559"/>
      <c r="D97" s="535"/>
      <c r="E97" s="535"/>
      <c r="F97" s="535"/>
      <c r="G97" s="535"/>
      <c r="H97" s="535"/>
      <c r="I97" s="535"/>
      <c r="J97" s="535"/>
      <c r="K97" s="535"/>
      <c r="L97" s="535"/>
      <c r="M97" s="536"/>
      <c r="N97" s="1136"/>
      <c r="O97" s="1136"/>
      <c r="P97" s="2603"/>
      <c r="Q97" s="503"/>
    </row>
    <row r="98" spans="1:17" ht="14.4" thickTop="1">
      <c r="A98" s="533"/>
      <c r="B98" s="545">
        <f>B31</f>
        <v>111</v>
      </c>
      <c r="C98" s="553"/>
      <c r="D98" s="553"/>
      <c r="E98" s="553"/>
      <c r="F98" s="553"/>
      <c r="G98" s="586"/>
      <c r="H98" s="586"/>
      <c r="I98" s="586"/>
      <c r="J98" s="586"/>
      <c r="K98" s="587"/>
      <c r="L98" s="588"/>
      <c r="M98" s="589"/>
      <c r="N98" s="1135"/>
      <c r="O98" s="1135"/>
      <c r="P98" s="2603"/>
      <c r="Q98" s="503"/>
    </row>
    <row r="99" spans="1:17" ht="14.4" thickBot="1">
      <c r="A99" s="2609"/>
      <c r="B99" s="568"/>
      <c r="C99" s="569"/>
      <c r="D99" s="569"/>
      <c r="E99" s="569"/>
      <c r="F99" s="569"/>
      <c r="G99" s="590"/>
      <c r="H99" s="590"/>
      <c r="I99" s="590"/>
      <c r="J99" s="590"/>
      <c r="K99" s="590"/>
      <c r="L99" s="590"/>
      <c r="M99" s="591"/>
      <c r="N99" s="1136"/>
      <c r="O99" s="1136"/>
      <c r="P99" s="2603"/>
      <c r="Q99" s="503"/>
    </row>
    <row r="100" spans="1:17" ht="14.4">
      <c r="A100" s="526" t="s">
        <v>2551</v>
      </c>
      <c r="B100" s="527" t="s">
        <v>2669</v>
      </c>
      <c r="C100" s="2971" t="s">
        <v>3076</v>
      </c>
      <c r="D100" s="2971" t="s">
        <v>3077</v>
      </c>
      <c r="E100" s="2971" t="s">
        <v>3078</v>
      </c>
      <c r="F100" s="529"/>
      <c r="G100" s="529"/>
      <c r="H100" s="529"/>
      <c r="I100" s="529"/>
      <c r="J100" s="529"/>
      <c r="K100" s="530"/>
      <c r="L100" s="531"/>
      <c r="M100" s="532"/>
      <c r="N100" s="1135"/>
      <c r="O100" s="1135"/>
      <c r="P100" s="2603"/>
      <c r="Q100" s="503"/>
    </row>
    <row r="101" spans="1:17" ht="14.4"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8.2"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4.4"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3079</v>
      </c>
      <c r="D105" s="553"/>
      <c r="E105" s="582"/>
      <c r="F105" s="582"/>
      <c r="G105" s="582"/>
      <c r="H105" s="582"/>
      <c r="I105" s="582"/>
      <c r="J105" s="582"/>
      <c r="K105" s="583"/>
      <c r="L105" s="584"/>
      <c r="M105" s="585"/>
      <c r="N105" s="1135"/>
      <c r="O105" s="1135"/>
      <c r="P105" s="2603"/>
      <c r="Q105" s="503"/>
    </row>
    <row r="106" spans="1:17" ht="14.4"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3080</v>
      </c>
      <c r="D107" s="2969" t="s">
        <v>3081</v>
      </c>
      <c r="E107" s="2969" t="s">
        <v>3082</v>
      </c>
      <c r="F107" s="2972" t="s">
        <v>3083</v>
      </c>
      <c r="G107" s="582"/>
      <c r="H107" s="582"/>
      <c r="I107" s="582"/>
      <c r="J107" s="582"/>
      <c r="K107" s="583"/>
      <c r="L107" s="584"/>
      <c r="M107" s="585"/>
      <c r="N107" s="1135"/>
      <c r="O107" s="1135"/>
      <c r="P107" s="2603"/>
      <c r="Q107" s="503"/>
    </row>
    <row r="108" spans="1:17" ht="14.4"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4.4"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3084</v>
      </c>
      <c r="D112" s="2969" t="s">
        <v>3085</v>
      </c>
      <c r="E112" s="2969" t="s">
        <v>3086</v>
      </c>
      <c r="F112" s="2969" t="s">
        <v>3087</v>
      </c>
      <c r="G112" s="2969" t="s">
        <v>3088</v>
      </c>
      <c r="H112" s="582"/>
      <c r="I112" s="582"/>
      <c r="J112" s="582"/>
      <c r="K112" s="583"/>
      <c r="L112" s="584"/>
      <c r="M112" s="585"/>
      <c r="N112" s="1137"/>
      <c r="O112" s="1137"/>
      <c r="P112" s="2604"/>
      <c r="Q112" s="558"/>
    </row>
    <row r="113" spans="1:17" s="470" customFormat="1" ht="14.4"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3089</v>
      </c>
      <c r="D114" s="2969" t="s">
        <v>3090</v>
      </c>
      <c r="E114" s="582"/>
      <c r="F114" s="582"/>
      <c r="G114" s="582"/>
      <c r="H114" s="582"/>
      <c r="I114" s="582"/>
      <c r="J114" s="582"/>
      <c r="K114" s="583"/>
      <c r="L114" s="584"/>
      <c r="M114" s="585"/>
      <c r="N114" s="1135"/>
      <c r="O114" s="1135"/>
      <c r="P114" s="2603"/>
      <c r="Q114" s="503"/>
    </row>
    <row r="115" spans="1:17" ht="14.4"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3091</v>
      </c>
      <c r="D116" s="2969" t="s">
        <v>3092</v>
      </c>
      <c r="E116" s="553"/>
      <c r="F116" s="553"/>
      <c r="G116" s="553"/>
      <c r="H116" s="582"/>
      <c r="I116" s="582"/>
      <c r="J116" s="582"/>
      <c r="K116" s="583"/>
      <c r="L116" s="584"/>
      <c r="M116" s="585"/>
      <c r="N116" s="1135"/>
      <c r="O116" s="1135"/>
      <c r="P116" s="2603"/>
      <c r="Q116" s="503"/>
    </row>
    <row r="117" spans="1:17" ht="14.4"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4.4"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3093</v>
      </c>
      <c r="D120" s="582"/>
      <c r="E120" s="582"/>
      <c r="F120" s="582"/>
      <c r="G120" s="554"/>
      <c r="H120" s="554"/>
      <c r="I120" s="554"/>
      <c r="J120" s="554"/>
      <c r="K120" s="554"/>
      <c r="L120" s="555"/>
      <c r="M120" s="556"/>
      <c r="N120" s="1137"/>
      <c r="O120" s="1137"/>
      <c r="P120" s="2604"/>
      <c r="Q120" s="558"/>
    </row>
    <row r="121" spans="1:17" s="470" customFormat="1" ht="14.4"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3080</v>
      </c>
      <c r="D122" s="2969" t="s">
        <v>3081</v>
      </c>
      <c r="E122" s="2969" t="s">
        <v>3082</v>
      </c>
      <c r="F122" s="2972" t="s">
        <v>3083</v>
      </c>
      <c r="G122" s="582"/>
      <c r="H122" s="582"/>
      <c r="I122" s="582"/>
      <c r="J122" s="582"/>
      <c r="K122" s="583"/>
      <c r="L122" s="584"/>
      <c r="M122" s="585"/>
      <c r="N122" s="1135"/>
      <c r="O122" s="1135"/>
      <c r="P122" s="2603"/>
      <c r="Q122" s="503"/>
    </row>
    <row r="123" spans="1:17" ht="14.4"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29.4"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4.4"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4.4" thickBot="1">
      <c r="A127" s="552"/>
      <c r="B127" s="542"/>
      <c r="C127" s="559"/>
      <c r="D127" s="535"/>
      <c r="E127" s="535"/>
      <c r="F127" s="535"/>
      <c r="G127" s="559"/>
      <c r="H127" s="561"/>
      <c r="I127" s="561"/>
      <c r="J127" s="561"/>
      <c r="K127" s="561"/>
      <c r="L127" s="561"/>
      <c r="M127" s="562"/>
      <c r="N127" s="1137"/>
      <c r="O127" s="1137"/>
      <c r="P127" s="2604"/>
      <c r="Q127" s="558"/>
    </row>
    <row r="128" spans="1:17" ht="14.4" thickTop="1">
      <c r="A128" s="598"/>
      <c r="B128" s="537">
        <f>B45</f>
        <v>0</v>
      </c>
      <c r="C128" s="553"/>
      <c r="D128" s="553"/>
      <c r="E128" s="553"/>
      <c r="F128" s="553"/>
      <c r="G128" s="582"/>
      <c r="H128" s="582"/>
      <c r="I128" s="582"/>
      <c r="J128" s="582"/>
      <c r="K128" s="583"/>
      <c r="L128" s="584"/>
      <c r="M128" s="585"/>
      <c r="N128" s="1135"/>
      <c r="O128" s="1135"/>
      <c r="P128" s="2603"/>
      <c r="Q128" s="503"/>
    </row>
    <row r="129" spans="1:17" ht="14.4" thickBot="1">
      <c r="A129" s="533"/>
      <c r="B129" s="542"/>
      <c r="C129" s="559"/>
      <c r="D129" s="535"/>
      <c r="E129" s="535"/>
      <c r="F129" s="535"/>
      <c r="G129" s="535"/>
      <c r="H129" s="535"/>
      <c r="I129" s="535"/>
      <c r="J129" s="535"/>
      <c r="K129" s="535"/>
      <c r="L129" s="535"/>
      <c r="M129" s="536"/>
      <c r="N129" s="1136"/>
      <c r="O129" s="1136"/>
      <c r="P129" s="2603"/>
      <c r="Q129" s="503"/>
    </row>
    <row r="130" spans="1:17" ht="14.4" thickTop="1">
      <c r="A130" s="598"/>
      <c r="B130" s="545">
        <f>B46</f>
        <v>1</v>
      </c>
      <c r="C130" s="553"/>
      <c r="D130" s="553"/>
      <c r="E130" s="553"/>
      <c r="F130" s="553"/>
      <c r="G130" s="586"/>
      <c r="H130" s="586"/>
      <c r="I130" s="586"/>
      <c r="J130" s="586"/>
      <c r="K130" s="522"/>
      <c r="L130" s="523"/>
      <c r="M130" s="589"/>
      <c r="N130" s="1135"/>
      <c r="O130" s="1135"/>
      <c r="P130" s="2603"/>
      <c r="Q130" s="503"/>
    </row>
    <row r="131" spans="1:17" ht="14.4"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cfRule type="containsText" dxfId="183" priority="17" stopIfTrue="1" operator="containsText" text="超过">
      <formula>NOT(ISERROR(SEARCH("超过",F52)))</formula>
    </cfRule>
  </conditionalFormatting>
  <conditionalFormatting sqref="H54">
    <cfRule type="containsText" dxfId="182" priority="15" stopIfTrue="1" operator="containsText" text="超过">
      <formula>NOT(ISERROR(SEARCH("超过",H54)))</formula>
    </cfRule>
  </conditionalFormatting>
  <conditionalFormatting sqref="F54">
    <cfRule type="containsText" dxfId="181" priority="14" stopIfTrue="1" operator="containsText" text="超过">
      <formula>NOT(ISERROR(SEARCH("超过",F54)))</formula>
    </cfRule>
  </conditionalFormatting>
  <conditionalFormatting sqref="F53 H53">
    <cfRule type="containsText" dxfId="180" priority="13" stopIfTrue="1" operator="containsText" text="超过">
      <formula>NOT(ISERROR(SEARCH("超过",F53)))</formula>
    </cfRule>
  </conditionalFormatting>
  <conditionalFormatting sqref="E52">
    <cfRule type="expression" dxfId="179" priority="12" stopIfTrue="1">
      <formula>$F$52="超过30%"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4">
    <cfRule type="expression" dxfId="176" priority="9" stopIfTrue="1">
      <formula>$H$54="超过30%"</formula>
    </cfRule>
  </conditionalFormatting>
  <conditionalFormatting sqref="G52">
    <cfRule type="expression" dxfId="175" priority="8" stopIfTrue="1">
      <formula>$H$52="超过30%"</formula>
    </cfRule>
  </conditionalFormatting>
  <conditionalFormatting sqref="G53">
    <cfRule type="expression" dxfId="174" priority="7" stopIfTrue="1">
      <formula>$H$53="超过20%"</formula>
    </cfRule>
  </conditionalFormatting>
  <conditionalFormatting sqref="J52">
    <cfRule type="containsText" dxfId="173" priority="6" stopIfTrue="1" operator="containsText" text="超过">
      <formula>NOT(ISERROR(SEARCH("超过",J52)))</formula>
    </cfRule>
  </conditionalFormatting>
  <conditionalFormatting sqref="J54">
    <cfRule type="containsText" dxfId="172" priority="5" stopIfTrue="1" operator="containsText" text="超过">
      <formula>NOT(ISERROR(SEARCH("超过",J54)))</formula>
    </cfRule>
  </conditionalFormatting>
  <conditionalFormatting sqref="J53">
    <cfRule type="containsText" dxfId="171" priority="4" stopIfTrue="1" operator="containsText" text="超过">
      <formula>NOT(ISERROR(SEARCH("超过",J53)))</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4">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63" t="s">
        <v>2983</v>
      </c>
      <c r="D1" s="3764"/>
      <c r="E1" s="3764"/>
      <c r="F1" s="3764"/>
      <c r="G1" s="3764"/>
      <c r="H1" s="3764"/>
      <c r="I1" s="3764"/>
      <c r="J1" s="3764"/>
      <c r="K1" s="3764"/>
      <c r="L1" s="3764"/>
      <c r="M1" s="3764"/>
      <c r="N1" s="3764"/>
      <c r="O1" s="3764"/>
      <c r="P1" s="3764"/>
      <c r="Q1" s="3764"/>
      <c r="R1" s="3764"/>
      <c r="S1" s="3765"/>
      <c r="T1" s="1186" t="s">
        <v>2984</v>
      </c>
    </row>
    <row r="2" spans="1:45" s="705" customFormat="1" ht="39.6">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'[4]比较法-商业'!C103</f>
        <v>0</v>
      </c>
      <c r="D3" s="707">
        <f>'[4]比较法-商业'!D103</f>
        <v>100</v>
      </c>
      <c r="E3" s="707">
        <f>'[4]比较法-商业'!E103</f>
        <v>200</v>
      </c>
      <c r="F3" s="707">
        <f>'[4]比较法-商业'!F103</f>
        <v>300</v>
      </c>
      <c r="G3" s="707">
        <f>'[4]比较法-商业'!G103</f>
        <v>500</v>
      </c>
      <c r="H3" s="707">
        <f>'[4]比较法-商业'!H103</f>
        <v>1000</v>
      </c>
      <c r="I3" s="707">
        <f>'[4]比较法-商业'!I103</f>
        <v>1500</v>
      </c>
      <c r="J3" s="707">
        <f>'[4]比较法-商业'!J103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8"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6.4">
      <c r="A5" s="1197"/>
      <c r="B5" s="1749" t="str">
        <f>'[4]比较法-商业'!B86</f>
        <v>临街状况</v>
      </c>
      <c r="C5" s="1198" t="str">
        <f>'[4]比较法-商业'!C86</f>
        <v>多面临街</v>
      </c>
      <c r="D5" s="1198" t="str">
        <f>'[4]比较法-商业'!D86</f>
        <v>双面临街</v>
      </c>
      <c r="E5" s="1198" t="str">
        <f>'[4]比较法-商业'!E86</f>
        <v>单面临街</v>
      </c>
      <c r="F5" s="1198" t="str">
        <f>'[4]比较法-商业'!F86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8"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6.4">
      <c r="A7" s="1197"/>
      <c r="B7" s="1750" t="str">
        <f>'[4]比较法-商业'!B26</f>
        <v>平面位置/可视性</v>
      </c>
      <c r="C7" s="1104" t="str">
        <f>'[4]比较法-商业'!C88</f>
        <v>好</v>
      </c>
      <c r="D7" s="1104" t="str">
        <f>'[4]比较法-商业'!D88</f>
        <v>较好</v>
      </c>
      <c r="E7" s="1104" t="str">
        <f>'[4]比较法-商业'!E88</f>
        <v>一般</v>
      </c>
      <c r="F7" s="1104" t="str">
        <f>'[4]比较法-商业'!F88</f>
        <v>较差</v>
      </c>
      <c r="G7" s="1104" t="str">
        <f>'[4]比较法-商业'!G88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8"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'[4]比较法-商业'!B90</f>
        <v>人流量</v>
      </c>
      <c r="C9" s="1104" t="str">
        <f>'[4]比较法-商业'!C90</f>
        <v>好</v>
      </c>
      <c r="D9" s="1104" t="str">
        <f>'[4]比较法-商业'!D90</f>
        <v>较好</v>
      </c>
      <c r="E9" s="1104" t="str">
        <f>'[4]比较法-商业'!E90</f>
        <v>一般</v>
      </c>
      <c r="F9" s="1104" t="str">
        <f>'[4]比较法-商业'!F90</f>
        <v>较差</v>
      </c>
      <c r="G9" s="1104" t="str">
        <f>'[4]比较法-商业'!G90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8"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8"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8"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8"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8"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2" thickBot="1">
      <c r="A20" s="712" t="s">
        <v>2992</v>
      </c>
      <c r="B20" s="338">
        <f>IF(D20="——",S22,S22-F20)</f>
        <v>69015</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6">
      <c r="A21" s="712" t="s">
        <v>2994</v>
      </c>
      <c r="B21" s="338">
        <f>R22</f>
        <v>49046</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593" t="s">
        <v>33</v>
      </c>
      <c r="D22" s="3594"/>
      <c r="E22" s="3594"/>
      <c r="F22" s="3594"/>
      <c r="G22" s="3594"/>
      <c r="H22" s="3594"/>
      <c r="I22" s="3594"/>
      <c r="J22" s="3594"/>
      <c r="K22" s="3594"/>
      <c r="L22" s="3594"/>
      <c r="M22" s="3594"/>
      <c r="N22" s="3594"/>
      <c r="O22" s="3594"/>
      <c r="P22" s="3594"/>
      <c r="Q22" s="3762"/>
      <c r="R22" s="713">
        <f>ROUND(S22*10000/B22,0)</f>
        <v>49046</v>
      </c>
      <c r="S22" s="24">
        <f>SUM(S24:S10000)</f>
        <v>69015</v>
      </c>
    </row>
    <row r="23" spans="1:45" s="12" customFormat="1" ht="26.4">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50339</v>
      </c>
      <c r="S24" s="715">
        <f t="shared" ref="S24:S54" si="11">ROUND(R24*B24/10000,0)</f>
        <v>5428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f>IF(B25="",0,ROUND($R$24*C25*E25*G25*I25*K25*M25*O25*Q25,0))</f>
        <v>50339</v>
      </c>
      <c r="S25" s="361">
        <f t="shared" si="11"/>
        <v>7267</v>
      </c>
    </row>
    <row r="26" spans="1:45">
      <c r="A26" s="3007" t="str">
        <f>面积表!D4</f>
        <v>601</v>
      </c>
      <c r="B26" s="2953">
        <f>面积表!I4</f>
        <v>1443.69</v>
      </c>
      <c r="C26" s="24">
        <f t="shared" ref="C26:C89" si="12">IF(B26="",1,(LOOKUP(B26,$3:$3,$4:$4)-LOOKUP($B$24,$3:$3,$4:$4)+100)/100)</f>
        <v>1</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f t="shared" ref="R26:R89" si="20">IF(B26="",0,ROUND($R$24*C26*E26*G26*I26*K26*M26*O26*Q26,0))</f>
        <v>50339</v>
      </c>
      <c r="S26" s="361">
        <f t="shared" si="11"/>
        <v>7267</v>
      </c>
    </row>
    <row r="27" spans="1:45">
      <c r="A27" s="3007" t="str">
        <f>面积表!D5</f>
        <v>701</v>
      </c>
      <c r="B27" s="2953">
        <f>面积表!I5</f>
        <v>1443.69</v>
      </c>
      <c r="C27" s="24">
        <f t="shared" si="12"/>
        <v>1</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f t="shared" si="20"/>
        <v>50339</v>
      </c>
      <c r="S27" s="361">
        <f t="shared" si="11"/>
        <v>7267</v>
      </c>
    </row>
    <row r="28" spans="1:45">
      <c r="A28" s="3007" t="str">
        <f>面积表!D6</f>
        <v>801</v>
      </c>
      <c r="B28" s="2953">
        <f>面积表!I6</f>
        <v>1443.69</v>
      </c>
      <c r="C28" s="24">
        <f t="shared" si="12"/>
        <v>1</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f t="shared" si="20"/>
        <v>50339</v>
      </c>
      <c r="S28" s="361">
        <f t="shared" si="11"/>
        <v>7267</v>
      </c>
    </row>
    <row r="29" spans="1:45">
      <c r="A29" s="3007" t="str">
        <f>面积表!D7</f>
        <v>901</v>
      </c>
      <c r="B29" s="2953">
        <f>面积表!I7</f>
        <v>1443.69</v>
      </c>
      <c r="C29" s="24">
        <f t="shared" si="12"/>
        <v>1</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f t="shared" si="20"/>
        <v>50339</v>
      </c>
      <c r="S29" s="361">
        <f t="shared" si="11"/>
        <v>7267</v>
      </c>
    </row>
    <row r="30" spans="1:45">
      <c r="A30" s="3007" t="str">
        <f>面积表!D8</f>
        <v>1001</v>
      </c>
      <c r="B30" s="2953">
        <f>面积表!I8</f>
        <v>1443.69</v>
      </c>
      <c r="C30" s="24">
        <f t="shared" si="12"/>
        <v>1</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f t="shared" si="20"/>
        <v>50339</v>
      </c>
      <c r="S30" s="361">
        <f t="shared" si="11"/>
        <v>7267</v>
      </c>
    </row>
    <row r="31" spans="1:45">
      <c r="A31" s="3007" t="str">
        <f>面积表!D9</f>
        <v>1101</v>
      </c>
      <c r="B31" s="2953">
        <f>面积表!I9</f>
        <v>1443.69</v>
      </c>
      <c r="C31" s="24">
        <f t="shared" si="12"/>
        <v>1</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f t="shared" si="20"/>
        <v>50339</v>
      </c>
      <c r="S31" s="361">
        <f t="shared" si="11"/>
        <v>7267</v>
      </c>
    </row>
    <row r="32" spans="1:45">
      <c r="A32" s="3007" t="str">
        <f>面积表!D10</f>
        <v>1201</v>
      </c>
      <c r="B32" s="2953">
        <f>面积表!I10</f>
        <v>1443.69</v>
      </c>
      <c r="C32" s="24">
        <f t="shared" si="12"/>
        <v>1</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f t="shared" si="20"/>
        <v>50339</v>
      </c>
      <c r="S32" s="361">
        <f t="shared" si="11"/>
        <v>7267</v>
      </c>
    </row>
    <row r="33" spans="1:19">
      <c r="A33" s="3007" t="str">
        <f>面积表!D11</f>
        <v>1301</v>
      </c>
      <c r="B33" s="2953">
        <f>面积表!I11</f>
        <v>1443.69</v>
      </c>
      <c r="C33" s="24">
        <f t="shared" si="12"/>
        <v>1</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f t="shared" si="20"/>
        <v>37754</v>
      </c>
      <c r="S33" s="361">
        <f t="shared" si="11"/>
        <v>5451</v>
      </c>
    </row>
    <row r="34" spans="1:19">
      <c r="A34" s="3007"/>
      <c r="B34" s="2953"/>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zoomScale="85" zoomScaleNormal="85" zoomScaleSheetLayoutView="90" workbookViewId="0">
      <selection activeCell="C13" sqref="C1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3710</v>
      </c>
      <c r="D1" s="1800" t="s">
        <v>70</v>
      </c>
      <c r="E1" s="1801" t="s">
        <v>1375</v>
      </c>
      <c r="F1" s="1265">
        <f ca="1">J53</f>
        <v>23.21</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66821</v>
      </c>
      <c r="C2" s="1825" t="s">
        <v>1504</v>
      </c>
      <c r="D2" s="1825"/>
      <c r="E2" s="1826"/>
      <c r="F2" s="1827"/>
      <c r="G2" s="1828"/>
      <c r="H2" s="1820"/>
      <c r="I2" s="1820"/>
      <c r="J2" s="1820"/>
      <c r="K2" s="1821"/>
      <c r="L2" s="1820"/>
      <c r="M2" s="1820"/>
    </row>
    <row r="3" spans="1:37" ht="18" customHeight="1" thickBot="1">
      <c r="A3" s="1829" t="s">
        <v>1505</v>
      </c>
      <c r="B3" s="1830">
        <f ca="1">IF(ISERROR(B2*10000/F43),0,ROUND(B2*10000/F43,0))</f>
        <v>22563</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6591</v>
      </c>
      <c r="D5" s="1802" t="s">
        <v>1390</v>
      </c>
      <c r="E5" s="1275"/>
      <c r="F5" s="1276"/>
      <c r="G5" s="1831"/>
      <c r="H5" s="344">
        <v>1</v>
      </c>
      <c r="I5" s="345" t="s">
        <v>1389</v>
      </c>
      <c r="J5" s="1274">
        <f ca="1">J6+J10+J12</f>
        <v>6334</v>
      </c>
      <c r="K5" s="1802" t="s">
        <v>1390</v>
      </c>
      <c r="L5" s="1275"/>
      <c r="M5" s="1276"/>
    </row>
    <row r="6" spans="1:37" ht="18" customHeight="1">
      <c r="A6" s="1273" t="s">
        <v>1032</v>
      </c>
      <c r="B6" s="3766" t="s">
        <v>1391</v>
      </c>
      <c r="C6" s="1278">
        <f ca="1">ROUND(F6*F8*F7*(1-F9)/10000,0)</f>
        <v>6583</v>
      </c>
      <c r="D6" s="164" t="s">
        <v>3004</v>
      </c>
      <c r="E6" s="347" t="s">
        <v>1393</v>
      </c>
      <c r="F6" s="348">
        <f ca="1">INDIRECT("'数据-取费表'!u"&amp;$G$1)</f>
        <v>6.09</v>
      </c>
      <c r="G6" s="1831"/>
      <c r="H6" s="1273" t="s">
        <v>1032</v>
      </c>
      <c r="I6" s="3766" t="s">
        <v>1391</v>
      </c>
      <c r="J6" s="346">
        <f ca="1">ROUND(M6*M8*M7*(1-M9)/10000,0)</f>
        <v>6326</v>
      </c>
      <c r="K6" s="164" t="s">
        <v>3003</v>
      </c>
      <c r="L6" s="347" t="s">
        <v>1393</v>
      </c>
      <c r="M6" s="348">
        <f ca="1">INDIRECT("'数据-取费表'!z"&amp;$G$1)</f>
        <v>6.16</v>
      </c>
    </row>
    <row r="7" spans="1:37" ht="18" customHeight="1">
      <c r="A7" s="1277"/>
      <c r="B7" s="3767"/>
      <c r="C7" s="1279"/>
      <c r="D7" s="352"/>
      <c r="E7" s="2942" t="s">
        <v>1394</v>
      </c>
      <c r="F7" s="348">
        <f ca="1">IF(INDIRECT("'数据-取费表'!ah"&amp;$G$1)="",INDIRECT("'数据-取费表'!k"&amp;$G$1),INDIRECT("'数据-取费表'!ah"&amp;$G$1))</f>
        <v>29614.890000000003</v>
      </c>
      <c r="G7" s="1831"/>
      <c r="H7" s="349"/>
      <c r="I7" s="3767"/>
      <c r="J7" s="351"/>
      <c r="K7" s="352"/>
      <c r="L7" s="347" t="s">
        <v>1394</v>
      </c>
      <c r="M7" s="348">
        <f ca="1">F7</f>
        <v>29614.890000000003</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v>
      </c>
      <c r="G9" s="1831"/>
      <c r="H9" s="349"/>
      <c r="I9" s="3768"/>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8</v>
      </c>
      <c r="D10" s="1804" t="s">
        <v>3012</v>
      </c>
      <c r="E10" s="358" t="s">
        <v>1398</v>
      </c>
      <c r="F10" s="1348" t="s">
        <v>3049</v>
      </c>
      <c r="G10" s="1831"/>
      <c r="H10" s="1273" t="s">
        <v>1036</v>
      </c>
      <c r="I10" s="1803" t="s">
        <v>1397</v>
      </c>
      <c r="J10" s="346">
        <f ca="1">ROUND(IF(M10="押一",J6/12*M11,IF(M10="押二",J6/12*2*M11,IF(M10="押三",J6/12*3*M11,J11*M11))),0)</f>
        <v>8</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13464</v>
      </c>
      <c r="D13" s="1313" t="s">
        <v>1403</v>
      </c>
      <c r="E13" s="1313" t="s">
        <v>1404</v>
      </c>
      <c r="F13" s="1314">
        <f ca="1">INDIRECT("'数据-取费表'!y"&amp;$G$1)</f>
        <v>0.82</v>
      </c>
      <c r="G13" s="1831"/>
      <c r="H13" s="1311">
        <v>2</v>
      </c>
      <c r="I13" s="1312" t="s">
        <v>1402</v>
      </c>
      <c r="J13" s="1272">
        <f ca="1">ROUND(J14*J15,0)</f>
        <v>11001</v>
      </c>
      <c r="K13" s="1319" t="s">
        <v>1403</v>
      </c>
      <c r="L13" s="1832"/>
      <c r="M13" s="1833"/>
    </row>
    <row r="14" spans="1:37" ht="18" customHeight="1">
      <c r="A14" s="1183" t="s">
        <v>1031</v>
      </c>
      <c r="B14" s="347" t="s">
        <v>1405</v>
      </c>
      <c r="C14" s="363">
        <f ca="1">INDIRECT("'数据-取费表'!m"&amp;$G$1)+INDIRECT("'数据-取费表'!t"&amp;$G$1)</f>
        <v>10365</v>
      </c>
      <c r="D14" s="2930" t="s">
        <v>1406</v>
      </c>
      <c r="E14" s="2925"/>
      <c r="F14" s="364"/>
      <c r="G14" s="1831"/>
      <c r="H14" s="1183" t="s">
        <v>1032</v>
      </c>
      <c r="I14" s="347" t="s">
        <v>1407</v>
      </c>
      <c r="J14" s="24">
        <f ca="1">C29</f>
        <v>16420</v>
      </c>
      <c r="K14" s="2941"/>
      <c r="L14" s="969"/>
      <c r="M14" s="970"/>
    </row>
    <row r="15" spans="1:37" s="1838" customFormat="1" ht="18" customHeight="1" thickBot="1">
      <c r="A15" s="1183" t="s">
        <v>1033</v>
      </c>
      <c r="B15" s="347" t="s">
        <v>1408</v>
      </c>
      <c r="C15" s="24">
        <f ca="1">ROUND(C14*F15,0)</f>
        <v>311</v>
      </c>
      <c r="D15" s="365" t="s">
        <v>1409</v>
      </c>
      <c r="E15" s="365" t="s">
        <v>1410</v>
      </c>
      <c r="F15" s="366">
        <f>'数据-取费表'!B33</f>
        <v>0.03</v>
      </c>
      <c r="G15" s="1834"/>
      <c r="H15" s="1321" t="s">
        <v>1036</v>
      </c>
      <c r="I15" s="1322" t="s">
        <v>1404</v>
      </c>
      <c r="J15" s="1331">
        <f ca="1">INDIRECT("'数据-取费表'!ad"&amp;$G$1)</f>
        <v>0.67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1515</v>
      </c>
      <c r="K16" s="1319" t="s">
        <v>1413</v>
      </c>
      <c r="L16" s="2932"/>
      <c r="M16" s="1276"/>
    </row>
    <row r="17" spans="1:37" s="1838" customFormat="1" ht="18" customHeight="1">
      <c r="A17" s="1183" t="s">
        <v>1378</v>
      </c>
      <c r="B17" s="347" t="s">
        <v>1414</v>
      </c>
      <c r="C17" s="24">
        <f ca="1">ROUND(F17*(F43+INDIRECT("'数据-取费表'!S"&amp;$G$1))/10000,0)</f>
        <v>592</v>
      </c>
      <c r="D17" s="347" t="s">
        <v>1415</v>
      </c>
      <c r="E17" s="347" t="s">
        <v>1416</v>
      </c>
      <c r="F17" s="26">
        <f>'数据-取费表'!B35</f>
        <v>200</v>
      </c>
      <c r="G17" s="1834"/>
      <c r="H17" s="1183" t="s">
        <v>1032</v>
      </c>
      <c r="I17" s="347" t="s">
        <v>1417</v>
      </c>
      <c r="J17" s="24">
        <f ca="1">ROUND(IF(项目基本情况!B11="自然人",J6*M17/(1+'数据-取费表'!C42),J18+J19+J20),1)</f>
        <v>1062.4000000000001</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155</v>
      </c>
      <c r="D18" s="347" t="s">
        <v>1409</v>
      </c>
      <c r="E18" s="347" t="s">
        <v>1410</v>
      </c>
      <c r="F18" s="367">
        <f>'数据-取费表'!B36</f>
        <v>1.4999999999999999E-2</v>
      </c>
      <c r="G18" s="1834"/>
      <c r="H18" s="1183" t="s">
        <v>1031</v>
      </c>
      <c r="I18" s="347" t="s">
        <v>1421</v>
      </c>
      <c r="J18" s="24">
        <f ca="1">ROUND(J6*M18/(1+'数据-取费表'!C42),2)</f>
        <v>337.39</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11423</v>
      </c>
      <c r="D19" s="140" t="s">
        <v>1424</v>
      </c>
      <c r="E19" s="2939"/>
      <c r="F19" s="26"/>
      <c r="G19" s="1831"/>
      <c r="H19" s="1183" t="s">
        <v>1033</v>
      </c>
      <c r="I19" s="347" t="s">
        <v>1425</v>
      </c>
      <c r="J19" s="24">
        <f ca="1">IF(K19="按租金收入计税",ROUND(J6*M19/(1+'数据-取费表'!C42),2),ROUND(C29*M19*0.7,2))</f>
        <v>722.97</v>
      </c>
      <c r="K19" s="1808" t="s">
        <v>3060</v>
      </c>
      <c r="L19" s="347" t="s">
        <v>1410</v>
      </c>
      <c r="M19" s="367">
        <f>IF(K19="按租金收入计税",'数据-取费表'!B51,'数据-取费表'!B50)</f>
        <v>0.12</v>
      </c>
    </row>
    <row r="20" spans="1:37" s="1838" customFormat="1" ht="18" customHeight="1">
      <c r="A20" s="1183" t="s">
        <v>1036</v>
      </c>
      <c r="B20" s="347" t="s">
        <v>1427</v>
      </c>
      <c r="C20" s="24">
        <f ca="1">ROUND(C19*F20,0)</f>
        <v>228</v>
      </c>
      <c r="D20" s="369" t="s">
        <v>1428</v>
      </c>
      <c r="E20" s="347" t="s">
        <v>1410</v>
      </c>
      <c r="F20" s="367">
        <f>'数据-取费表'!B37</f>
        <v>0.02</v>
      </c>
      <c r="G20" s="1834"/>
      <c r="H20" s="1183" t="s">
        <v>1377</v>
      </c>
      <c r="I20" s="164" t="s">
        <v>1429</v>
      </c>
      <c r="J20" s="25">
        <f ca="1">ROUND(M20*M21/10000,2)</f>
        <v>2.04</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6799.46</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246.3</v>
      </c>
      <c r="K22" s="292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554</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16.5</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190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4819</v>
      </c>
      <c r="K25" s="1327" t="s">
        <v>1452</v>
      </c>
      <c r="L25" s="1328"/>
      <c r="M25" s="1329"/>
    </row>
    <row r="26" spans="1:37">
      <c r="A26" s="1183" t="s">
        <v>1031</v>
      </c>
      <c r="B26" s="347" t="s">
        <v>1453</v>
      </c>
      <c r="C26" s="24">
        <f ca="1">ROUND((C19+C20)*F26,0)</f>
        <v>2913</v>
      </c>
      <c r="D26" s="369" t="s">
        <v>1454</v>
      </c>
      <c r="E26" s="358" t="s">
        <v>1455</v>
      </c>
      <c r="F26" s="357">
        <f ca="1">INDIRECT("'数据-取费表'!q"&amp;$G$1)</f>
        <v>0.25</v>
      </c>
      <c r="G26" s="1831"/>
      <c r="H26" s="344" t="s">
        <v>1029</v>
      </c>
      <c r="I26" s="345" t="s">
        <v>1456</v>
      </c>
      <c r="J26" s="346">
        <f ca="1">IF(J5&lt;&gt;0,ROUND(J25*(1-((1+M28)/(1+M26))^M27)/(M26-M28),0),0)</f>
        <v>56776</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15.190000000000001</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16420</v>
      </c>
      <c r="D29" s="1324"/>
      <c r="E29" s="1322"/>
      <c r="F29" s="1325"/>
      <c r="G29" s="1834"/>
      <c r="H29" s="380" t="s">
        <v>1030</v>
      </c>
      <c r="I29" s="381" t="s">
        <v>1467</v>
      </c>
      <c r="J29" s="382">
        <f ca="1">ROUND(J26/(1+F40)^F41,0)</f>
        <v>35580</v>
      </c>
      <c r="K29" s="383" t="s">
        <v>1468</v>
      </c>
      <c r="L29" s="384"/>
      <c r="M29" s="385">
        <f ca="1">INDIRECT("'数据-取费表'!k"&amp;$G$1)</f>
        <v>29614.890000000003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1570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1105.5</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351.09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752.34</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2.04</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6799.46</v>
      </c>
      <c r="G35" s="1831"/>
      <c r="H35" s="741"/>
      <c r="I35" s="1840"/>
      <c r="J35" s="1841"/>
      <c r="K35" s="1842"/>
      <c r="L35" s="1839"/>
      <c r="M35" s="1839"/>
    </row>
    <row r="36" spans="1:18" ht="18" customHeight="1">
      <c r="A36" s="1334" t="s">
        <v>1036</v>
      </c>
      <c r="B36" s="347" t="s">
        <v>1437</v>
      </c>
      <c r="C36" s="24">
        <f ca="1">ROUND(C29*F36,1)</f>
        <v>246.3</v>
      </c>
      <c r="D36" s="292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20.2</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197.7</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5021</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31241</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8.02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10549</v>
      </c>
      <c r="D43" s="383" t="s">
        <v>1476</v>
      </c>
      <c r="E43" s="384" t="s">
        <v>1477</v>
      </c>
      <c r="F43" s="385">
        <f ca="1">INDIRECT("'数据-取费表'!k"&amp;$G$1)</f>
        <v>29614.890000000003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f ca="1">C68-C40</f>
        <v>-41495</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66821</v>
      </c>
      <c r="R47" s="1866" t="s">
        <v>1517</v>
      </c>
    </row>
    <row r="48" spans="1:18" s="1822" customFormat="1" ht="40.200000000000003"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8"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16420</v>
      </c>
      <c r="R49" s="1866" t="s">
        <v>1517</v>
      </c>
    </row>
    <row r="50" spans="1:18" s="1822" customFormat="1" ht="13.8" thickBot="1">
      <c r="A50" s="1177"/>
      <c r="B50" s="1180"/>
      <c r="C50" s="1350"/>
      <c r="D50" s="1154"/>
      <c r="E50" s="1259" t="s">
        <v>1394</v>
      </c>
      <c r="F50" s="1260">
        <f ca="1">F7</f>
        <v>29614.890000000003</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8"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50141</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66821</v>
      </c>
      <c r="R53" s="1866" t="s">
        <v>1044</v>
      </c>
    </row>
    <row r="54" spans="1:18" s="1822" customFormat="1" ht="24.6"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8"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f ca="1">C13</f>
        <v>13464</v>
      </c>
      <c r="D56" s="1893"/>
      <c r="E56" s="1894"/>
      <c r="F56" s="1886"/>
      <c r="I56" s="1895" t="s">
        <v>1542</v>
      </c>
      <c r="J56" s="1896" t="s">
        <v>3042</v>
      </c>
      <c r="K56" s="1867" t="s">
        <v>1543</v>
      </c>
      <c r="L56" s="1870" t="str">
        <f ca="1">IF(L48&lt;J51,"——",L48-J53)</f>
        <v>——</v>
      </c>
      <c r="O56" s="1864" t="s">
        <v>1037</v>
      </c>
      <c r="P56" s="1865" t="s">
        <v>1516</v>
      </c>
      <c r="Q56" s="1866">
        <f ca="1">C40+J29</f>
        <v>66821</v>
      </c>
      <c r="R56" s="1866" t="s">
        <v>1517</v>
      </c>
    </row>
    <row r="57" spans="1:18" s="1822" customFormat="1" ht="24.6" thickBot="1">
      <c r="A57" s="1897"/>
      <c r="B57" s="1151" t="s">
        <v>1466</v>
      </c>
      <c r="C57" s="282">
        <f ca="1">C29</f>
        <v>16420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6" thickBot="1">
      <c r="A58" s="360" t="s">
        <v>1027</v>
      </c>
      <c r="B58" s="1159" t="s">
        <v>1412</v>
      </c>
      <c r="C58" s="361">
        <f ca="1">ROUND(C59+C64+C65+C66,0)</f>
        <v>1648</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6" thickBot="1">
      <c r="A59" s="1183" t="s">
        <v>1032</v>
      </c>
      <c r="B59" s="1151" t="s">
        <v>1417</v>
      </c>
      <c r="C59" s="24">
        <f ca="1">ROUND(IF(项目基本情况!B11="自然人",C48*F59,C60+C61+C62),1)</f>
        <v>1381.3</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2"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8" thickBot="1">
      <c r="A61" s="1183" t="s">
        <v>1480</v>
      </c>
      <c r="B61" s="1151" t="s">
        <v>1425</v>
      </c>
      <c r="C61" s="24">
        <f ca="1">IF(项目基本情况!B11="自然人","——",IF(D61="按租金收入计税",ROUND(C48*F61,2),IF(D61="按房产原值计税",ROUND(C57*F61*0.7,2),INDIRECT("'数据-取费表'!Aj"&amp;$G$1))))</f>
        <v>1379.28</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8" thickBot="1">
      <c r="A62" s="1183" t="s">
        <v>1483</v>
      </c>
      <c r="B62" s="1150" t="s">
        <v>1429</v>
      </c>
      <c r="C62" s="25">
        <f ca="1">IF(项目基本情况!B11="自然人","——",ROUND(F62*F63/10000,2))</f>
        <v>2.04</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66821</v>
      </c>
      <c r="R62" s="1866" t="s">
        <v>1044</v>
      </c>
    </row>
    <row r="63" spans="1:18" s="1822" customFormat="1" ht="13.8" thickBot="1">
      <c r="A63" s="372"/>
      <c r="B63" s="1157"/>
      <c r="C63" s="29"/>
      <c r="D63" s="1167"/>
      <c r="E63" s="1151" t="s">
        <v>1435</v>
      </c>
      <c r="F63" s="348">
        <f t="shared" ca="1" si="0"/>
        <v>6799.46</v>
      </c>
      <c r="I63" s="1908" t="s">
        <v>1564</v>
      </c>
      <c r="J63" s="1909">
        <v>70</v>
      </c>
      <c r="K63" s="1909">
        <v>50</v>
      </c>
      <c r="L63" s="1909">
        <v>80</v>
      </c>
      <c r="M63" s="1911">
        <v>0.02</v>
      </c>
      <c r="O63" s="1849" t="s">
        <v>1565</v>
      </c>
      <c r="P63" s="1819"/>
      <c r="Q63" s="1819"/>
      <c r="R63" s="1819"/>
    </row>
    <row r="64" spans="1:18" s="1822" customFormat="1" ht="13.8" thickBot="1">
      <c r="A64" s="1183" t="s">
        <v>1488</v>
      </c>
      <c r="B64" s="1151" t="s">
        <v>1437</v>
      </c>
      <c r="C64" s="24">
        <f ca="1">ROUND(C57*F64,1)</f>
        <v>246.3</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f ca="1">ROUND(C56*F65,1)</f>
        <v>20.2</v>
      </c>
      <c r="D65" s="1165" t="s">
        <v>1442</v>
      </c>
      <c r="E65" s="1151" t="s">
        <v>1410</v>
      </c>
      <c r="F65" s="376">
        <f t="shared" ca="1" si="0"/>
        <v>1.5E-3</v>
      </c>
      <c r="I65" s="1908" t="s">
        <v>1567</v>
      </c>
      <c r="J65" s="1909">
        <v>40</v>
      </c>
      <c r="K65" s="1909">
        <v>30</v>
      </c>
      <c r="L65" s="1909">
        <v>50</v>
      </c>
      <c r="M65" s="1911">
        <v>0.02</v>
      </c>
      <c r="O65" s="1864" t="s">
        <v>1037</v>
      </c>
      <c r="P65" s="1865" t="s">
        <v>1516</v>
      </c>
      <c r="Q65" s="1866">
        <f ca="1">C40+J29</f>
        <v>66821</v>
      </c>
      <c r="R65" s="1866" t="s">
        <v>1517</v>
      </c>
    </row>
    <row r="66" spans="1:18" s="1822" customFormat="1" ht="16.2"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24.6" thickBot="1">
      <c r="A67" s="1158" t="s">
        <v>1028</v>
      </c>
      <c r="B67" s="1168" t="s">
        <v>1451</v>
      </c>
      <c r="C67" s="361">
        <f ca="1">C48-C58</f>
        <v>-1648</v>
      </c>
      <c r="D67" s="1164" t="s">
        <v>1452</v>
      </c>
      <c r="E67" s="1169"/>
      <c r="F67" s="1170"/>
      <c r="O67" s="1874" t="s">
        <v>1039</v>
      </c>
      <c r="P67" s="1865" t="s">
        <v>1550</v>
      </c>
      <c r="Q67" s="1912">
        <f ca="1">L51</f>
        <v>50141</v>
      </c>
      <c r="R67" s="1866" t="s">
        <v>1570</v>
      </c>
    </row>
    <row r="68" spans="1:18" s="1822" customFormat="1" ht="16.2" thickBot="1">
      <c r="A68" s="1148" t="s">
        <v>1029</v>
      </c>
      <c r="B68" s="1149" t="s">
        <v>1473</v>
      </c>
      <c r="C68" s="346">
        <f ca="1">ROUND(C67*(1-((1+F70)/(1+F68))^F69)/(F68-F70),0)</f>
        <v>-10254</v>
      </c>
      <c r="D68" s="1166" t="s">
        <v>1457</v>
      </c>
      <c r="E68" s="1151" t="s">
        <v>1458</v>
      </c>
      <c r="F68" s="357">
        <f ca="1">F40</f>
        <v>0.06</v>
      </c>
      <c r="O68" s="1874" t="s">
        <v>1040</v>
      </c>
      <c r="P68" s="1913" t="s">
        <v>1571</v>
      </c>
      <c r="Q68" s="1866">
        <f ca="1">ROUND(Q69-Q70*Q71,0)</f>
        <v>3877</v>
      </c>
      <c r="R68" s="1866" t="s">
        <v>1048</v>
      </c>
    </row>
    <row r="69" spans="1:18" s="1822" customFormat="1" ht="13.8" thickBot="1">
      <c r="A69" s="1152"/>
      <c r="B69" s="1153"/>
      <c r="C69" s="351"/>
      <c r="D69" s="1171" t="s">
        <v>1461</v>
      </c>
      <c r="E69" s="1151" t="s">
        <v>1462</v>
      </c>
      <c r="F69" s="379">
        <f ca="1">F41</f>
        <v>8.02</v>
      </c>
      <c r="O69" s="1874" t="s">
        <v>1045</v>
      </c>
      <c r="P69" s="1913" t="s">
        <v>1572</v>
      </c>
      <c r="Q69" s="1866">
        <f ca="1">C39</f>
        <v>5021</v>
      </c>
      <c r="R69" s="1866" t="s">
        <v>1517</v>
      </c>
    </row>
    <row r="70" spans="1:18" s="1822" customFormat="1" ht="13.8" thickBot="1">
      <c r="A70" s="1155"/>
      <c r="B70" s="1156"/>
      <c r="C70" s="355"/>
      <c r="D70" s="1167"/>
      <c r="E70" s="1151" t="s">
        <v>1465</v>
      </c>
      <c r="F70" s="1257"/>
      <c r="O70" s="1874" t="s">
        <v>1046</v>
      </c>
      <c r="P70" s="1913" t="s">
        <v>1573</v>
      </c>
      <c r="Q70" s="1866">
        <f ca="1">C13</f>
        <v>13464</v>
      </c>
      <c r="R70" s="1866" t="s">
        <v>1517</v>
      </c>
    </row>
    <row r="71" spans="1:18" s="1822" customFormat="1" ht="13.8" thickBot="1">
      <c r="A71" s="1172" t="s">
        <v>1030</v>
      </c>
      <c r="B71" s="1173" t="s">
        <v>1475</v>
      </c>
      <c r="C71" s="382">
        <f ca="1">ROUND(C68*10000/F71,0)</f>
        <v>-3462</v>
      </c>
      <c r="D71" s="1174" t="s">
        <v>1476</v>
      </c>
      <c r="E71" s="1175" t="s">
        <v>1477</v>
      </c>
      <c r="F71" s="385">
        <f ca="1">F43</f>
        <v>29614.890000000003</v>
      </c>
      <c r="O71" s="1874" t="s">
        <v>1047</v>
      </c>
      <c r="P71" s="1913" t="s">
        <v>1574</v>
      </c>
      <c r="Q71" s="1877">
        <f ca="1">C76</f>
        <v>8.5000000000000006E-2</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#DIV/0!</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8" thickBot="1">
      <c r="A75" s="1822"/>
      <c r="B75" s="386" t="s">
        <v>1494</v>
      </c>
      <c r="C75" s="387">
        <f ca="1">ROUND(C13*C76,0)</f>
        <v>1144</v>
      </c>
      <c r="D75" s="1822"/>
      <c r="E75" s="1822"/>
      <c r="F75" s="1822"/>
      <c r="K75" s="1848"/>
      <c r="L75" s="1822"/>
      <c r="O75" s="1864" t="s">
        <v>1043</v>
      </c>
      <c r="P75" s="1865" t="s">
        <v>1537</v>
      </c>
      <c r="Q75" s="1866">
        <f ca="1">Q65+Q66</f>
        <v>66821</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0.77200000000000002</v>
      </c>
    </row>
    <row r="80" spans="1:18">
      <c r="B80" s="386" t="s">
        <v>1499</v>
      </c>
      <c r="C80" s="318">
        <f ca="1">ROUND(C75/C39,3)</f>
        <v>0.22800000000000001</v>
      </c>
    </row>
    <row r="81" spans="2:3">
      <c r="B81" s="314" t="s">
        <v>1500</v>
      </c>
      <c r="C81" s="282"/>
    </row>
    <row r="82" spans="2:3">
      <c r="B82" s="317" t="s">
        <v>1501</v>
      </c>
      <c r="C82" s="319">
        <f ca="1">1-C83</f>
        <v>0.56899999999999995</v>
      </c>
    </row>
    <row r="83" spans="2:3">
      <c r="B83" s="317" t="s">
        <v>1502</v>
      </c>
      <c r="C83" s="318">
        <f ca="1">ROUND(C13/C40,3)</f>
        <v>0.43099999999999999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zoomScale="85" zoomScaleNormal="85" zoomScaleSheetLayoutView="90" workbookViewId="0">
      <selection activeCell="D8" sqref="D8"/>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3712</v>
      </c>
      <c r="D1" s="1800" t="s">
        <v>70</v>
      </c>
      <c r="E1" s="1801" t="s">
        <v>1375</v>
      </c>
      <c r="F1" s="1265">
        <f ca="1">J53</f>
        <v>23.21</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61727</v>
      </c>
      <c r="C2" s="1825" t="s">
        <v>1504</v>
      </c>
      <c r="D2" s="1825"/>
      <c r="E2" s="1826"/>
      <c r="F2" s="1827"/>
      <c r="G2" s="1828"/>
      <c r="H2" s="1820"/>
      <c r="I2" s="1820"/>
      <c r="J2" s="1820"/>
      <c r="K2" s="1821"/>
      <c r="L2" s="1820"/>
      <c r="M2" s="1820"/>
    </row>
    <row r="3" spans="1:37" ht="18" customHeight="1" thickBot="1">
      <c r="A3" s="1829" t="s">
        <v>1505</v>
      </c>
      <c r="B3" s="1830">
        <f ca="1">IF(ISERROR(B2*10000/F43),0,ROUND(B2*10000/F43,0))</f>
        <v>50895</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4880</v>
      </c>
      <c r="D5" s="1802" t="s">
        <v>1390</v>
      </c>
      <c r="E5" s="1275"/>
      <c r="F5" s="1276"/>
      <c r="G5" s="1831"/>
      <c r="H5" s="344">
        <v>1</v>
      </c>
      <c r="I5" s="345" t="s">
        <v>1389</v>
      </c>
      <c r="J5" s="1274">
        <f ca="1">J6+J10+J12</f>
        <v>0</v>
      </c>
      <c r="K5" s="1802" t="s">
        <v>1390</v>
      </c>
      <c r="L5" s="1275"/>
      <c r="M5" s="1276"/>
    </row>
    <row r="6" spans="1:37" ht="18" customHeight="1">
      <c r="A6" s="1273" t="s">
        <v>1032</v>
      </c>
      <c r="B6" s="3766" t="s">
        <v>1391</v>
      </c>
      <c r="C6" s="1278">
        <f ca="1">ROUND(F6*F8*F7*(1-F9)/10000,0)</f>
        <v>4874</v>
      </c>
      <c r="D6" s="164" t="s">
        <v>3004</v>
      </c>
      <c r="E6" s="347" t="s">
        <v>1393</v>
      </c>
      <c r="F6" s="348">
        <f ca="1">INDIRECT("'数据-取费表'!u"&amp;$G$1)</f>
        <v>11.59</v>
      </c>
      <c r="G6" s="1831"/>
      <c r="H6" s="1273" t="s">
        <v>1032</v>
      </c>
      <c r="I6" s="3766" t="s">
        <v>1391</v>
      </c>
      <c r="J6" s="346">
        <f ca="1">ROUND(M6*M8*M7*(1-M9)/10000,0)</f>
        <v>0</v>
      </c>
      <c r="K6" s="164" t="s">
        <v>3003</v>
      </c>
      <c r="L6" s="347" t="s">
        <v>1393</v>
      </c>
      <c r="M6" s="348">
        <f ca="1">INDIRECT("'数据-取费表'!z"&amp;$G$1)</f>
        <v>0</v>
      </c>
    </row>
    <row r="7" spans="1:37" ht="18" customHeight="1">
      <c r="A7" s="1277"/>
      <c r="B7" s="3767"/>
      <c r="C7" s="1279"/>
      <c r="D7" s="352"/>
      <c r="E7" s="3407" t="s">
        <v>1394</v>
      </c>
      <c r="F7" s="348">
        <f ca="1">IF(INDIRECT("'数据-取费表'!ah"&amp;$G$1)="",INDIRECT("'数据-取费表'!k"&amp;$G$1),INDIRECT("'数据-取费表'!ah"&amp;$G$1))</f>
        <v>12128.399999999991</v>
      </c>
      <c r="G7" s="1831"/>
      <c r="H7" s="349"/>
      <c r="I7" s="3767"/>
      <c r="J7" s="351"/>
      <c r="K7" s="352"/>
      <c r="L7" s="347" t="s">
        <v>1394</v>
      </c>
      <c r="M7" s="348">
        <f ca="1">F7</f>
        <v>12128.399999999991</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0.05</v>
      </c>
      <c r="G9" s="1831"/>
      <c r="H9" s="349"/>
      <c r="I9" s="3768"/>
      <c r="J9" s="351"/>
      <c r="K9" s="352"/>
      <c r="L9" s="358" t="s">
        <v>1396</v>
      </c>
      <c r="M9" s="359">
        <f ca="1">INDIRECT("'数据-取费表'!ab"&amp;$G$1)</f>
        <v>0</v>
      </c>
    </row>
    <row r="10" spans="1:37" ht="18" customHeight="1">
      <c r="A10" s="1273" t="s">
        <v>1036</v>
      </c>
      <c r="B10" s="1803" t="s">
        <v>1397</v>
      </c>
      <c r="C10" s="361">
        <f ca="1">ROUND(IF(F10="押一",C6/12*F11,IF(F10="押二",C6/12*2*F11,IF(F10="押三",C6/12*3*F11,C11*F11))),0)</f>
        <v>6</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5515</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4245</v>
      </c>
      <c r="D14" s="3400" t="s">
        <v>1406</v>
      </c>
      <c r="E14" s="3398"/>
      <c r="F14" s="364"/>
      <c r="G14" s="1831"/>
      <c r="H14" s="1183" t="s">
        <v>1032</v>
      </c>
      <c r="I14" s="347" t="s">
        <v>1407</v>
      </c>
      <c r="J14" s="24">
        <f ca="1">C29</f>
        <v>6725</v>
      </c>
      <c r="K14" s="3406"/>
      <c r="L14" s="969"/>
      <c r="M14" s="970"/>
    </row>
    <row r="15" spans="1:37" s="1838" customFormat="1" ht="18" customHeight="1" thickBot="1">
      <c r="A15" s="1183" t="s">
        <v>1033</v>
      </c>
      <c r="B15" s="347" t="s">
        <v>1408</v>
      </c>
      <c r="C15" s="24">
        <f ca="1">ROUND(C14*F15,0)</f>
        <v>127</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102</v>
      </c>
      <c r="K16" s="1319" t="s">
        <v>1413</v>
      </c>
      <c r="L16" s="3402"/>
      <c r="M16" s="1276"/>
    </row>
    <row r="17" spans="1:37" s="1838" customFormat="1" ht="18" customHeight="1">
      <c r="A17" s="1183" t="s">
        <v>1378</v>
      </c>
      <c r="B17" s="347" t="s">
        <v>1414</v>
      </c>
      <c r="C17" s="24">
        <f ca="1">ROUND(F17*(F43+INDIRECT("'数据-取费表'!S"&amp;$G$1))/10000,0)</f>
        <v>243</v>
      </c>
      <c r="D17" s="347" t="s">
        <v>1415</v>
      </c>
      <c r="E17" s="347" t="s">
        <v>1416</v>
      </c>
      <c r="F17" s="26">
        <f>'数据-取费表'!B35</f>
        <v>200</v>
      </c>
      <c r="G17" s="1834"/>
      <c r="H17" s="1183" t="s">
        <v>1032</v>
      </c>
      <c r="I17" s="347" t="s">
        <v>1417</v>
      </c>
      <c r="J17" s="24">
        <f ca="1">ROUND(IF(项目基本情况!B11="自然人",J6*M17/(1+'数据-取费表'!C42),J18+J19+J20),1)</f>
        <v>0.8</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64</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4679</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94</v>
      </c>
      <c r="D20" s="369" t="s">
        <v>1428</v>
      </c>
      <c r="E20" s="347" t="s">
        <v>1410</v>
      </c>
      <c r="F20" s="367">
        <f>'数据-取费表'!B37</f>
        <v>0.02</v>
      </c>
      <c r="G20" s="1834"/>
      <c r="H20" s="1183" t="s">
        <v>1377</v>
      </c>
      <c r="I20" s="164" t="s">
        <v>1429</v>
      </c>
      <c r="J20" s="25">
        <f ca="1">ROUND(M20*M21/10000,2)</f>
        <v>0.84</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2784.63</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100.9</v>
      </c>
      <c r="K22" s="3399"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226</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-102</v>
      </c>
      <c r="K25" s="1327" t="s">
        <v>1452</v>
      </c>
      <c r="L25" s="1328"/>
      <c r="M25" s="1329"/>
    </row>
    <row r="26" spans="1:37">
      <c r="A26" s="1183" t="s">
        <v>1031</v>
      </c>
      <c r="B26" s="347" t="s">
        <v>1453</v>
      </c>
      <c r="C26" s="24">
        <f ca="1">ROUND((C19+C20)*F26,0)</f>
        <v>1193</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6725</v>
      </c>
      <c r="D29" s="1324"/>
      <c r="E29" s="1322"/>
      <c r="F29" s="1325"/>
      <c r="G29" s="1834"/>
      <c r="H29" s="380" t="s">
        <v>1030</v>
      </c>
      <c r="I29" s="381" t="s">
        <v>1467</v>
      </c>
      <c r="J29" s="382">
        <f ca="1">ROUND(J26/(1+F40)^F41,0)</f>
        <v>0</v>
      </c>
      <c r="K29" s="383" t="s">
        <v>1468</v>
      </c>
      <c r="L29" s="384"/>
      <c r="M29" s="385">
        <f ca="1">INDIRECT("'数据-取费表'!k"&amp;$G$1)</f>
        <v>12128.399999999991</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1073</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817.8</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259.95</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557.03</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0.84</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2784.63</v>
      </c>
      <c r="G35" s="1831"/>
      <c r="H35" s="741"/>
      <c r="I35" s="1840"/>
      <c r="J35" s="1841"/>
      <c r="K35" s="1842"/>
      <c r="L35" s="1839"/>
      <c r="M35" s="1839"/>
    </row>
    <row r="36" spans="1:18" ht="18" customHeight="1">
      <c r="A36" s="1334" t="s">
        <v>1036</v>
      </c>
      <c r="B36" s="347" t="s">
        <v>1437</v>
      </c>
      <c r="C36" s="24">
        <f ca="1">ROUND(C29*F36,1)</f>
        <v>100.9</v>
      </c>
      <c r="D36" s="3399"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8.3000000000000007</v>
      </c>
      <c r="D37" s="3399"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146.4</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3807</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61727</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50895</v>
      </c>
      <c r="D43" s="383" t="s">
        <v>1476</v>
      </c>
      <c r="E43" s="384" t="s">
        <v>1477</v>
      </c>
      <c r="F43" s="385">
        <f ca="1">INDIRECT("'数据-取费表'!k"&amp;$G$1)</f>
        <v>12128.399999999991</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f ca="1">C68-C40</f>
        <v>-70068</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61727</v>
      </c>
      <c r="R47" s="1866" t="s">
        <v>1517</v>
      </c>
    </row>
    <row r="48" spans="1:18" s="1822" customFormat="1" ht="40.200000000000003"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8"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6725</v>
      </c>
      <c r="R49" s="1866" t="s">
        <v>1517</v>
      </c>
    </row>
    <row r="50" spans="1:18" s="1822" customFormat="1" ht="13.8" thickBot="1">
      <c r="A50" s="1177"/>
      <c r="B50" s="1180"/>
      <c r="C50" s="1350"/>
      <c r="D50" s="1154"/>
      <c r="E50" s="1259" t="s">
        <v>1394</v>
      </c>
      <c r="F50" s="1260">
        <f ca="1">F7</f>
        <v>12128.399999999991</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8"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43178</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61727</v>
      </c>
      <c r="R53" s="1866" t="s">
        <v>1044</v>
      </c>
    </row>
    <row r="54" spans="1:18" s="1822" customFormat="1" ht="24.6"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8"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f ca="1">C13</f>
        <v>5515</v>
      </c>
      <c r="D56" s="1893"/>
      <c r="E56" s="1894"/>
      <c r="F56" s="1886"/>
      <c r="I56" s="1895" t="s">
        <v>1542</v>
      </c>
      <c r="J56" s="1896" t="s">
        <v>3042</v>
      </c>
      <c r="K56" s="1867" t="s">
        <v>1543</v>
      </c>
      <c r="L56" s="1870" t="str">
        <f ca="1">IF(L48&lt;J51,"——",L48-J53)</f>
        <v>——</v>
      </c>
      <c r="O56" s="1864" t="s">
        <v>1037</v>
      </c>
      <c r="P56" s="1865" t="s">
        <v>1516</v>
      </c>
      <c r="Q56" s="1866">
        <f ca="1">C40+J29</f>
        <v>61727</v>
      </c>
      <c r="R56" s="1866" t="s">
        <v>1517</v>
      </c>
    </row>
    <row r="57" spans="1:18" s="1822" customFormat="1" ht="24.6" thickBot="1">
      <c r="A57" s="1897"/>
      <c r="B57" s="1151" t="s">
        <v>1466</v>
      </c>
      <c r="C57" s="282">
        <f ca="1">C29</f>
        <v>6725</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6" thickBot="1">
      <c r="A58" s="360" t="s">
        <v>1027</v>
      </c>
      <c r="B58" s="1159" t="s">
        <v>1412</v>
      </c>
      <c r="C58" s="361">
        <f ca="1">ROUND(C59+C64+C65+C66,0)</f>
        <v>675</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6" thickBot="1">
      <c r="A59" s="1183" t="s">
        <v>1032</v>
      </c>
      <c r="B59" s="1151" t="s">
        <v>1417</v>
      </c>
      <c r="C59" s="24">
        <f ca="1">ROUND(IF(项目基本情况!B11="自然人",C48*F59,C60+C61+C62),1)</f>
        <v>565.70000000000005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2"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8" thickBot="1">
      <c r="A61" s="1183" t="s">
        <v>1480</v>
      </c>
      <c r="B61" s="1151" t="s">
        <v>1425</v>
      </c>
      <c r="C61" s="24">
        <f ca="1">IF(项目基本情况!B11="自然人","——",IF(D61="按租金收入计税",ROUND(C48*F61,2),IF(D61="按房产原值计税",ROUND(C57*F61*0.7,2),INDIRECT("'数据-取费表'!Aj"&amp;$G$1))))</f>
        <v>564.9</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8" thickBot="1">
      <c r="A62" s="1183" t="s">
        <v>1483</v>
      </c>
      <c r="B62" s="1150" t="s">
        <v>1429</v>
      </c>
      <c r="C62" s="25">
        <f ca="1">IF(项目基本情况!B11="自然人","——",ROUND(F62*F63/10000,2))</f>
        <v>0.84</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61727</v>
      </c>
      <c r="R62" s="1866" t="s">
        <v>1044</v>
      </c>
    </row>
    <row r="63" spans="1:18" s="1822" customFormat="1" ht="13.8" thickBot="1">
      <c r="A63" s="372"/>
      <c r="B63" s="1157"/>
      <c r="C63" s="29"/>
      <c r="D63" s="1167"/>
      <c r="E63" s="1151" t="s">
        <v>1435</v>
      </c>
      <c r="F63" s="348">
        <f t="shared" ca="1" si="0"/>
        <v>2784.63</v>
      </c>
      <c r="I63" s="1908" t="s">
        <v>1564</v>
      </c>
      <c r="J63" s="1909">
        <v>70</v>
      </c>
      <c r="K63" s="1909">
        <v>50</v>
      </c>
      <c r="L63" s="1909">
        <v>80</v>
      </c>
      <c r="M63" s="1911">
        <v>0.02</v>
      </c>
      <c r="O63" s="1849" t="s">
        <v>1565</v>
      </c>
      <c r="P63" s="1819"/>
      <c r="Q63" s="1819"/>
      <c r="R63" s="1819"/>
    </row>
    <row r="64" spans="1:18" s="1822" customFormat="1" ht="13.8" thickBot="1">
      <c r="A64" s="1183" t="s">
        <v>1488</v>
      </c>
      <c r="B64" s="1151" t="s">
        <v>1437</v>
      </c>
      <c r="C64" s="24">
        <f ca="1">ROUND(C57*F64,1)</f>
        <v>100.9</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f ca="1">ROUND(C56*F65,1)</f>
        <v>8.3000000000000007</v>
      </c>
      <c r="D65" s="1165" t="s">
        <v>1442</v>
      </c>
      <c r="E65" s="1151" t="s">
        <v>1410</v>
      </c>
      <c r="F65" s="376">
        <f t="shared" ca="1" si="0"/>
        <v>1.5E-3</v>
      </c>
      <c r="I65" s="1908" t="s">
        <v>1567</v>
      </c>
      <c r="J65" s="1909">
        <v>40</v>
      </c>
      <c r="K65" s="1909">
        <v>30</v>
      </c>
      <c r="L65" s="1909">
        <v>50</v>
      </c>
      <c r="M65" s="1911">
        <v>0.02</v>
      </c>
      <c r="O65" s="1864" t="s">
        <v>1037</v>
      </c>
      <c r="P65" s="1865" t="s">
        <v>1516</v>
      </c>
      <c r="Q65" s="1866">
        <f ca="1">C40+J29</f>
        <v>61727</v>
      </c>
      <c r="R65" s="1866" t="s">
        <v>1517</v>
      </c>
    </row>
    <row r="66" spans="1:18" s="1822" customFormat="1" ht="16.2"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24.6" thickBot="1">
      <c r="A67" s="1158" t="s">
        <v>1028</v>
      </c>
      <c r="B67" s="1168" t="s">
        <v>1451</v>
      </c>
      <c r="C67" s="361">
        <f ca="1">C48-C58</f>
        <v>-675</v>
      </c>
      <c r="D67" s="1164" t="s">
        <v>1452</v>
      </c>
      <c r="E67" s="1169"/>
      <c r="F67" s="1170"/>
      <c r="O67" s="1874" t="s">
        <v>1039</v>
      </c>
      <c r="P67" s="1865" t="s">
        <v>1550</v>
      </c>
      <c r="Q67" s="1912">
        <f ca="1">L51</f>
        <v>43178</v>
      </c>
      <c r="R67" s="1866" t="s">
        <v>1570</v>
      </c>
    </row>
    <row r="68" spans="1:18" s="1822" customFormat="1" ht="16.2" thickBot="1">
      <c r="A68" s="1148" t="s">
        <v>1029</v>
      </c>
      <c r="B68" s="1149" t="s">
        <v>1473</v>
      </c>
      <c r="C68" s="346">
        <f ca="1">ROUND(C67*(1-((1+F70)/(1+F68))^F69)/(F68-F70),0)</f>
        <v>-8341</v>
      </c>
      <c r="D68" s="1166" t="s">
        <v>1457</v>
      </c>
      <c r="E68" s="1151" t="s">
        <v>1458</v>
      </c>
      <c r="F68" s="357">
        <f ca="1">F40</f>
        <v>0.06</v>
      </c>
      <c r="O68" s="1874" t="s">
        <v>1040</v>
      </c>
      <c r="P68" s="1913" t="s">
        <v>1571</v>
      </c>
      <c r="Q68" s="1866">
        <f ca="1">ROUND(Q69-Q70*Q71,0)</f>
        <v>3338</v>
      </c>
      <c r="R68" s="1866" t="s">
        <v>1048</v>
      </c>
    </row>
    <row r="69" spans="1:18" s="1822" customFormat="1" ht="13.8" thickBot="1">
      <c r="A69" s="1152"/>
      <c r="B69" s="1153"/>
      <c r="C69" s="351"/>
      <c r="D69" s="1171" t="s">
        <v>1461</v>
      </c>
      <c r="E69" s="1151" t="s">
        <v>1462</v>
      </c>
      <c r="F69" s="379">
        <f ca="1">F41</f>
        <v>23.21</v>
      </c>
      <c r="O69" s="1874" t="s">
        <v>1045</v>
      </c>
      <c r="P69" s="1913" t="s">
        <v>1572</v>
      </c>
      <c r="Q69" s="1866">
        <f ca="1">C39</f>
        <v>3807</v>
      </c>
      <c r="R69" s="1866" t="s">
        <v>1517</v>
      </c>
    </row>
    <row r="70" spans="1:18" s="1822" customFormat="1" ht="13.8" thickBot="1">
      <c r="A70" s="1155"/>
      <c r="B70" s="1156"/>
      <c r="C70" s="355"/>
      <c r="D70" s="1167"/>
      <c r="E70" s="1151" t="s">
        <v>1465</v>
      </c>
      <c r="F70" s="1257"/>
      <c r="O70" s="1874" t="s">
        <v>1046</v>
      </c>
      <c r="P70" s="1913" t="s">
        <v>1573</v>
      </c>
      <c r="Q70" s="1866">
        <f ca="1">C13</f>
        <v>5515</v>
      </c>
      <c r="R70" s="1866" t="s">
        <v>1517</v>
      </c>
    </row>
    <row r="71" spans="1:18" s="1822" customFormat="1" ht="13.8" thickBot="1">
      <c r="A71" s="1172" t="s">
        <v>1030</v>
      </c>
      <c r="B71" s="1173" t="s">
        <v>1475</v>
      </c>
      <c r="C71" s="382">
        <f ca="1">ROUND(C68*10000/F71,0)</f>
        <v>-6877</v>
      </c>
      <c r="D71" s="1174" t="s">
        <v>1476</v>
      </c>
      <c r="E71" s="1175" t="s">
        <v>1477</v>
      </c>
      <c r="F71" s="385">
        <f ca="1">F43</f>
        <v>12128.399999999991</v>
      </c>
      <c r="O71" s="1874" t="s">
        <v>1047</v>
      </c>
      <c r="P71" s="1913" t="s">
        <v>1574</v>
      </c>
      <c r="Q71" s="1877">
        <f ca="1">C76</f>
        <v>8.5000000000000006E-2</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#DIV/0!</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8" thickBot="1">
      <c r="A75" s="1822"/>
      <c r="B75" s="386" t="s">
        <v>1494</v>
      </c>
      <c r="C75" s="387">
        <f ca="1">ROUND(C13*C76,0)</f>
        <v>469</v>
      </c>
      <c r="D75" s="1822"/>
      <c r="E75" s="1822"/>
      <c r="F75" s="1822"/>
      <c r="K75" s="1848"/>
      <c r="L75" s="1822"/>
      <c r="O75" s="1864" t="s">
        <v>1043</v>
      </c>
      <c r="P75" s="1865" t="s">
        <v>1537</v>
      </c>
      <c r="Q75" s="1866">
        <f ca="1">Q65+Q66</f>
        <v>61727</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0.877</v>
      </c>
    </row>
    <row r="80" spans="1:18">
      <c r="B80" s="386" t="s">
        <v>1499</v>
      </c>
      <c r="C80" s="318">
        <f ca="1">ROUND(C75/C39,3)</f>
        <v>0.123</v>
      </c>
    </row>
    <row r="81" spans="2:3">
      <c r="B81" s="314" t="s">
        <v>1500</v>
      </c>
      <c r="C81" s="282"/>
    </row>
    <row r="82" spans="2:3">
      <c r="B82" s="317" t="s">
        <v>1501</v>
      </c>
      <c r="C82" s="319">
        <f ca="1">1-C83</f>
        <v>0.91100000000000003</v>
      </c>
    </row>
    <row r="83" spans="2:3">
      <c r="B83" s="317" t="s">
        <v>1502</v>
      </c>
      <c r="C83" s="318">
        <f ca="1">ROUND(C13/C40,3)</f>
        <v>8.8999999999999996E-2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C00-000000000000}">
      <formula1>"按租金收入计税,按房产原值计税"</formula1>
    </dataValidation>
    <dataValidation type="list" allowBlank="1" showInputMessage="1" showErrorMessage="1" sqref="D33 D61" xr:uid="{00000000-0002-0000-1C00-000001000000}">
      <formula1>"按租金收入计税,按房产原值计税,按票据"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47" xr:uid="{00000000-0002-0000-1C00-000003000000}">
      <formula1>"钢,钢混,砖混"</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56" xr:uid="{00000000-0002-0000-1C00-000005000000}">
      <formula1>判定</formula1>
    </dataValidation>
    <dataValidation type="list" allowBlank="1" showInputMessage="1" showErrorMessage="1" sqref="L55" xr:uid="{00000000-0002-0000-1C00-000006000000}">
      <formula1>"比较法,基准地价,收益还原"</formula1>
    </dataValidation>
    <dataValidation type="list" allowBlank="1" showInputMessage="1" showErrorMessage="1" sqref="M10 F10 F53"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4" customWidth="1"/>
    <col min="2" max="16384" width="9" style="1924"/>
  </cols>
  <sheetData>
    <row r="1" spans="1:1" ht="22.8">
      <c r="A1" s="1923" t="s">
        <v>1599</v>
      </c>
    </row>
    <row r="2" spans="1:1">
      <c r="A2" s="1925"/>
    </row>
    <row r="3" spans="1:1" ht="17.399999999999999">
      <c r="A3" s="1926" t="str">
        <f>项目基本情况!B5&amp;"："</f>
        <v>北京华彩华瀛资产管理有限公司：</v>
      </c>
    </row>
    <row r="4" spans="1:1" ht="34.799999999999997">
      <c r="A4" s="1927" t="str">
        <f>"受贵公司委托，我公司对"&amp;项目基本情况!S1&amp;"进行了预评估。"</f>
        <v>受贵公司委托，我公司对北京市朝阳区广顺北大街16号院1、2、3号楼房地产抵押价值进行了预评估。</v>
      </c>
    </row>
    <row r="5" spans="1:1" ht="17.399999999999999">
      <c r="A5" s="1928" t="s">
        <v>1600</v>
      </c>
    </row>
    <row r="6" spans="1:1" ht="17.399999999999999">
      <c r="A6" s="1929" t="s">
        <v>1601</v>
      </c>
    </row>
    <row r="7" spans="1:1" ht="52.2">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估价对象为北京市朝阳区广顺北大街16号院1、2、3号楼房地产，为所有。根据《国有土地使用证》[]，估价对象（分摊）出让国有建设用地使用权面积为9680.74平方米，建筑面积为42164.25平方米。</v>
      </c>
    </row>
    <row r="8" spans="1:1" ht="54.6">
      <c r="A8" s="1930" t="s">
        <v>1602</v>
      </c>
    </row>
    <row r="9" spans="1:1" ht="17.399999999999999">
      <c r="A9" s="1929" t="s">
        <v>1603</v>
      </c>
    </row>
    <row r="10" spans="1:1" ht="69.599999999999994">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9680.74平方米，规划建筑面积为42164.25平方米。</v>
      </c>
    </row>
    <row r="11" spans="1:1" ht="72">
      <c r="A11" s="1930" t="s">
        <v>1604</v>
      </c>
    </row>
    <row r="12" spans="1:1" ht="17.399999999999999">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932" t="s">
        <v>1606</v>
      </c>
    </row>
    <row r="15" spans="1:1" ht="17.399999999999999">
      <c r="A15" s="1933" t="str">
        <f>TEXT(项目基本情况!D3,"yyyy年m月d日;;")&amp;IF(项目基本情况!D3=项目基本情况!B3,"（评估专业人员实地查勘之日）","")</f>
        <v>2020年1月6日（评估专业人员实地查勘之日）</v>
      </c>
    </row>
    <row r="16" spans="1:1" ht="17.399999999999999">
      <c r="A16" s="1932" t="s">
        <v>1607</v>
      </c>
    </row>
    <row r="17" spans="1:1" ht="69.599999999999994">
      <c r="A17" s="1927" t="s">
        <v>1608</v>
      </c>
    </row>
    <row r="18" spans="1:1" ht="69.599999999999994">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2" t="s">
        <v>1597</v>
      </c>
    </row>
    <row r="24" spans="1:1" ht="17.399999999999999">
      <c r="A24" s="1934" t="str">
        <f>"本次评估采用的主估价方法为"&amp;结果表!K4&amp;"和"&amp;结果表!L4&amp;"。"</f>
        <v>本次评估采用的主估价方法为成本法和收益法。</v>
      </c>
    </row>
    <row r="25" spans="1:1" ht="17.399999999999999">
      <c r="A25" s="1934"/>
    </row>
    <row r="26" spans="1:1" ht="17.399999999999999">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zoomScale="85" zoomScaleNormal="85" zoomScaleSheetLayoutView="90" workbookViewId="0">
      <selection activeCell="I13" sqref="I1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3708</v>
      </c>
      <c r="D1" s="1800" t="s">
        <v>70</v>
      </c>
      <c r="E1" s="1801" t="s">
        <v>1375</v>
      </c>
      <c r="F1" s="1265">
        <f ca="1">J53</f>
        <v>23.21</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1469</v>
      </c>
      <c r="C2" s="1825" t="s">
        <v>1504</v>
      </c>
      <c r="D2" s="1825"/>
      <c r="E2" s="1826"/>
      <c r="F2" s="1827"/>
      <c r="G2" s="1828"/>
      <c r="H2" s="1820"/>
      <c r="I2" s="1820"/>
      <c r="J2" s="1820"/>
      <c r="K2" s="1821"/>
      <c r="L2" s="1820"/>
      <c r="M2" s="1820"/>
    </row>
    <row r="3" spans="1:37" ht="18" customHeight="1" thickBot="1">
      <c r="A3" s="1829" t="s">
        <v>1505</v>
      </c>
      <c r="B3" s="1830">
        <f ca="1">IF(ISERROR(B2*10000/F43),0,ROUND(B2*10000/F43,0))</f>
        <v>37763</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135</v>
      </c>
      <c r="D5" s="1802" t="s">
        <v>1390</v>
      </c>
      <c r="E5" s="1275"/>
      <c r="F5" s="1276"/>
      <c r="G5" s="1831"/>
      <c r="H5" s="344">
        <v>1</v>
      </c>
      <c r="I5" s="345" t="s">
        <v>1389</v>
      </c>
      <c r="J5" s="1274">
        <f ca="1">J6+J10+J12</f>
        <v>129</v>
      </c>
      <c r="K5" s="1802" t="s">
        <v>1390</v>
      </c>
      <c r="L5" s="1275"/>
      <c r="M5" s="1276"/>
    </row>
    <row r="6" spans="1:37" ht="18" customHeight="1">
      <c r="A6" s="1273" t="s">
        <v>1032</v>
      </c>
      <c r="B6" s="3766" t="s">
        <v>1391</v>
      </c>
      <c r="C6" s="1278">
        <f ca="1">ROUND(F6*F8*F7*(1-F9)/10000,0)</f>
        <v>135</v>
      </c>
      <c r="D6" s="164" t="s">
        <v>3004</v>
      </c>
      <c r="E6" s="347" t="s">
        <v>1393</v>
      </c>
      <c r="F6" s="348">
        <f ca="1">INDIRECT("'数据-取费表'!u"&amp;$G$1)</f>
        <v>9.5</v>
      </c>
      <c r="G6" s="1831"/>
      <c r="H6" s="1273" t="s">
        <v>1032</v>
      </c>
      <c r="I6" s="3766" t="s">
        <v>1391</v>
      </c>
      <c r="J6" s="346">
        <f ca="1">ROUND(M6*M8*M7*(1-M9)/10000,0)</f>
        <v>129</v>
      </c>
      <c r="K6" s="164" t="s">
        <v>3003</v>
      </c>
      <c r="L6" s="347" t="s">
        <v>1393</v>
      </c>
      <c r="M6" s="348">
        <f ca="1">INDIRECT("'数据-取费表'!z"&amp;$G$1)</f>
        <v>9.57</v>
      </c>
    </row>
    <row r="7" spans="1:37" ht="18" customHeight="1">
      <c r="A7" s="1277"/>
      <c r="B7" s="3767"/>
      <c r="C7" s="1279"/>
      <c r="D7" s="352"/>
      <c r="E7" s="3430" t="s">
        <v>1394</v>
      </c>
      <c r="F7" s="348">
        <f ca="1">IF(INDIRECT("'数据-取费表'!ah"&amp;$G$1)="",INDIRECT("'数据-取费表'!k"&amp;$G$1),INDIRECT("'数据-取费表'!ah"&amp;$G$1))</f>
        <v>389</v>
      </c>
      <c r="G7" s="1831"/>
      <c r="H7" s="349"/>
      <c r="I7" s="3767"/>
      <c r="J7" s="351"/>
      <c r="K7" s="352"/>
      <c r="L7" s="347" t="s">
        <v>1394</v>
      </c>
      <c r="M7" s="348">
        <f ca="1">F7</f>
        <v>389</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v>
      </c>
      <c r="G9" s="1831"/>
      <c r="H9" s="349"/>
      <c r="I9" s="3768"/>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0</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170</v>
      </c>
      <c r="D13" s="1313" t="s">
        <v>1403</v>
      </c>
      <c r="E13" s="1313" t="s">
        <v>1404</v>
      </c>
      <c r="F13" s="1314">
        <f ca="1">INDIRECT("'数据-取费表'!y"&amp;$G$1)</f>
        <v>0.82</v>
      </c>
      <c r="G13" s="1831"/>
      <c r="H13" s="1311">
        <v>2</v>
      </c>
      <c r="I13" s="1312" t="s">
        <v>1402</v>
      </c>
      <c r="J13" s="1272">
        <f ca="1">ROUND(J14*J15,0)</f>
        <v>151</v>
      </c>
      <c r="K13" s="1319" t="s">
        <v>1403</v>
      </c>
      <c r="L13" s="1832"/>
      <c r="M13" s="1833"/>
    </row>
    <row r="14" spans="1:37" ht="18" customHeight="1">
      <c r="A14" s="1183" t="s">
        <v>1031</v>
      </c>
      <c r="B14" s="347" t="s">
        <v>1405</v>
      </c>
      <c r="C14" s="363">
        <f ca="1">INDIRECT("'数据-取费表'!m"&amp;$G$1)+INDIRECT("'数据-取费表'!t"&amp;$G$1)</f>
        <v>136</v>
      </c>
      <c r="D14" s="3433" t="s">
        <v>1406</v>
      </c>
      <c r="E14" s="3432"/>
      <c r="F14" s="364"/>
      <c r="G14" s="1831"/>
      <c r="H14" s="1183" t="s">
        <v>1032</v>
      </c>
      <c r="I14" s="347" t="s">
        <v>1407</v>
      </c>
      <c r="J14" s="24">
        <f ca="1">C29</f>
        <v>207</v>
      </c>
      <c r="K14" s="3429"/>
      <c r="L14" s="969"/>
      <c r="M14" s="970"/>
    </row>
    <row r="15" spans="1:37" s="1838" customFormat="1" ht="18" customHeight="1" thickBot="1">
      <c r="A15" s="1183" t="s">
        <v>1033</v>
      </c>
      <c r="B15" s="347" t="s">
        <v>1408</v>
      </c>
      <c r="C15" s="24">
        <f ca="1">ROUND(C14*F15,0)</f>
        <v>4</v>
      </c>
      <c r="D15" s="365" t="s">
        <v>1409</v>
      </c>
      <c r="E15" s="365" t="s">
        <v>1410</v>
      </c>
      <c r="F15" s="366">
        <f>'数据-取费表'!B33</f>
        <v>0.03</v>
      </c>
      <c r="G15" s="1834"/>
      <c r="H15" s="1321" t="s">
        <v>1036</v>
      </c>
      <c r="I15" s="1322" t="s">
        <v>1404</v>
      </c>
      <c r="J15" s="1331">
        <f ca="1">INDIRECT("'数据-取费表'!ad"&amp;$G$1)</f>
        <v>0.73</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29</v>
      </c>
      <c r="K16" s="1319" t="s">
        <v>1413</v>
      </c>
      <c r="L16" s="3435"/>
      <c r="M16" s="1276"/>
    </row>
    <row r="17" spans="1:37" s="1838" customFormat="1" ht="18" customHeight="1">
      <c r="A17" s="1183" t="s">
        <v>1378</v>
      </c>
      <c r="B17" s="347" t="s">
        <v>1414</v>
      </c>
      <c r="C17" s="24">
        <f ca="1">ROUND(F17*(F43+INDIRECT("'数据-取费表'!S"&amp;$G$1))/10000,0)</f>
        <v>8</v>
      </c>
      <c r="D17" s="347" t="s">
        <v>1415</v>
      </c>
      <c r="E17" s="347" t="s">
        <v>1416</v>
      </c>
      <c r="F17" s="26">
        <f>'数据-取费表'!B35</f>
        <v>200</v>
      </c>
      <c r="G17" s="1834"/>
      <c r="H17" s="1183" t="s">
        <v>1032</v>
      </c>
      <c r="I17" s="347" t="s">
        <v>1417</v>
      </c>
      <c r="J17" s="24">
        <f ca="1">ROUND(IF(项目基本情况!B11="自然人",J6*M17/(1+'数据-取费表'!C42),J18+J19+J20),1)</f>
        <v>21.7</v>
      </c>
      <c r="K17" s="3433" t="s">
        <v>1418</v>
      </c>
      <c r="L17" s="3434"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2</v>
      </c>
      <c r="D18" s="347" t="s">
        <v>1409</v>
      </c>
      <c r="E18" s="347" t="s">
        <v>1410</v>
      </c>
      <c r="F18" s="367">
        <f>'数据-取费表'!B36</f>
        <v>1.4999999999999999E-2</v>
      </c>
      <c r="G18" s="1834"/>
      <c r="H18" s="1183" t="s">
        <v>1031</v>
      </c>
      <c r="I18" s="347" t="s">
        <v>1421</v>
      </c>
      <c r="J18" s="24">
        <f ca="1">ROUND(J6*M18/(1+'数据-取费表'!C42),2)</f>
        <v>6.88</v>
      </c>
      <c r="K18" s="3434"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150</v>
      </c>
      <c r="D19" s="140" t="s">
        <v>1424</v>
      </c>
      <c r="E19" s="3428"/>
      <c r="F19" s="26"/>
      <c r="G19" s="1831"/>
      <c r="H19" s="1183" t="s">
        <v>1033</v>
      </c>
      <c r="I19" s="347" t="s">
        <v>1425</v>
      </c>
      <c r="J19" s="24">
        <f ca="1">IF(K19="按租金收入计税",ROUND(J6*M19/(1+'数据-取费表'!C42),2),ROUND(C29*M19*0.7,2))</f>
        <v>14.74</v>
      </c>
      <c r="K19" s="1808" t="s">
        <v>3060</v>
      </c>
      <c r="L19" s="347" t="s">
        <v>1410</v>
      </c>
      <c r="M19" s="367">
        <f>IF(K19="按租金收入计税",'数据-取费表'!B51,'数据-取费表'!B50)</f>
        <v>0.12</v>
      </c>
    </row>
    <row r="20" spans="1:37" s="1838" customFormat="1" ht="18" customHeight="1">
      <c r="A20" s="1183" t="s">
        <v>1036</v>
      </c>
      <c r="B20" s="347" t="s">
        <v>1427</v>
      </c>
      <c r="C20" s="24">
        <f ca="1">ROUND(C19*F20,0)</f>
        <v>3</v>
      </c>
      <c r="D20" s="369" t="s">
        <v>1428</v>
      </c>
      <c r="E20" s="347" t="s">
        <v>1410</v>
      </c>
      <c r="F20" s="367">
        <f>'数据-取费表'!B37</f>
        <v>0.02</v>
      </c>
      <c r="G20" s="1834"/>
      <c r="H20" s="1183" t="s">
        <v>1377</v>
      </c>
      <c r="I20" s="164" t="s">
        <v>1429</v>
      </c>
      <c r="J20" s="25">
        <f ca="1">ROUND(M20*M21/10000,2)</f>
        <v>0.03</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89.31</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28"/>
      <c r="F22" s="26"/>
      <c r="G22" s="1831"/>
      <c r="H22" s="1183" t="s">
        <v>1036</v>
      </c>
      <c r="I22" s="347" t="s">
        <v>1437</v>
      </c>
      <c r="J22" s="24">
        <f ca="1">ROUND(J14*M22,1)</f>
        <v>3.1</v>
      </c>
      <c r="K22" s="3434"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0.2</v>
      </c>
      <c r="K23" s="3434"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3.9</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28"/>
      <c r="F25" s="26"/>
      <c r="G25" s="1831"/>
      <c r="H25" s="1311" t="s">
        <v>1028</v>
      </c>
      <c r="I25" s="1326" t="s">
        <v>1451</v>
      </c>
      <c r="J25" s="355">
        <f ca="1">J5-J16</f>
        <v>100</v>
      </c>
      <c r="K25" s="1327" t="s">
        <v>1452</v>
      </c>
      <c r="L25" s="1328"/>
      <c r="M25" s="1329"/>
    </row>
    <row r="26" spans="1:37">
      <c r="A26" s="1183" t="s">
        <v>1031</v>
      </c>
      <c r="B26" s="347" t="s">
        <v>1453</v>
      </c>
      <c r="C26" s="24">
        <f ca="1">ROUND((C19+C20)*F26,0)</f>
        <v>31</v>
      </c>
      <c r="D26" s="369" t="s">
        <v>1454</v>
      </c>
      <c r="E26" s="358" t="s">
        <v>1455</v>
      </c>
      <c r="F26" s="357">
        <f ca="1">INDIRECT("'数据-取费表'!q"&amp;$G$1)</f>
        <v>0.2</v>
      </c>
      <c r="G26" s="1831"/>
      <c r="H26" s="344" t="s">
        <v>1029</v>
      </c>
      <c r="I26" s="345" t="s">
        <v>1456</v>
      </c>
      <c r="J26" s="346">
        <f ca="1">IF(J5&lt;&gt;0,ROUND(J25*(1-((1+M28)/(1+M26))^M27)/(M26-M28),0),0)</f>
        <v>1384</v>
      </c>
      <c r="K26" s="370" t="s">
        <v>1457</v>
      </c>
      <c r="L26" s="347" t="s">
        <v>1458</v>
      </c>
      <c r="M26" s="357">
        <f ca="1">INDIRECT("'数据-取费表'!I"&amp;$G$1)</f>
        <v>0.06</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18.68</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207</v>
      </c>
      <c r="D29" s="1324"/>
      <c r="E29" s="1322"/>
      <c r="F29" s="1325"/>
      <c r="G29" s="1834"/>
      <c r="H29" s="380" t="s">
        <v>1030</v>
      </c>
      <c r="I29" s="381" t="s">
        <v>1467</v>
      </c>
      <c r="J29" s="382">
        <f ca="1">ROUND(J26/(1+F40)^F41,0)</f>
        <v>1063</v>
      </c>
      <c r="K29" s="383" t="s">
        <v>1468</v>
      </c>
      <c r="L29" s="384"/>
      <c r="M29" s="385">
        <f ca="1">INDIRECT("'数据-取费表'!k"&amp;$G$1)</f>
        <v>389</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30</v>
      </c>
      <c r="D30" s="1319" t="s">
        <v>1413</v>
      </c>
      <c r="E30" s="3435"/>
      <c r="F30" s="1276"/>
      <c r="G30" s="1831"/>
      <c r="H30" s="741"/>
      <c r="I30" s="742"/>
      <c r="J30" s="743"/>
      <c r="K30" s="744"/>
      <c r="L30" s="745"/>
      <c r="M30" s="746"/>
    </row>
    <row r="31" spans="1:37" ht="18" customHeight="1">
      <c r="A31" s="1183" t="s">
        <v>1032</v>
      </c>
      <c r="B31" s="347" t="s">
        <v>1417</v>
      </c>
      <c r="C31" s="24">
        <f ca="1">ROUND(IF(项目基本情况!B11="自然人",C6*F31/(1+'数据-取费表'!C42),C32+C33+C34),1)</f>
        <v>22.7</v>
      </c>
      <c r="D31" s="3433" t="s">
        <v>1418</v>
      </c>
      <c r="E31" s="3434"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7.2</v>
      </c>
      <c r="D32" s="3434"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15.43</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0.03</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89.31</v>
      </c>
      <c r="G35" s="1831"/>
      <c r="H35" s="741"/>
      <c r="I35" s="1840"/>
      <c r="J35" s="1841"/>
      <c r="K35" s="1842"/>
      <c r="L35" s="1839"/>
      <c r="M35" s="1839"/>
    </row>
    <row r="36" spans="1:18" ht="18" customHeight="1">
      <c r="A36" s="1334" t="s">
        <v>1036</v>
      </c>
      <c r="B36" s="347" t="s">
        <v>1437</v>
      </c>
      <c r="C36" s="24">
        <f ca="1">ROUND(C29*F36,1)</f>
        <v>3.1</v>
      </c>
      <c r="D36" s="3434"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0.3</v>
      </c>
      <c r="D37" s="3434"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4.0999999999999996</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105</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406</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4.53</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10437</v>
      </c>
      <c r="D43" s="383" t="s">
        <v>1476</v>
      </c>
      <c r="E43" s="384" t="s">
        <v>1477</v>
      </c>
      <c r="F43" s="385">
        <f ca="1">INDIRECT("'数据-取费表'!k"&amp;$G$1)</f>
        <v>389</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f ca="1">C68-C40</f>
        <v>-487</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1469</v>
      </c>
      <c r="R47" s="1866" t="s">
        <v>1517</v>
      </c>
    </row>
    <row r="48" spans="1:18" s="1822" customFormat="1" ht="40.200000000000003" thickBot="1">
      <c r="A48" s="1342" t="s">
        <v>1125</v>
      </c>
      <c r="B48" s="345" t="s">
        <v>1389</v>
      </c>
      <c r="C48" s="342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8"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207</v>
      </c>
      <c r="R49" s="1866" t="s">
        <v>1517</v>
      </c>
    </row>
    <row r="50" spans="1:18" s="1822" customFormat="1" ht="13.8" thickBot="1">
      <c r="A50" s="1177"/>
      <c r="B50" s="1180"/>
      <c r="C50" s="1350"/>
      <c r="D50" s="1154"/>
      <c r="E50" s="1259" t="s">
        <v>1394</v>
      </c>
      <c r="F50" s="1260">
        <f ca="1">F7</f>
        <v>389</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8"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1171</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1469</v>
      </c>
      <c r="R53" s="1866" t="s">
        <v>1044</v>
      </c>
    </row>
    <row r="54" spans="1:18" s="1822" customFormat="1" ht="24.6" thickBot="1">
      <c r="A54" s="1387"/>
      <c r="B54" s="1805" t="s">
        <v>1376</v>
      </c>
      <c r="C54" s="1160"/>
      <c r="D54" s="1804"/>
      <c r="E54" s="3431"/>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8" thickBot="1">
      <c r="A55" s="1315" t="s">
        <v>1072</v>
      </c>
      <c r="B55" s="1807" t="s">
        <v>1401</v>
      </c>
      <c r="C55" s="1316"/>
      <c r="D55" s="1804"/>
      <c r="E55" s="3431"/>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f ca="1">C13</f>
        <v>170</v>
      </c>
      <c r="D56" s="1893"/>
      <c r="E56" s="1894"/>
      <c r="F56" s="1886"/>
      <c r="I56" s="1895" t="s">
        <v>1542</v>
      </c>
      <c r="J56" s="1896" t="s">
        <v>3042</v>
      </c>
      <c r="K56" s="1867" t="s">
        <v>1543</v>
      </c>
      <c r="L56" s="1870" t="str">
        <f ca="1">IF(L48&lt;J51,"——",L48-J53)</f>
        <v>——</v>
      </c>
      <c r="O56" s="1864" t="s">
        <v>1037</v>
      </c>
      <c r="P56" s="1865" t="s">
        <v>1516</v>
      </c>
      <c r="Q56" s="1866">
        <f ca="1">C40+J29</f>
        <v>1469</v>
      </c>
      <c r="R56" s="1866" t="s">
        <v>1517</v>
      </c>
    </row>
    <row r="57" spans="1:18" s="1822" customFormat="1" ht="24.6" thickBot="1">
      <c r="A57" s="1897"/>
      <c r="B57" s="1151" t="s">
        <v>1466</v>
      </c>
      <c r="C57" s="282">
        <f ca="1">C29</f>
        <v>207</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6" thickBot="1">
      <c r="A58" s="360" t="s">
        <v>1027</v>
      </c>
      <c r="B58" s="1159" t="s">
        <v>1412</v>
      </c>
      <c r="C58" s="361">
        <f ca="1">ROUND(C59+C64+C65+C66,0)</f>
        <v>21</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6" thickBot="1">
      <c r="A59" s="1183" t="s">
        <v>1032</v>
      </c>
      <c r="B59" s="1151" t="s">
        <v>1417</v>
      </c>
      <c r="C59" s="24">
        <f ca="1">ROUND(IF(项目基本情况!B11="自然人",C48*F59,C60+C61+C62),1)</f>
        <v>17.399999999999999</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2"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8" thickBot="1">
      <c r="A61" s="1183" t="s">
        <v>1480</v>
      </c>
      <c r="B61" s="1151" t="s">
        <v>1425</v>
      </c>
      <c r="C61" s="24">
        <f ca="1">IF(项目基本情况!B11="自然人","——",IF(D61="按租金收入计税",ROUND(C48*F61,2),IF(D61="按房产原值计税",ROUND(C57*F61*0.7,2),INDIRECT("'数据-取费表'!Aj"&amp;$G$1))))</f>
        <v>17.39</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8" thickBot="1">
      <c r="A62" s="1183" t="s">
        <v>1483</v>
      </c>
      <c r="B62" s="1150" t="s">
        <v>1429</v>
      </c>
      <c r="C62" s="25">
        <f ca="1">IF(项目基本情况!B11="自然人","——",ROUND(F62*F63/10000,2))</f>
        <v>0.03</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1469</v>
      </c>
      <c r="R62" s="1866" t="s">
        <v>1044</v>
      </c>
    </row>
    <row r="63" spans="1:18" s="1822" customFormat="1" ht="13.8" thickBot="1">
      <c r="A63" s="372"/>
      <c r="B63" s="1157"/>
      <c r="C63" s="29"/>
      <c r="D63" s="1167"/>
      <c r="E63" s="1151" t="s">
        <v>1435</v>
      </c>
      <c r="F63" s="348">
        <f t="shared" ca="1" si="0"/>
        <v>89.31</v>
      </c>
      <c r="I63" s="1908" t="s">
        <v>1564</v>
      </c>
      <c r="J63" s="1909">
        <v>70</v>
      </c>
      <c r="K63" s="1909">
        <v>50</v>
      </c>
      <c r="L63" s="1909">
        <v>80</v>
      </c>
      <c r="M63" s="1911">
        <v>0.02</v>
      </c>
      <c r="O63" s="1849" t="s">
        <v>1565</v>
      </c>
      <c r="P63" s="1819"/>
      <c r="Q63" s="1819"/>
      <c r="R63" s="1819"/>
    </row>
    <row r="64" spans="1:18" s="1822" customFormat="1" ht="13.8" thickBot="1">
      <c r="A64" s="1183" t="s">
        <v>1488</v>
      </c>
      <c r="B64" s="1151" t="s">
        <v>1437</v>
      </c>
      <c r="C64" s="24">
        <f ca="1">ROUND(C57*F64,1)</f>
        <v>3.1</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f ca="1">ROUND(C56*F65,1)</f>
        <v>0.3</v>
      </c>
      <c r="D65" s="1165" t="s">
        <v>1442</v>
      </c>
      <c r="E65" s="1151" t="s">
        <v>1410</v>
      </c>
      <c r="F65" s="376">
        <f t="shared" ca="1" si="0"/>
        <v>1.5E-3</v>
      </c>
      <c r="I65" s="1908" t="s">
        <v>1567</v>
      </c>
      <c r="J65" s="1909">
        <v>40</v>
      </c>
      <c r="K65" s="1909">
        <v>30</v>
      </c>
      <c r="L65" s="1909">
        <v>50</v>
      </c>
      <c r="M65" s="1911">
        <v>0.02</v>
      </c>
      <c r="O65" s="1864" t="s">
        <v>1037</v>
      </c>
      <c r="P65" s="1865" t="s">
        <v>1516</v>
      </c>
      <c r="Q65" s="1866">
        <f ca="1">C40+J29</f>
        <v>1469</v>
      </c>
      <c r="R65" s="1866" t="s">
        <v>1517</v>
      </c>
    </row>
    <row r="66" spans="1:18" s="1822" customFormat="1" ht="16.2"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24.6" thickBot="1">
      <c r="A67" s="1158" t="s">
        <v>1028</v>
      </c>
      <c r="B67" s="1168" t="s">
        <v>1451</v>
      </c>
      <c r="C67" s="361">
        <f ca="1">C48-C58</f>
        <v>-21</v>
      </c>
      <c r="D67" s="1164" t="s">
        <v>1452</v>
      </c>
      <c r="E67" s="1169"/>
      <c r="F67" s="1170"/>
      <c r="O67" s="1874" t="s">
        <v>1039</v>
      </c>
      <c r="P67" s="1865" t="s">
        <v>1550</v>
      </c>
      <c r="Q67" s="1912">
        <f ca="1">L51</f>
        <v>1171</v>
      </c>
      <c r="R67" s="1866" t="s">
        <v>1570</v>
      </c>
    </row>
    <row r="68" spans="1:18" s="1822" customFormat="1" ht="16.2" thickBot="1">
      <c r="A68" s="1148" t="s">
        <v>1029</v>
      </c>
      <c r="B68" s="1149" t="s">
        <v>1473</v>
      </c>
      <c r="C68" s="346">
        <f ca="1">ROUND(C67*(1-((1+F70)/(1+F68))^F69)/(F68-F70),0)</f>
        <v>-81</v>
      </c>
      <c r="D68" s="1166" t="s">
        <v>1457</v>
      </c>
      <c r="E68" s="1151" t="s">
        <v>1458</v>
      </c>
      <c r="F68" s="357">
        <f ca="1">F40</f>
        <v>0.06</v>
      </c>
      <c r="O68" s="1874" t="s">
        <v>1040</v>
      </c>
      <c r="P68" s="1913" t="s">
        <v>1571</v>
      </c>
      <c r="Q68" s="1866">
        <f ca="1">ROUND(Q69-Q70*Q71,0)</f>
        <v>91</v>
      </c>
      <c r="R68" s="1866" t="s">
        <v>1048</v>
      </c>
    </row>
    <row r="69" spans="1:18" s="1822" customFormat="1" ht="13.8" thickBot="1">
      <c r="A69" s="1152"/>
      <c r="B69" s="1153"/>
      <c r="C69" s="351"/>
      <c r="D69" s="1171" t="s">
        <v>1461</v>
      </c>
      <c r="E69" s="1151" t="s">
        <v>1462</v>
      </c>
      <c r="F69" s="379">
        <f ca="1">F41</f>
        <v>4.53</v>
      </c>
      <c r="O69" s="1874" t="s">
        <v>1045</v>
      </c>
      <c r="P69" s="1913" t="s">
        <v>1572</v>
      </c>
      <c r="Q69" s="1866">
        <f ca="1">C39</f>
        <v>105</v>
      </c>
      <c r="R69" s="1866" t="s">
        <v>1517</v>
      </c>
    </row>
    <row r="70" spans="1:18" s="1822" customFormat="1" ht="13.8" thickBot="1">
      <c r="A70" s="1155"/>
      <c r="B70" s="1156"/>
      <c r="C70" s="355"/>
      <c r="D70" s="1167"/>
      <c r="E70" s="1151" t="s">
        <v>1465</v>
      </c>
      <c r="F70" s="1257"/>
      <c r="O70" s="1874" t="s">
        <v>1046</v>
      </c>
      <c r="P70" s="1913" t="s">
        <v>1573</v>
      </c>
      <c r="Q70" s="1866">
        <f ca="1">C13</f>
        <v>170</v>
      </c>
      <c r="R70" s="1866" t="s">
        <v>1517</v>
      </c>
    </row>
    <row r="71" spans="1:18" s="1822" customFormat="1" ht="13.8" thickBot="1">
      <c r="A71" s="1172" t="s">
        <v>1030</v>
      </c>
      <c r="B71" s="1173" t="s">
        <v>1475</v>
      </c>
      <c r="C71" s="382">
        <f ca="1">ROUND(C68*10000/F71,0)</f>
        <v>-2082</v>
      </c>
      <c r="D71" s="1174" t="s">
        <v>1476</v>
      </c>
      <c r="E71" s="1175" t="s">
        <v>1477</v>
      </c>
      <c r="F71" s="385">
        <f ca="1">F43</f>
        <v>389</v>
      </c>
      <c r="O71" s="1874" t="s">
        <v>1047</v>
      </c>
      <c r="P71" s="1913" t="s">
        <v>1574</v>
      </c>
      <c r="Q71" s="1877">
        <f ca="1">C76</f>
        <v>8.5000000000000006E-2</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#DIV/0!</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8" thickBot="1">
      <c r="A75" s="1822"/>
      <c r="B75" s="386" t="s">
        <v>1494</v>
      </c>
      <c r="C75" s="387">
        <f ca="1">ROUND(C13*C76,0)</f>
        <v>14</v>
      </c>
      <c r="D75" s="1822"/>
      <c r="E75" s="1822"/>
      <c r="F75" s="1822"/>
      <c r="K75" s="1848"/>
      <c r="L75" s="1822"/>
      <c r="O75" s="1864" t="s">
        <v>1043</v>
      </c>
      <c r="P75" s="1865" t="s">
        <v>1537</v>
      </c>
      <c r="Q75" s="1866">
        <f ca="1">Q65+Q66</f>
        <v>1469</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0.86699999999999999</v>
      </c>
    </row>
    <row r="80" spans="1:18">
      <c r="B80" s="386" t="s">
        <v>1499</v>
      </c>
      <c r="C80" s="318">
        <f ca="1">ROUND(C75/C39,3)</f>
        <v>0.13300000000000001</v>
      </c>
    </row>
    <row r="81" spans="2:3">
      <c r="B81" s="314" t="s">
        <v>1500</v>
      </c>
      <c r="C81" s="282"/>
    </row>
    <row r="82" spans="2:3">
      <c r="B82" s="317" t="s">
        <v>1501</v>
      </c>
      <c r="C82" s="319">
        <f ca="1">1-C83</f>
        <v>0.58099999999999996</v>
      </c>
    </row>
    <row r="83" spans="2:3">
      <c r="B83" s="317" t="s">
        <v>1502</v>
      </c>
      <c r="C83" s="318">
        <f ca="1">ROUND(C13/C40,3)</f>
        <v>0.41899999999999998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zoomScale="85" zoomScaleNormal="85" zoomScaleSheetLayoutView="90" workbookViewId="0">
      <selection activeCell="D6" sqref="D6"/>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3709</v>
      </c>
      <c r="D1" s="1800" t="s">
        <v>70</v>
      </c>
      <c r="E1" s="1801" t="s">
        <v>1375</v>
      </c>
      <c r="F1" s="1265">
        <f ca="1">J53</f>
        <v>23.21</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211</v>
      </c>
      <c r="C2" s="1825" t="s">
        <v>1504</v>
      </c>
      <c r="D2" s="1825"/>
      <c r="E2" s="1826"/>
      <c r="F2" s="1827"/>
      <c r="G2" s="1828"/>
      <c r="H2" s="1820"/>
      <c r="I2" s="1820"/>
      <c r="J2" s="1820"/>
      <c r="K2" s="1821"/>
      <c r="L2" s="1820"/>
      <c r="M2" s="1820"/>
    </row>
    <row r="3" spans="1:37" ht="18" customHeight="1" thickBot="1">
      <c r="A3" s="1829" t="s">
        <v>1505</v>
      </c>
      <c r="B3" s="1830">
        <f ca="1">IF(ISERROR(B2*10000/F43),0,ROUND(B2*10000/F43,0))</f>
        <v>66020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17</v>
      </c>
      <c r="D5" s="1802" t="s">
        <v>1390</v>
      </c>
      <c r="E5" s="1275"/>
      <c r="F5" s="1276"/>
      <c r="G5" s="1831"/>
      <c r="H5" s="344">
        <v>1</v>
      </c>
      <c r="I5" s="345" t="s">
        <v>1389</v>
      </c>
      <c r="J5" s="1274">
        <f ca="1">J6+J10+J12</f>
        <v>0</v>
      </c>
      <c r="K5" s="1802" t="s">
        <v>1390</v>
      </c>
      <c r="L5" s="1275"/>
      <c r="M5" s="1276"/>
    </row>
    <row r="6" spans="1:37" ht="18" customHeight="1">
      <c r="A6" s="1273" t="s">
        <v>1032</v>
      </c>
      <c r="B6" s="3766" t="s">
        <v>1391</v>
      </c>
      <c r="C6" s="1278">
        <f ca="1">ROUND(F6*F8*F7*(1-F9)/10000,0)</f>
        <v>17</v>
      </c>
      <c r="D6" s="164" t="s">
        <v>3004</v>
      </c>
      <c r="E6" s="347" t="s">
        <v>1393</v>
      </c>
      <c r="F6" s="348">
        <f ca="1">INDIRECT("'数据-取费表'!u"&amp;$G$1)</f>
        <v>15</v>
      </c>
      <c r="G6" s="1831"/>
      <c r="H6" s="1273" t="s">
        <v>1032</v>
      </c>
      <c r="I6" s="3766" t="s">
        <v>1391</v>
      </c>
      <c r="J6" s="346">
        <f ca="1">ROUND(M6*M8*M7*(1-M9)/10000,0)</f>
        <v>0</v>
      </c>
      <c r="K6" s="164" t="s">
        <v>3003</v>
      </c>
      <c r="L6" s="347" t="s">
        <v>1393</v>
      </c>
      <c r="M6" s="348">
        <f ca="1">INDIRECT("'数据-取费表'!z"&amp;$G$1)</f>
        <v>0</v>
      </c>
    </row>
    <row r="7" spans="1:37" ht="18" customHeight="1">
      <c r="A7" s="1277"/>
      <c r="B7" s="3767"/>
      <c r="C7" s="1279"/>
      <c r="D7" s="352"/>
      <c r="E7" s="3430" t="s">
        <v>1394</v>
      </c>
      <c r="F7" s="348">
        <f ca="1">IF(INDIRECT("'数据-取费表'!ah"&amp;$G$1)="",INDIRECT("'数据-取费表'!k"&amp;$G$1),INDIRECT("'数据-取费表'!ah"&amp;$G$1))</f>
        <v>31.96</v>
      </c>
      <c r="G7" s="1831"/>
      <c r="H7" s="349"/>
      <c r="I7" s="3767"/>
      <c r="J7" s="351"/>
      <c r="K7" s="352"/>
      <c r="L7" s="347" t="s">
        <v>1394</v>
      </c>
      <c r="M7" s="348">
        <f ca="1">F7</f>
        <v>31.96</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0.05</v>
      </c>
      <c r="G9" s="1831"/>
      <c r="H9" s="349"/>
      <c r="I9" s="376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11</v>
      </c>
      <c r="D14" s="3433" t="s">
        <v>1406</v>
      </c>
      <c r="E14" s="3432"/>
      <c r="F14" s="364"/>
      <c r="G14" s="1831"/>
      <c r="H14" s="1183" t="s">
        <v>1032</v>
      </c>
      <c r="I14" s="347" t="s">
        <v>1407</v>
      </c>
      <c r="J14" s="24">
        <f ca="1">C29</f>
        <v>16</v>
      </c>
      <c r="K14" s="3429"/>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35"/>
      <c r="M16" s="1276"/>
    </row>
    <row r="17" spans="1:37" s="1838" customFormat="1" ht="18" customHeight="1">
      <c r="A17" s="1183" t="s">
        <v>1378</v>
      </c>
      <c r="B17" s="347" t="s">
        <v>1414</v>
      </c>
      <c r="C17" s="24">
        <f ca="1">ROUND(F17*(F43+INDIRECT("'数据-取费表'!S"&amp;$G$1))/10000,0)</f>
        <v>1</v>
      </c>
      <c r="D17" s="347" t="s">
        <v>1415</v>
      </c>
      <c r="E17" s="347" t="s">
        <v>1416</v>
      </c>
      <c r="F17" s="26">
        <f>'数据-取费表'!B35</f>
        <v>200</v>
      </c>
      <c r="G17" s="1834"/>
      <c r="H17" s="1183" t="s">
        <v>1032</v>
      </c>
      <c r="I17" s="347" t="s">
        <v>1417</v>
      </c>
      <c r="J17" s="24">
        <f ca="1">ROUND(IF(项目基本情况!B11="自然人",J6*M17/(1+'数据-取费表'!C42),J18+J19+J20),1)</f>
        <v>0</v>
      </c>
      <c r="K17" s="3433" t="s">
        <v>1418</v>
      </c>
      <c r="L17" s="3434"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434"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12</v>
      </c>
      <c r="D19" s="140" t="s">
        <v>1424</v>
      </c>
      <c r="E19" s="342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7.34</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28"/>
      <c r="F22" s="26"/>
      <c r="G22" s="1831"/>
      <c r="H22" s="1183" t="s">
        <v>1036</v>
      </c>
      <c r="I22" s="347" t="s">
        <v>1437</v>
      </c>
      <c r="J22" s="24">
        <f ca="1">ROUND(J14*M22,1)</f>
        <v>0.2</v>
      </c>
      <c r="K22" s="3434"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434"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28"/>
      <c r="F25" s="26"/>
      <c r="G25" s="1831"/>
      <c r="H25" s="1311" t="s">
        <v>1028</v>
      </c>
      <c r="I25" s="1326" t="s">
        <v>1451</v>
      </c>
      <c r="J25" s="355">
        <f ca="1">J5-J16</f>
        <v>0</v>
      </c>
      <c r="K25" s="1327" t="s">
        <v>1452</v>
      </c>
      <c r="L25" s="1328"/>
      <c r="M25" s="1329"/>
    </row>
    <row r="26" spans="1:37">
      <c r="A26" s="1183" t="s">
        <v>1031</v>
      </c>
      <c r="B26" s="347" t="s">
        <v>1453</v>
      </c>
      <c r="C26" s="24">
        <f ca="1">ROUND((C19+C20)*F26,0)</f>
        <v>2</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v>
      </c>
      <c r="D29" s="1324"/>
      <c r="E29" s="1322"/>
      <c r="F29" s="1325"/>
      <c r="G29" s="1834"/>
      <c r="H29" s="380" t="s">
        <v>1030</v>
      </c>
      <c r="I29" s="381" t="s">
        <v>1467</v>
      </c>
      <c r="J29" s="382">
        <f ca="1">ROUND(J26/(1+F40)^F41,0)</f>
        <v>0</v>
      </c>
      <c r="K29" s="383" t="s">
        <v>1468</v>
      </c>
      <c r="L29" s="384"/>
      <c r="M29" s="385">
        <f ca="1">INDIRECT("'数据-取费表'!k"&amp;$G$1)</f>
        <v>31.96</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4</v>
      </c>
      <c r="D30" s="1319" t="s">
        <v>1413</v>
      </c>
      <c r="E30" s="3435"/>
      <c r="F30" s="1276"/>
      <c r="G30" s="1831"/>
      <c r="H30" s="741"/>
      <c r="I30" s="742"/>
      <c r="J30" s="743"/>
      <c r="K30" s="744"/>
      <c r="L30" s="745"/>
      <c r="M30" s="746"/>
    </row>
    <row r="31" spans="1:37" ht="18" customHeight="1">
      <c r="A31" s="1183" t="s">
        <v>1032</v>
      </c>
      <c r="B31" s="347" t="s">
        <v>1417</v>
      </c>
      <c r="C31" s="24">
        <f ca="1">ROUND(IF(项目基本情况!B11="自然人",C6*F31/(1+'数据-取费表'!C42),C32+C33+C34),1)</f>
        <v>2.9</v>
      </c>
      <c r="D31" s="3433" t="s">
        <v>1418</v>
      </c>
      <c r="E31" s="3434"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0.91</v>
      </c>
      <c r="D32" s="3434"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1.94</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7.34</v>
      </c>
      <c r="G35" s="1831"/>
      <c r="H35" s="741"/>
      <c r="I35" s="1840"/>
      <c r="J35" s="1841"/>
      <c r="K35" s="1842"/>
      <c r="L35" s="1839"/>
      <c r="M35" s="1839"/>
    </row>
    <row r="36" spans="1:18" ht="18" customHeight="1">
      <c r="A36" s="1334" t="s">
        <v>1036</v>
      </c>
      <c r="B36" s="347" t="s">
        <v>1437</v>
      </c>
      <c r="C36" s="24">
        <f ca="1">ROUND(C29*F36,1)</f>
        <v>0.2</v>
      </c>
      <c r="D36" s="3434"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0</v>
      </c>
      <c r="D37" s="3434"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0.5</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13</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211</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66020</v>
      </c>
      <c r="D43" s="383" t="s">
        <v>1476</v>
      </c>
      <c r="E43" s="384" t="s">
        <v>1477</v>
      </c>
      <c r="F43" s="385">
        <f ca="1">INDIRECT("'数据-取费表'!k"&amp;$G$1)</f>
        <v>31.96</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f ca="1">C68-C40</f>
        <v>-236</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211</v>
      </c>
      <c r="R47" s="1866" t="s">
        <v>1517</v>
      </c>
    </row>
    <row r="48" spans="1:18" s="1822" customFormat="1" ht="40.200000000000003" thickBot="1">
      <c r="A48" s="1342" t="s">
        <v>1125</v>
      </c>
      <c r="B48" s="345" t="s">
        <v>1389</v>
      </c>
      <c r="C48" s="342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8"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v>
      </c>
      <c r="R49" s="1866" t="s">
        <v>1517</v>
      </c>
    </row>
    <row r="50" spans="1:18" s="1822" customFormat="1" ht="13.8" thickBot="1">
      <c r="A50" s="1177"/>
      <c r="B50" s="1180"/>
      <c r="C50" s="1350"/>
      <c r="D50" s="1154"/>
      <c r="E50" s="1259" t="s">
        <v>1394</v>
      </c>
      <c r="F50" s="1260">
        <f ca="1">F7</f>
        <v>31.96</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8"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154</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211</v>
      </c>
      <c r="R53" s="1866" t="s">
        <v>1044</v>
      </c>
    </row>
    <row r="54" spans="1:18" s="1822" customFormat="1" ht="24.6" thickBot="1">
      <c r="A54" s="1387"/>
      <c r="B54" s="1805" t="s">
        <v>1376</v>
      </c>
      <c r="C54" s="1160"/>
      <c r="D54" s="1804"/>
      <c r="E54" s="3431"/>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8" thickBot="1">
      <c r="A55" s="1315" t="s">
        <v>1072</v>
      </c>
      <c r="B55" s="1807" t="s">
        <v>1401</v>
      </c>
      <c r="C55" s="1316"/>
      <c r="D55" s="1804"/>
      <c r="E55" s="3431"/>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f ca="1">C13</f>
        <v>13</v>
      </c>
      <c r="D56" s="1893"/>
      <c r="E56" s="1894"/>
      <c r="F56" s="1886"/>
      <c r="I56" s="1895" t="s">
        <v>1542</v>
      </c>
      <c r="J56" s="1896" t="s">
        <v>3042</v>
      </c>
      <c r="K56" s="1867" t="s">
        <v>1543</v>
      </c>
      <c r="L56" s="1870" t="str">
        <f ca="1">IF(L48&lt;J51,"——",L48-J53)</f>
        <v>——</v>
      </c>
      <c r="O56" s="1864" t="s">
        <v>1037</v>
      </c>
      <c r="P56" s="1865" t="s">
        <v>1516</v>
      </c>
      <c r="Q56" s="1866">
        <f ca="1">C40+J29</f>
        <v>211</v>
      </c>
      <c r="R56" s="1866" t="s">
        <v>1517</v>
      </c>
    </row>
    <row r="57" spans="1:18" s="1822" customFormat="1" ht="24.6" thickBot="1">
      <c r="A57" s="1897"/>
      <c r="B57" s="1151" t="s">
        <v>1466</v>
      </c>
      <c r="C57" s="282">
        <f ca="1">C29</f>
        <v>16</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6" thickBot="1">
      <c r="A58" s="360" t="s">
        <v>1027</v>
      </c>
      <c r="B58" s="1159" t="s">
        <v>1412</v>
      </c>
      <c r="C58" s="361">
        <f ca="1">ROUND(C59+C64+C65+C66,0)</f>
        <v>2</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6" thickBot="1">
      <c r="A59" s="1183" t="s">
        <v>1032</v>
      </c>
      <c r="B59" s="1151" t="s">
        <v>1417</v>
      </c>
      <c r="C59" s="24">
        <f ca="1">ROUND(IF(项目基本情况!B11="自然人",C48*F59,C60+C61+C62),1)</f>
        <v>1.3</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2"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8" thickBot="1">
      <c r="A61" s="1183" t="s">
        <v>1480</v>
      </c>
      <c r="B61" s="1151" t="s">
        <v>1425</v>
      </c>
      <c r="C61" s="24">
        <f ca="1">IF(项目基本情况!B11="自然人","——",IF(D61="按租金收入计税",ROUND(C48*F61,2),IF(D61="按房产原值计税",ROUND(C57*F61*0.7,2),INDIRECT("'数据-取费表'!Aj"&amp;$G$1))))</f>
        <v>1.34</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8"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211</v>
      </c>
      <c r="R62" s="1866" t="s">
        <v>1044</v>
      </c>
    </row>
    <row r="63" spans="1:18" s="1822" customFormat="1" ht="13.8" thickBot="1">
      <c r="A63" s="372"/>
      <c r="B63" s="1157"/>
      <c r="C63" s="29"/>
      <c r="D63" s="1167"/>
      <c r="E63" s="1151" t="s">
        <v>1435</v>
      </c>
      <c r="F63" s="348">
        <f t="shared" ca="1" si="0"/>
        <v>7.34</v>
      </c>
      <c r="I63" s="1908" t="s">
        <v>1564</v>
      </c>
      <c r="J63" s="1909">
        <v>70</v>
      </c>
      <c r="K63" s="1909">
        <v>50</v>
      </c>
      <c r="L63" s="1909">
        <v>80</v>
      </c>
      <c r="M63" s="1911">
        <v>0.02</v>
      </c>
      <c r="O63" s="1849" t="s">
        <v>1565</v>
      </c>
      <c r="P63" s="1819"/>
      <c r="Q63" s="1819"/>
      <c r="R63" s="1819"/>
    </row>
    <row r="64" spans="1:18" s="1822" customFormat="1" ht="13.8" thickBot="1">
      <c r="A64" s="1183" t="s">
        <v>1488</v>
      </c>
      <c r="B64" s="1151" t="s">
        <v>1437</v>
      </c>
      <c r="C64" s="24">
        <f ca="1">ROUND(C57*F64,1)</f>
        <v>0.2</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f ca="1">ROUND(C56*F65,1)</f>
        <v>0</v>
      </c>
      <c r="D65" s="1165" t="s">
        <v>1442</v>
      </c>
      <c r="E65" s="1151" t="s">
        <v>1410</v>
      </c>
      <c r="F65" s="376">
        <f t="shared" ca="1" si="0"/>
        <v>1.5E-3</v>
      </c>
      <c r="I65" s="1908" t="s">
        <v>1567</v>
      </c>
      <c r="J65" s="1909">
        <v>40</v>
      </c>
      <c r="K65" s="1909">
        <v>30</v>
      </c>
      <c r="L65" s="1909">
        <v>50</v>
      </c>
      <c r="M65" s="1911">
        <v>0.02</v>
      </c>
      <c r="O65" s="1864" t="s">
        <v>1037</v>
      </c>
      <c r="P65" s="1865" t="s">
        <v>1516</v>
      </c>
      <c r="Q65" s="1866">
        <f ca="1">C40+J29</f>
        <v>211</v>
      </c>
      <c r="R65" s="1866" t="s">
        <v>1517</v>
      </c>
    </row>
    <row r="66" spans="1:18" s="1822" customFormat="1" ht="16.2"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24.6" thickBot="1">
      <c r="A67" s="1158" t="s">
        <v>1028</v>
      </c>
      <c r="B67" s="1168" t="s">
        <v>1451</v>
      </c>
      <c r="C67" s="361">
        <f ca="1">C48-C58</f>
        <v>-2</v>
      </c>
      <c r="D67" s="1164" t="s">
        <v>1452</v>
      </c>
      <c r="E67" s="1169"/>
      <c r="F67" s="1170"/>
      <c r="O67" s="1874" t="s">
        <v>1039</v>
      </c>
      <c r="P67" s="1865" t="s">
        <v>1550</v>
      </c>
      <c r="Q67" s="1912">
        <f ca="1">L51</f>
        <v>154</v>
      </c>
      <c r="R67" s="1866" t="s">
        <v>1570</v>
      </c>
    </row>
    <row r="68" spans="1:18" s="1822" customFormat="1" ht="16.2" thickBot="1">
      <c r="A68" s="1148" t="s">
        <v>1029</v>
      </c>
      <c r="B68" s="1149" t="s">
        <v>1473</v>
      </c>
      <c r="C68" s="346">
        <f ca="1">ROUND(C67*(1-((1+F70)/(1+F68))^F69)/(F68-F70),0)</f>
        <v>-25</v>
      </c>
      <c r="D68" s="1166" t="s">
        <v>1457</v>
      </c>
      <c r="E68" s="1151" t="s">
        <v>1458</v>
      </c>
      <c r="F68" s="357">
        <f ca="1">F40</f>
        <v>0.06</v>
      </c>
      <c r="O68" s="1874" t="s">
        <v>1040</v>
      </c>
      <c r="P68" s="1913" t="s">
        <v>1571</v>
      </c>
      <c r="Q68" s="1866">
        <f ca="1">ROUND(Q69-Q70*Q71,0)</f>
        <v>12</v>
      </c>
      <c r="R68" s="1866" t="s">
        <v>1048</v>
      </c>
    </row>
    <row r="69" spans="1:18" s="1822" customFormat="1" ht="13.8" thickBot="1">
      <c r="A69" s="1152"/>
      <c r="B69" s="1153"/>
      <c r="C69" s="351"/>
      <c r="D69" s="1171" t="s">
        <v>1461</v>
      </c>
      <c r="E69" s="1151" t="s">
        <v>1462</v>
      </c>
      <c r="F69" s="379">
        <f ca="1">F41</f>
        <v>23.21</v>
      </c>
      <c r="O69" s="1874" t="s">
        <v>1045</v>
      </c>
      <c r="P69" s="1913" t="s">
        <v>1572</v>
      </c>
      <c r="Q69" s="1866">
        <f ca="1">C39</f>
        <v>13</v>
      </c>
      <c r="R69" s="1866" t="s">
        <v>1517</v>
      </c>
    </row>
    <row r="70" spans="1:18" s="1822" customFormat="1" ht="13.8" thickBot="1">
      <c r="A70" s="1155"/>
      <c r="B70" s="1156"/>
      <c r="C70" s="355"/>
      <c r="D70" s="1167"/>
      <c r="E70" s="1151" t="s">
        <v>1465</v>
      </c>
      <c r="F70" s="1257"/>
      <c r="O70" s="1874" t="s">
        <v>1046</v>
      </c>
      <c r="P70" s="1913" t="s">
        <v>1573</v>
      </c>
      <c r="Q70" s="1866">
        <f ca="1">C13</f>
        <v>13</v>
      </c>
      <c r="R70" s="1866" t="s">
        <v>1517</v>
      </c>
    </row>
    <row r="71" spans="1:18" s="1822" customFormat="1" ht="13.8" thickBot="1">
      <c r="A71" s="1172" t="s">
        <v>1030</v>
      </c>
      <c r="B71" s="1173" t="s">
        <v>1475</v>
      </c>
      <c r="C71" s="382">
        <f ca="1">ROUND(C68*10000/F71,0)</f>
        <v>-7822</v>
      </c>
      <c r="D71" s="1174" t="s">
        <v>1476</v>
      </c>
      <c r="E71" s="1175" t="s">
        <v>1477</v>
      </c>
      <c r="F71" s="385">
        <f ca="1">F43</f>
        <v>31.96</v>
      </c>
      <c r="O71" s="1874" t="s">
        <v>1047</v>
      </c>
      <c r="P71" s="1913" t="s">
        <v>1574</v>
      </c>
      <c r="Q71" s="1877">
        <f ca="1">C76</f>
        <v>8.5000000000000006E-2</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#DIV/0!</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8" thickBot="1">
      <c r="A75" s="1822"/>
      <c r="B75" s="386" t="s">
        <v>1494</v>
      </c>
      <c r="C75" s="387">
        <f ca="1">ROUND(C13*C76,0)</f>
        <v>1</v>
      </c>
      <c r="D75" s="1822"/>
      <c r="E75" s="1822"/>
      <c r="F75" s="1822"/>
      <c r="K75" s="1848"/>
      <c r="L75" s="1822"/>
      <c r="O75" s="1864" t="s">
        <v>1043</v>
      </c>
      <c r="P75" s="1865" t="s">
        <v>1537</v>
      </c>
      <c r="Q75" s="1866">
        <f ca="1">Q65+Q66</f>
        <v>211</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0.92300000000000004</v>
      </c>
    </row>
    <row r="80" spans="1:18">
      <c r="B80" s="386" t="s">
        <v>1499</v>
      </c>
      <c r="C80" s="318">
        <f ca="1">ROUND(C75/C39,3)</f>
        <v>7.6999999999999999E-2</v>
      </c>
    </row>
    <row r="81" spans="2:3">
      <c r="B81" s="314" t="s">
        <v>1500</v>
      </c>
      <c r="C81" s="282"/>
    </row>
    <row r="82" spans="2:3">
      <c r="B82" s="317" t="s">
        <v>1501</v>
      </c>
      <c r="C82" s="319">
        <f ca="1">1-C83</f>
        <v>0.93799999999999994</v>
      </c>
    </row>
    <row r="83" spans="2:3">
      <c r="B83" s="317" t="s">
        <v>1502</v>
      </c>
      <c r="C83" s="318">
        <f ca="1">ROUND(C13/C40,3)</f>
        <v>6.2E-2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13"/>
  <sheetViews>
    <sheetView workbookViewId="0">
      <selection activeCell="H9" sqref="H9"/>
    </sheetView>
  </sheetViews>
  <sheetFormatPr defaultColWidth="9" defaultRowHeight="13.8"/>
  <cols>
    <col min="1" max="1" width="23.6640625" style="1924" customWidth="1"/>
    <col min="2" max="2" width="12" style="1924" customWidth="1"/>
    <col min="3" max="3" width="9" style="1924"/>
    <col min="4" max="4" width="14.109375" style="1924" customWidth="1"/>
    <col min="5" max="5" width="9" style="1924"/>
    <col min="6" max="6" width="12.88671875" style="1924" customWidth="1"/>
    <col min="7" max="16384" width="9" style="1924"/>
  </cols>
  <sheetData>
    <row r="1" spans="1:6" ht="21.6">
      <c r="A1" s="2534" t="s">
        <v>2514</v>
      </c>
      <c r="B1" s="2535"/>
      <c r="C1" s="2535"/>
      <c r="D1" s="2535"/>
      <c r="E1" s="2536"/>
    </row>
    <row r="2" spans="1:6" ht="15.6">
      <c r="A2" s="2537" t="s">
        <v>2315</v>
      </c>
      <c r="B2" s="2538">
        <f ca="1">SUMIF(B6:B13,"&lt;&gt;#ref!",B6:B13)</f>
        <v>130228</v>
      </c>
      <c r="C2" s="2539" t="s">
        <v>2507</v>
      </c>
      <c r="D2" s="2540" t="s">
        <v>2508</v>
      </c>
      <c r="E2" s="2541">
        <f>SUM(E6:E13)</f>
        <v>42164.249999999993</v>
      </c>
    </row>
    <row r="3" spans="1:6" ht="15.6">
      <c r="A3" s="2537" t="s">
        <v>1383</v>
      </c>
      <c r="B3" s="2538">
        <f ca="1">ROUND(B2*10000/E2,0)</f>
        <v>30886</v>
      </c>
      <c r="C3" s="2539" t="s">
        <v>2515</v>
      </c>
      <c r="D3" s="2542"/>
      <c r="E3" s="2543"/>
    </row>
    <row r="4" spans="1:6" ht="15.6">
      <c r="A4" s="2544"/>
      <c r="B4" s="2542"/>
      <c r="C4" s="2542"/>
      <c r="D4" s="2542"/>
      <c r="E4" s="2543"/>
    </row>
    <row r="5" spans="1:6" ht="14.4">
      <c r="A5" s="2545" t="s">
        <v>2509</v>
      </c>
      <c r="B5" s="3771" t="s">
        <v>2510</v>
      </c>
      <c r="C5" s="3771"/>
      <c r="D5" s="2546"/>
      <c r="E5" s="2547" t="s">
        <v>2511</v>
      </c>
      <c r="F5" s="2548" t="s">
        <v>2512</v>
      </c>
    </row>
    <row r="6" spans="1:6" ht="14.4">
      <c r="A6" s="2549" t="str">
        <f>'数据-取费表'!AN6</f>
        <v>收益法商租</v>
      </c>
      <c r="B6" s="2548">
        <f ca="1">IF(F6="是",'数据-取费表'!AO6,0)</f>
        <v>66821</v>
      </c>
      <c r="C6" s="2539" t="s">
        <v>2507</v>
      </c>
      <c r="D6" s="2542"/>
      <c r="E6" s="2550">
        <f>IF(OR(A6=0,F6="否"),0,'数据-取费表'!K6+'数据-取费表'!S6)</f>
        <v>29614.890000000003</v>
      </c>
      <c r="F6" s="2551" t="s">
        <v>2513</v>
      </c>
    </row>
    <row r="7" spans="1:6" ht="14.4">
      <c r="A7" s="2549" t="str">
        <f>'数据-取费表'!AN7</f>
        <v>收益法商自</v>
      </c>
      <c r="B7" s="2548">
        <f ca="1">IF(F7="是",'数据-取费表'!AO7,0)</f>
        <v>61727</v>
      </c>
      <c r="C7" s="2539" t="s">
        <v>2507</v>
      </c>
      <c r="D7" s="2542"/>
      <c r="E7" s="2550">
        <f>IF(OR(A7=0,F7="否"),0,'数据-取费表'!K7+'数据-取费表'!S7)</f>
        <v>12128.399999999991</v>
      </c>
      <c r="F7" s="2551" t="s">
        <v>2513</v>
      </c>
    </row>
    <row r="8" spans="1:6" ht="14.4">
      <c r="A8" s="2549" t="str">
        <f>'数据-取费表'!AN8</f>
        <v>收益法1号楼</v>
      </c>
      <c r="B8" s="2548">
        <f ca="1">IF(F8="是",'数据-取费表'!AO8,0)</f>
        <v>1469</v>
      </c>
      <c r="C8" s="2539" t="s">
        <v>2507</v>
      </c>
      <c r="D8" s="2542"/>
      <c r="E8" s="2550">
        <f>IF(OR(A8=0,F8="否"),0,'数据-取费表'!K8+'数据-取费表'!S8)</f>
        <v>389</v>
      </c>
      <c r="F8" s="2551" t="s">
        <v>3042</v>
      </c>
    </row>
    <row r="9" spans="1:6" ht="14.4">
      <c r="A9" s="2549" t="str">
        <f>'数据-取费表'!AN9</f>
        <v>收益法2号楼</v>
      </c>
      <c r="B9" s="2548">
        <f ca="1">IF(F9="是",'数据-取费表'!AO9,0)</f>
        <v>211</v>
      </c>
      <c r="C9" s="2539" t="s">
        <v>2507</v>
      </c>
      <c r="D9" s="2542"/>
      <c r="E9" s="2550">
        <f>IF(OR(A9=0,F9="否"),0,'数据-取费表'!K9+'数据-取费表'!S9)</f>
        <v>31.96</v>
      </c>
      <c r="F9" s="2551" t="s">
        <v>3042</v>
      </c>
    </row>
    <row r="10" spans="1:6" ht="14.4">
      <c r="A10" s="2549">
        <f>'数据-取费表'!AN10</f>
        <v>0</v>
      </c>
      <c r="B10" s="2548">
        <f>IF(F10="是",'数据-取费表'!AO10,0)</f>
        <v>0</v>
      </c>
      <c r="C10" s="2539" t="s">
        <v>2507</v>
      </c>
      <c r="D10" s="2542"/>
      <c r="E10" s="2550">
        <f>IF(OR(A10=0,F10="否"),0,'数据-取费表'!K10+'数据-取费表'!S10)</f>
        <v>0</v>
      </c>
      <c r="F10" s="2551" t="s">
        <v>3095</v>
      </c>
    </row>
    <row r="11" spans="1:6" ht="14.4">
      <c r="A11" s="2549">
        <f>'数据-取费表'!AN11</f>
        <v>0</v>
      </c>
      <c r="B11" s="2548">
        <f>IF(F11="是",'数据-取费表'!AO11,0)</f>
        <v>0</v>
      </c>
      <c r="C11" s="2539" t="s">
        <v>2507</v>
      </c>
      <c r="D11" s="2542"/>
      <c r="E11" s="2550">
        <f>IF(OR(A11=0,F11="否"),0,'数据-取费表'!K11+'数据-取费表'!S11)</f>
        <v>0</v>
      </c>
      <c r="F11" s="2551" t="s">
        <v>3095</v>
      </c>
    </row>
    <row r="12" spans="1:6" ht="14.4">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F00-000000000000}">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AI512"/>
  <sheetViews>
    <sheetView view="pageBreakPreview" zoomScaleNormal="100" zoomScaleSheetLayoutView="100" zoomScalePageLayoutView="80" workbookViewId="0">
      <selection activeCell="G14" sqref="G14"/>
    </sheetView>
  </sheetViews>
  <sheetFormatPr defaultColWidth="12.6640625" defaultRowHeight="21.75" customHeight="1"/>
  <cols>
    <col min="1" max="2" width="12.6640625" style="2395"/>
    <col min="3" max="4" width="12.6640625" style="2395" customWidth="1"/>
    <col min="5" max="9" width="12.6640625" style="2395"/>
    <col min="10" max="11" width="12.6640625" style="790" customWidth="1"/>
    <col min="12" max="12" width="12.6640625" style="790"/>
    <col min="13" max="13" width="14.109375" style="790" bestFit="1" customWidth="1"/>
    <col min="14" max="26" width="12.6640625" style="790"/>
    <col min="27" max="35" width="12.6640625" style="2394"/>
    <col min="36" max="16384" width="12.6640625" style="2395"/>
  </cols>
  <sheetData>
    <row r="1" spans="1:12" ht="21.75" customHeight="1" thickBot="1">
      <c r="A1" s="2200" t="s">
        <v>2105</v>
      </c>
      <c r="B1" s="2389"/>
      <c r="C1" s="2390" t="s">
        <v>27</v>
      </c>
      <c r="D1" s="2389"/>
      <c r="E1" s="2389"/>
      <c r="F1" s="2391" t="s">
        <v>2106</v>
      </c>
      <c r="G1" s="2045" t="s">
        <v>3051</v>
      </c>
      <c r="H1" s="2392" t="str">
        <f>IF(G1="现房","——","估价对象范围")</f>
        <v>——</v>
      </c>
      <c r="I1" s="2393"/>
    </row>
    <row r="2" spans="1:12" ht="21.75" customHeight="1" thickBot="1">
      <c r="A2" s="3648" t="str">
        <f>项目基本情况!S2</f>
        <v>北京市朝阳区广顺北大街16号院1、2、3号楼房地产</v>
      </c>
      <c r="B2" s="3649"/>
      <c r="C2" s="3649"/>
      <c r="D2" s="3649"/>
      <c r="E2" s="3649"/>
      <c r="F2" s="3649"/>
      <c r="G2" s="3649"/>
      <c r="H2" s="3649"/>
      <c r="I2" s="3650"/>
    </row>
    <row r="3" spans="1:12" ht="13.2">
      <c r="A3" s="3651" t="s">
        <v>2107</v>
      </c>
      <c r="B3" s="3652"/>
      <c r="C3" s="3652"/>
      <c r="D3" s="3652"/>
      <c r="E3" s="3652"/>
      <c r="F3" s="3652"/>
      <c r="G3" s="3652"/>
      <c r="H3" s="3652"/>
      <c r="I3" s="3652"/>
    </row>
    <row r="4" spans="1:12" ht="14.4">
      <c r="A4" s="2396" t="s">
        <v>2108</v>
      </c>
      <c r="B4" s="2397" t="s">
        <v>2109</v>
      </c>
      <c r="C4" s="2398" t="s">
        <v>3687</v>
      </c>
      <c r="D4" s="2398" t="s">
        <v>3683</v>
      </c>
      <c r="E4" s="3635" t="s">
        <v>2110</v>
      </c>
      <c r="F4" s="3645"/>
      <c r="G4" s="3645"/>
      <c r="H4" s="3645"/>
      <c r="I4" s="3636"/>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626" t="s">
        <v>2111</v>
      </c>
      <c r="B5" s="3521">
        <v>25</v>
      </c>
      <c r="C5" s="3653"/>
      <c r="D5" s="3641"/>
      <c r="E5" s="140" t="s">
        <v>2112</v>
      </c>
      <c r="F5" s="2400"/>
      <c r="G5" s="2400"/>
      <c r="H5" s="2400"/>
      <c r="I5" s="1811"/>
    </row>
    <row r="6" spans="1:12" ht="13.2">
      <c r="A6" s="3626"/>
      <c r="B6" s="3521"/>
      <c r="C6" s="3655"/>
      <c r="D6" s="3641"/>
      <c r="E6" s="140" t="s">
        <v>2113</v>
      </c>
      <c r="F6" s="2400"/>
      <c r="G6" s="2400"/>
      <c r="H6" s="2400"/>
      <c r="I6" s="1811"/>
    </row>
    <row r="7" spans="1:12" ht="13.2">
      <c r="A7" s="3626"/>
      <c r="B7" s="3521"/>
      <c r="C7" s="3654"/>
      <c r="D7" s="3641"/>
      <c r="E7" s="140" t="s">
        <v>2114</v>
      </c>
      <c r="F7" s="2400"/>
      <c r="G7" s="2400"/>
      <c r="H7" s="2400"/>
      <c r="I7" s="1811"/>
    </row>
    <row r="8" spans="1:12" ht="13.2">
      <c r="A8" s="3626" t="s">
        <v>2115</v>
      </c>
      <c r="B8" s="3521">
        <v>15</v>
      </c>
      <c r="C8" s="3653"/>
      <c r="D8" s="3641"/>
      <c r="E8" s="140" t="s">
        <v>2116</v>
      </c>
      <c r="F8" s="2400"/>
      <c r="G8" s="2400"/>
      <c r="H8" s="2400"/>
      <c r="I8" s="1811"/>
    </row>
    <row r="9" spans="1:12" ht="13.2">
      <c r="A9" s="3626"/>
      <c r="B9" s="3521"/>
      <c r="C9" s="3654"/>
      <c r="D9" s="3641"/>
      <c r="E9" s="140" t="s">
        <v>2117</v>
      </c>
      <c r="F9" s="2400"/>
      <c r="G9" s="2400"/>
      <c r="H9" s="2400"/>
      <c r="I9" s="1811"/>
    </row>
    <row r="10" spans="1:12" ht="13.2">
      <c r="A10" s="3626" t="s">
        <v>2118</v>
      </c>
      <c r="B10" s="3521">
        <v>15</v>
      </c>
      <c r="C10" s="3653"/>
      <c r="D10" s="3641"/>
      <c r="E10" s="140" t="s">
        <v>2119</v>
      </c>
      <c r="F10" s="2400"/>
      <c r="G10" s="2400"/>
      <c r="H10" s="2400"/>
      <c r="I10" s="1811"/>
    </row>
    <row r="11" spans="1:12" ht="13.2">
      <c r="A11" s="3626"/>
      <c r="B11" s="3521"/>
      <c r="C11" s="3654"/>
      <c r="D11" s="3641"/>
      <c r="E11" s="140" t="s">
        <v>2120</v>
      </c>
      <c r="F11" s="2400"/>
      <c r="G11" s="2400"/>
      <c r="H11" s="2400"/>
      <c r="I11" s="1811"/>
    </row>
    <row r="12" spans="1:12" ht="13.2">
      <c r="A12" s="3626" t="s">
        <v>2121</v>
      </c>
      <c r="B12" s="3521">
        <v>15</v>
      </c>
      <c r="C12" s="3653"/>
      <c r="D12" s="3641"/>
      <c r="E12" s="140" t="s">
        <v>2122</v>
      </c>
      <c r="F12" s="2400"/>
      <c r="G12" s="2400"/>
      <c r="H12" s="2400"/>
      <c r="I12" s="1811"/>
    </row>
    <row r="13" spans="1:12" ht="13.2">
      <c r="A13" s="3626"/>
      <c r="B13" s="3521"/>
      <c r="C13" s="3654"/>
      <c r="D13" s="3641"/>
      <c r="E13" s="140" t="s">
        <v>2123</v>
      </c>
      <c r="F13" s="2400"/>
      <c r="G13" s="2400"/>
      <c r="H13" s="2400"/>
      <c r="I13" s="1811"/>
    </row>
    <row r="14" spans="1:12" ht="13.2">
      <c r="A14" s="3626" t="s">
        <v>2124</v>
      </c>
      <c r="B14" s="3521">
        <v>30</v>
      </c>
      <c r="C14" s="3653">
        <v>6</v>
      </c>
      <c r="D14" s="3641">
        <v>4</v>
      </c>
      <c r="E14" s="140" t="s">
        <v>2125</v>
      </c>
      <c r="F14" s="2400"/>
      <c r="G14" s="2400"/>
      <c r="H14" s="2400"/>
      <c r="I14" s="1811"/>
    </row>
    <row r="15" spans="1:12" ht="13.2">
      <c r="A15" s="3626"/>
      <c r="B15" s="3521"/>
      <c r="C15" s="3655"/>
      <c r="D15" s="3641"/>
      <c r="E15" s="140" t="s">
        <v>2126</v>
      </c>
      <c r="F15" s="2400"/>
      <c r="G15" s="2400"/>
      <c r="H15" s="2400"/>
      <c r="I15" s="1811"/>
    </row>
    <row r="16" spans="1:12" ht="13.2">
      <c r="A16" s="3626"/>
      <c r="B16" s="3521"/>
      <c r="C16" s="3654"/>
      <c r="D16" s="3641"/>
      <c r="E16" s="140" t="s">
        <v>2127</v>
      </c>
      <c r="F16" s="2400"/>
      <c r="G16" s="2400"/>
      <c r="H16" s="2400"/>
      <c r="I16" s="1811"/>
    </row>
    <row r="17" spans="1:35" ht="14.4">
      <c r="A17" s="2401" t="s">
        <v>2128</v>
      </c>
      <c r="B17" s="64"/>
      <c r="C17" s="141">
        <f>SUM(C5:C16)</f>
        <v>6</v>
      </c>
      <c r="D17" s="141">
        <f>SUM(D5:D16)</f>
        <v>4</v>
      </c>
      <c r="E17" s="138"/>
      <c r="F17" s="138"/>
      <c r="G17" s="138"/>
      <c r="H17" s="138"/>
      <c r="I17" s="138"/>
      <c r="K17" s="2399"/>
      <c r="L17" s="2402" t="s">
        <v>2129</v>
      </c>
      <c r="M17" s="2402" t="s">
        <v>2130</v>
      </c>
    </row>
    <row r="18" spans="1:35" ht="1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4.4">
      <c r="A19" s="2405" t="s">
        <v>2133</v>
      </c>
      <c r="B19" s="2406" t="s">
        <v>2134</v>
      </c>
      <c r="C19" s="143">
        <f ca="1">SUMIF(INDIRECT("'"&amp;C4&amp;"'"&amp;"!A:A"),结果表办!B19,INDIRECT("'"&amp;C4&amp;"'"&amp;"!B:B"))</f>
        <v>66873</v>
      </c>
      <c r="D19" s="144">
        <f ca="1">SUMIF(INDIRECT("'"&amp;D4&amp;"'"&amp;"!A:A"),结果表办!B19,INDIRECT("'"&amp;D4&amp;"'"&amp;"!B:B"))</f>
        <v>1680</v>
      </c>
      <c r="E19" s="2405" t="s">
        <v>2135</v>
      </c>
      <c r="F19" s="2406" t="s">
        <v>2134</v>
      </c>
      <c r="G19" s="145">
        <f ca="1">ROUND(C19*$C$18+D19*$D$18,0)</f>
        <v>40796</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4.4">
      <c r="A20" s="2408"/>
      <c r="B20" s="1229" t="s">
        <v>2138</v>
      </c>
      <c r="C20" s="146">
        <f ca="1">SUMIF(INDIRECT("'"&amp;C4&amp;"'"&amp;"!A:A"),结果表办!B20,INDIRECT("'"&amp;C4&amp;"'"&amp;"!B:B"))</f>
        <v>41389</v>
      </c>
      <c r="D20" s="147">
        <f ca="1">SUMIF(INDIRECT("'"&amp;D4&amp;"'"&amp;"!A:A"),结果表办!B20,INDIRECT("'"&amp;D4&amp;"'"&amp;"!B:B"))</f>
        <v>39909</v>
      </c>
      <c r="E20" s="2408"/>
      <c r="F20" s="1229" t="s">
        <v>2138</v>
      </c>
      <c r="G20" s="148">
        <f ca="1">ROUND(C20*$C$18+D20*$D$18,0)</f>
        <v>40797</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f ca="1">IF(C19&lt;D19,D19/C19-1,C19/D19-1)</f>
        <v>38.80535714285714</v>
      </c>
      <c r="E22" s="138"/>
      <c r="F22" s="138"/>
      <c r="G22" s="138"/>
      <c r="H22" s="138"/>
      <c r="I22" s="138"/>
    </row>
    <row r="23" spans="1:35" ht="13.8" thickBot="1">
      <c r="A23" s="2389"/>
      <c r="B23" s="2389"/>
      <c r="C23" s="2389"/>
      <c r="D23" s="2389"/>
      <c r="E23" s="138"/>
      <c r="F23" s="138"/>
      <c r="G23" s="138"/>
      <c r="H23" s="138"/>
      <c r="I23" s="138"/>
    </row>
    <row r="24" spans="1:35" ht="14.4">
      <c r="A24" s="3662" t="s">
        <v>2142</v>
      </c>
      <c r="B24" s="2406" t="s">
        <v>2134</v>
      </c>
      <c r="C24" s="145">
        <f>IF(B30=0,0,D30)</f>
        <v>0</v>
      </c>
      <c r="D24" s="2413"/>
      <c r="E24" s="138"/>
      <c r="F24" s="138"/>
      <c r="G24" s="138"/>
      <c r="H24" s="138"/>
      <c r="I24" s="138"/>
    </row>
    <row r="25" spans="1:35" ht="14.4">
      <c r="A25" s="366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3.8">
      <c r="A27" s="2415"/>
      <c r="B27" s="151">
        <v>0</v>
      </c>
      <c r="C27" s="151">
        <v>0</v>
      </c>
      <c r="D27" s="152">
        <f>ROUND(C27*B27/10000,0)</f>
        <v>0</v>
      </c>
      <c r="E27" s="138"/>
      <c r="F27" s="138"/>
      <c r="G27" s="138"/>
      <c r="H27" s="138"/>
      <c r="I27" s="138"/>
    </row>
    <row r="28" spans="1:35" ht="13.8">
      <c r="A28" s="2415"/>
      <c r="B28" s="151"/>
      <c r="C28" s="151"/>
      <c r="D28" s="152"/>
      <c r="E28" s="138"/>
      <c r="F28" s="138"/>
      <c r="G28" s="138"/>
      <c r="H28" s="138"/>
      <c r="I28" s="138"/>
    </row>
    <row r="29" spans="1:35" ht="13.8">
      <c r="A29" s="2415"/>
      <c r="B29" s="151"/>
      <c r="C29" s="151"/>
      <c r="D29" s="152"/>
      <c r="E29" s="138"/>
      <c r="F29" s="138"/>
      <c r="G29" s="138"/>
      <c r="H29" s="138"/>
      <c r="I29" s="138"/>
    </row>
    <row r="30" spans="1:35" ht="14.4">
      <c r="A30" s="151" t="s">
        <v>2147</v>
      </c>
      <c r="B30" s="151"/>
      <c r="C30" s="151"/>
      <c r="D30" s="151"/>
      <c r="E30" s="2886" t="s">
        <v>3008</v>
      </c>
      <c r="F30" s="138"/>
      <c r="G30" s="138"/>
      <c r="H30" s="138"/>
      <c r="I30" s="138"/>
    </row>
    <row r="31" spans="1:35" s="2417" customFormat="1" ht="14.4"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 thickBot="1">
      <c r="A32" s="2418" t="s">
        <v>2148</v>
      </c>
      <c r="B32" s="2419"/>
      <c r="C32" s="153">
        <f ca="1">IF(D32="总价",G19-C24,G20-C25)</f>
        <v>40796</v>
      </c>
      <c r="D32" s="2420" t="s">
        <v>2149</v>
      </c>
      <c r="E32" s="138"/>
      <c r="F32" s="138"/>
      <c r="G32" s="138"/>
      <c r="H32" s="138"/>
      <c r="I32" s="138"/>
    </row>
    <row r="33" spans="1:15" ht="14.4">
      <c r="A33" s="947" t="s">
        <v>2150</v>
      </c>
      <c r="B33" s="2421"/>
      <c r="C33" s="2422" t="s">
        <v>3670</v>
      </c>
      <c r="D33" s="2423" t="s">
        <v>3047</v>
      </c>
      <c r="E33" s="2424" t="s">
        <v>2151</v>
      </c>
      <c r="F33" s="2924" t="str">
        <f>IF(D32="楼面单价","取值（单价）","取值（总价）")</f>
        <v>取值（总价）</v>
      </c>
      <c r="G33" s="138"/>
      <c r="H33" s="138"/>
      <c r="I33" s="138"/>
    </row>
    <row r="34" spans="1:15" ht="14.4">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 thickBot="1">
      <c r="A36" s="3642" t="s">
        <v>2156</v>
      </c>
      <c r="B36" s="2432" t="s">
        <v>2157</v>
      </c>
      <c r="C36" s="154"/>
      <c r="D36" s="2433"/>
      <c r="E36" s="2434"/>
      <c r="F36" s="2435"/>
      <c r="G36" s="138"/>
      <c r="H36" s="138"/>
      <c r="I36" s="138"/>
    </row>
    <row r="37" spans="1:15" ht="15" thickBot="1">
      <c r="A37" s="3643"/>
      <c r="B37" s="2241" t="s">
        <v>2158</v>
      </c>
      <c r="C37" s="156"/>
      <c r="D37" s="1373"/>
      <c r="E37" s="1373"/>
      <c r="F37" s="2435"/>
      <c r="G37" s="138"/>
      <c r="H37" s="138"/>
      <c r="I37" s="138"/>
    </row>
    <row r="38" spans="1:15" ht="15" thickBot="1">
      <c r="A38" s="3644"/>
      <c r="B38" s="2436" t="s">
        <v>2159</v>
      </c>
      <c r="C38" s="723"/>
      <c r="D38" s="2437" t="s">
        <v>2160</v>
      </c>
      <c r="E38" s="1373"/>
      <c r="F38" s="2435"/>
      <c r="G38" s="138"/>
      <c r="H38" s="138"/>
      <c r="I38" s="138"/>
    </row>
    <row r="39" spans="1:15" ht="14.4">
      <c r="A39" s="2408" t="s">
        <v>2161</v>
      </c>
      <c r="B39" s="2438" t="s">
        <v>2144</v>
      </c>
      <c r="C39" s="2439" t="s">
        <v>2145</v>
      </c>
      <c r="D39" s="2439" t="s">
        <v>2164</v>
      </c>
      <c r="E39" s="2440" t="s">
        <v>2146</v>
      </c>
      <c r="F39" s="2435"/>
      <c r="G39" s="138"/>
      <c r="H39" s="138"/>
      <c r="I39" s="138"/>
    </row>
    <row r="40" spans="1:15" ht="13.8">
      <c r="A40" s="2441" t="s">
        <v>2166</v>
      </c>
      <c r="B40" s="158"/>
      <c r="C40" s="159"/>
      <c r="D40" s="159"/>
      <c r="E40" s="160"/>
      <c r="F40" s="2435"/>
      <c r="G40" s="138"/>
      <c r="H40" s="138"/>
      <c r="I40" s="138"/>
    </row>
    <row r="41" spans="1:15" ht="13.8">
      <c r="A41" s="2441" t="s">
        <v>2167</v>
      </c>
      <c r="B41" s="158"/>
      <c r="C41" s="159"/>
      <c r="D41" s="159"/>
      <c r="E41" s="160"/>
      <c r="F41" s="2435"/>
      <c r="G41" s="138"/>
      <c r="H41" s="138"/>
      <c r="I41" s="138"/>
    </row>
    <row r="42" spans="1:15" ht="14.4" thickBot="1">
      <c r="A42" s="2442"/>
      <c r="B42" s="161"/>
      <c r="C42" s="162"/>
      <c r="D42" s="162"/>
      <c r="E42" s="163"/>
      <c r="F42" s="2435"/>
      <c r="G42" s="138"/>
      <c r="H42" s="138"/>
      <c r="I42" s="138"/>
    </row>
    <row r="43" spans="1:15" ht="13.2">
      <c r="A43" s="2140"/>
      <c r="B43" s="2140"/>
      <c r="C43" s="2140"/>
      <c r="D43" s="2140"/>
      <c r="E43" s="2140"/>
      <c r="F43" s="2443"/>
      <c r="G43" s="2443"/>
      <c r="H43" s="2443"/>
      <c r="I43" s="2444"/>
    </row>
    <row r="44" spans="1:15" ht="17.399999999999999">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59" t="s">
        <v>2170</v>
      </c>
      <c r="B45" s="3660"/>
      <c r="C45" s="3661"/>
      <c r="D45" s="164">
        <f ca="1">ROUND(H101*F45,0)</f>
        <v>40796</v>
      </c>
      <c r="E45" s="165" t="s">
        <v>2171</v>
      </c>
      <c r="F45" s="166">
        <v>1</v>
      </c>
      <c r="G45" s="167" t="s">
        <v>2172</v>
      </c>
      <c r="H45" s="138"/>
      <c r="I45" s="138"/>
      <c r="J45" s="3587" t="s">
        <v>2173</v>
      </c>
      <c r="K45" s="3587"/>
      <c r="L45" s="3587"/>
      <c r="M45" s="3587"/>
      <c r="N45" s="3587"/>
      <c r="O45" s="3587"/>
    </row>
    <row r="46" spans="1:15" ht="14.25" customHeight="1">
      <c r="A46" s="3656" t="s">
        <v>2174</v>
      </c>
      <c r="B46" s="3657"/>
      <c r="C46" s="3657"/>
      <c r="D46" s="3657"/>
      <c r="E46" s="3657"/>
      <c r="F46" s="3657"/>
      <c r="G46" s="3658"/>
      <c r="H46" s="2451"/>
      <c r="I46" s="168"/>
      <c r="J46" s="2936">
        <v>1</v>
      </c>
      <c r="K46" s="3587" t="s">
        <v>2175</v>
      </c>
      <c r="L46" s="3587"/>
      <c r="M46" s="3588"/>
      <c r="N46" s="3588"/>
      <c r="O46" s="3588"/>
    </row>
    <row r="47" spans="1:15" ht="12" customHeight="1">
      <c r="A47" s="169" t="s">
        <v>2176</v>
      </c>
      <c r="B47" s="170"/>
      <c r="C47" s="171"/>
      <c r="D47" s="172" t="s">
        <v>2177</v>
      </c>
      <c r="E47" s="24" t="s">
        <v>2178</v>
      </c>
      <c r="F47" s="173" t="s">
        <v>2179</v>
      </c>
      <c r="G47" s="174" t="s">
        <v>2180</v>
      </c>
      <c r="H47" s="2451"/>
      <c r="I47" s="168"/>
      <c r="J47" s="2936">
        <v>2</v>
      </c>
      <c r="K47" s="3587" t="s">
        <v>2181</v>
      </c>
      <c r="L47" s="3587"/>
      <c r="M47" s="3589">
        <f>'数据-取费表'!B2</f>
        <v>43836</v>
      </c>
      <c r="N47" s="3589"/>
      <c r="O47" s="3589"/>
    </row>
    <row r="48" spans="1:15" ht="26.4">
      <c r="A48" s="3646" t="s">
        <v>2182</v>
      </c>
      <c r="B48" s="3647"/>
      <c r="C48" s="3647"/>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87" t="s">
        <v>2185</v>
      </c>
      <c r="L48" s="3587"/>
      <c r="M48" s="3590">
        <f ca="1">H101</f>
        <v>40796</v>
      </c>
      <c r="N48" s="3590"/>
      <c r="O48" s="3590"/>
    </row>
    <row r="49" spans="1:35" ht="25.5" customHeight="1">
      <c r="A49" s="176" t="s">
        <v>2186</v>
      </c>
      <c r="B49" s="3629" t="s">
        <v>2187</v>
      </c>
      <c r="C49" s="3629"/>
      <c r="D49" s="177">
        <v>0</v>
      </c>
      <c r="E49" s="23" t="s">
        <v>2188</v>
      </c>
      <c r="F49" s="28" t="s">
        <v>34</v>
      </c>
      <c r="G49" s="3610"/>
      <c r="H49" s="138"/>
      <c r="I49" s="2454"/>
      <c r="J49" s="2936">
        <v>4</v>
      </c>
      <c r="K49" s="3587" t="str">
        <f>IF(项目基本情况!E8="房地产抵押价值","房地产抵押价值","抵押担保权已注销时的房地产抵押价值")</f>
        <v>房地产抵押价值</v>
      </c>
      <c r="L49" s="3587"/>
      <c r="M49" s="3590">
        <f ca="1">IF(项目基本情况!E8="房地产抵押价值",H107,H109)</f>
        <v>40796</v>
      </c>
      <c r="N49" s="3590"/>
      <c r="O49" s="3590"/>
    </row>
    <row r="50" spans="1:35" ht="25.5" customHeight="1">
      <c r="A50" s="178"/>
      <c r="B50" s="3629" t="s">
        <v>2189</v>
      </c>
      <c r="C50" s="3629"/>
      <c r="D50" s="179"/>
      <c r="E50" s="31"/>
      <c r="F50" s="180"/>
      <c r="G50" s="3611"/>
      <c r="H50" s="138"/>
      <c r="I50" s="2454"/>
      <c r="J50" s="3587" t="s">
        <v>2190</v>
      </c>
      <c r="K50" s="3587"/>
      <c r="L50" s="3587"/>
      <c r="M50" s="3587"/>
      <c r="N50" s="3587"/>
      <c r="O50" s="3587"/>
    </row>
    <row r="51" spans="1:35" ht="12" customHeight="1">
      <c r="A51" s="181"/>
      <c r="B51" s="3629" t="s">
        <v>2191</v>
      </c>
      <c r="C51" s="3629"/>
      <c r="D51" s="182"/>
      <c r="E51" s="30"/>
      <c r="F51" s="180"/>
      <c r="G51" s="3612"/>
      <c r="H51" s="138"/>
      <c r="I51" s="2454"/>
      <c r="J51" s="2935" t="s">
        <v>2192</v>
      </c>
      <c r="K51" s="3587" t="s">
        <v>2193</v>
      </c>
      <c r="L51" s="3587"/>
      <c r="M51" s="2935" t="s">
        <v>2194</v>
      </c>
      <c r="N51" s="2935" t="s">
        <v>2195</v>
      </c>
      <c r="O51" s="2935" t="s">
        <v>2196</v>
      </c>
    </row>
    <row r="52" spans="1:35" ht="24" customHeight="1">
      <c r="A52" s="183" t="s">
        <v>2197</v>
      </c>
      <c r="B52" s="3629" t="s">
        <v>2198</v>
      </c>
      <c r="C52" s="3629"/>
      <c r="D52" s="182">
        <f ca="1">ROUND(D45*'数据-取费表'!B41/(1+'数据-取费表'!C42),0)</f>
        <v>2176</v>
      </c>
      <c r="E52" s="11" t="s">
        <v>2199</v>
      </c>
      <c r="F52" s="184">
        <f>'数据-取费表'!B41</f>
        <v>5.6000000000000001E-2</v>
      </c>
      <c r="G52" s="2456"/>
      <c r="H52" s="138"/>
      <c r="I52" s="2454"/>
      <c r="J52" s="2936">
        <v>1</v>
      </c>
      <c r="K52" s="3604" t="s">
        <v>2200</v>
      </c>
      <c r="L52" s="3604"/>
      <c r="M52" s="1731">
        <f>D48</f>
        <v>0</v>
      </c>
      <c r="N52" s="2936" t="str">
        <f>E48</f>
        <v>销售额×税（费）率</v>
      </c>
      <c r="O52" s="1732" t="str">
        <f>F48</f>
        <v>免征</v>
      </c>
    </row>
    <row r="53" spans="1:35" ht="12" customHeight="1">
      <c r="A53" s="183" t="s">
        <v>2201</v>
      </c>
      <c r="B53" s="3630" t="s">
        <v>2202</v>
      </c>
      <c r="C53" s="3631"/>
      <c r="D53" s="182">
        <f ca="1">ROUND(D45*'数据-取费表'!B41/(1+'数据-取费表'!C42),0)</f>
        <v>2176</v>
      </c>
      <c r="E53" s="11" t="s">
        <v>2199</v>
      </c>
      <c r="F53" s="184">
        <f>'数据-取费表'!B41</f>
        <v>5.6000000000000001E-2</v>
      </c>
      <c r="G53" s="2456"/>
      <c r="H53" s="138"/>
      <c r="I53" s="2454"/>
      <c r="J53" s="2936">
        <v>2</v>
      </c>
      <c r="K53" s="3604" t="s">
        <v>2203</v>
      </c>
      <c r="L53" s="3604"/>
      <c r="M53" s="1731">
        <f t="shared" ref="M53:O54" ca="1" si="0">D55</f>
        <v>20</v>
      </c>
      <c r="N53" s="2936" t="str">
        <f t="shared" si="0"/>
        <v>销售额×税（费）率</v>
      </c>
      <c r="O53" s="1732">
        <f t="shared" si="0"/>
        <v>5.0000000000000001E-4</v>
      </c>
    </row>
    <row r="54" spans="1:35" ht="12" customHeight="1">
      <c r="A54" s="183" t="s">
        <v>2204</v>
      </c>
      <c r="B54" s="3630" t="s">
        <v>2205</v>
      </c>
      <c r="C54" s="3631"/>
      <c r="D54" s="182">
        <f ca="1">C68</f>
        <v>2176</v>
      </c>
      <c r="E54" s="30" t="s">
        <v>2206</v>
      </c>
      <c r="F54" s="184">
        <f>'数据-取费表'!B41</f>
        <v>5.6000000000000001E-2</v>
      </c>
      <c r="G54" s="2456"/>
      <c r="H54" s="2457"/>
      <c r="I54" s="2454"/>
      <c r="J54" s="2936">
        <v>3</v>
      </c>
      <c r="K54" s="3604" t="s">
        <v>2207</v>
      </c>
      <c r="L54" s="3604"/>
      <c r="M54" s="1731">
        <f t="shared" ca="1" si="0"/>
        <v>23090</v>
      </c>
      <c r="N54" s="2936" t="str">
        <f t="shared" si="0"/>
        <v>增值额×税（费）率</v>
      </c>
      <c r="O54" s="1733" t="str">
        <f t="shared" si="0"/>
        <v>——</v>
      </c>
    </row>
    <row r="55" spans="1:35" ht="24" customHeight="1">
      <c r="A55" s="3665" t="s">
        <v>2208</v>
      </c>
      <c r="B55" s="3647"/>
      <c r="C55" s="3647"/>
      <c r="D55" s="185">
        <f ca="1">IF(H55="个人住宅",0,ROUND(D45*I55,0))</f>
        <v>20</v>
      </c>
      <c r="E55" s="11" t="s">
        <v>2209</v>
      </c>
      <c r="F55" s="184">
        <f>IF(H55="正常",I55,"免征")</f>
        <v>5.0000000000000001E-4</v>
      </c>
      <c r="G55" s="2456"/>
      <c r="H55" s="2453" t="s">
        <v>2210</v>
      </c>
      <c r="I55" s="186">
        <f>'数据-取费表'!B49</f>
        <v>5.0000000000000001E-4</v>
      </c>
      <c r="J55" s="2936" t="str">
        <f>IF(H59="非个人房产","",4)</f>
        <v/>
      </c>
      <c r="K55" s="3604" t="str">
        <f>IF(H59="非个人房产","——","个人所得税")</f>
        <v>——</v>
      </c>
      <c r="L55" s="3604"/>
      <c r="M55" s="1734" t="str">
        <f>D59</f>
        <v>——</v>
      </c>
      <c r="N55" s="2937" t="str">
        <f>E59</f>
        <v>——</v>
      </c>
      <c r="O55" s="1735" t="str">
        <f>F59</f>
        <v>——</v>
      </c>
    </row>
    <row r="56" spans="1:35" ht="25.2">
      <c r="A56" s="3665" t="s">
        <v>2211</v>
      </c>
      <c r="B56" s="3647"/>
      <c r="C56" s="3647"/>
      <c r="D56" s="185">
        <f ca="1">IF(H56="个人住宅",D57,D58)</f>
        <v>23090</v>
      </c>
      <c r="E56" s="11" t="s">
        <v>2212</v>
      </c>
      <c r="F56" s="184" t="str">
        <f>IF(H56="正常",F58,"免征")</f>
        <v>——</v>
      </c>
      <c r="G56" s="2458" t="s">
        <v>2213</v>
      </c>
      <c r="H56" s="2459" t="s">
        <v>2210</v>
      </c>
      <c r="I56" s="2460"/>
      <c r="J56" s="2936" t="str">
        <f>IF(项目基本情况!K6="上海银行",IF(J55="",4,J55+1),"")</f>
        <v/>
      </c>
      <c r="K56" s="3593" t="str">
        <f>IF(项目基本情况!K6="上海银行","其他处置费用","")</f>
        <v/>
      </c>
      <c r="L56" s="3594"/>
      <c r="M56" s="1731" t="str">
        <f>IF(项目基本情况!K6="上海银行",M69,"")</f>
        <v/>
      </c>
      <c r="N56" s="3596" t="str">
        <f>IF(项目基本情况!K6="上海银行","包含处置中涉及的律师、诉讼、拍卖、评估等费用","")</f>
        <v/>
      </c>
      <c r="O56" s="3597"/>
    </row>
    <row r="57" spans="1:35" ht="13.2">
      <c r="A57" s="183" t="s">
        <v>2186</v>
      </c>
      <c r="B57" s="3635" t="s">
        <v>2214</v>
      </c>
      <c r="C57" s="3636"/>
      <c r="D57" s="187">
        <v>0</v>
      </c>
      <c r="E57" s="23" t="s">
        <v>2188</v>
      </c>
      <c r="F57" s="155"/>
      <c r="G57" s="2456"/>
      <c r="H57" s="2460"/>
      <c r="I57" s="2460"/>
      <c r="J57" s="3604">
        <f>IF(AND(J55="",J56=""),4,IF(项目基本情况!K6="上海银行",结果表办!J56+1,结果表办!J55+1))</f>
        <v>4</v>
      </c>
      <c r="K57" s="3604" t="s">
        <v>2215</v>
      </c>
      <c r="L57" s="2461" t="s">
        <v>2216</v>
      </c>
      <c r="M57" s="1736"/>
      <c r="N57" s="1737">
        <f ca="1">SUMIF(M52:M56,"&lt;9e307")</f>
        <v>23110</v>
      </c>
      <c r="O57" s="2462"/>
      <c r="P57" s="1730">
        <f ca="1">N57/M49</f>
        <v>0.5664771055985881</v>
      </c>
    </row>
    <row r="58" spans="1:35" ht="25.2">
      <c r="A58" s="183" t="s">
        <v>2197</v>
      </c>
      <c r="B58" s="3635" t="s">
        <v>2217</v>
      </c>
      <c r="C58" s="3645"/>
      <c r="D58" s="185">
        <f ca="1">IF(H58="转让取得",C81,C97)</f>
        <v>23090</v>
      </c>
      <c r="E58" s="11" t="s">
        <v>2212</v>
      </c>
      <c r="F58" s="24" t="s">
        <v>34</v>
      </c>
      <c r="G58" s="2456"/>
      <c r="H58" s="2459" t="s">
        <v>2218</v>
      </c>
      <c r="I58" s="2460"/>
      <c r="J58" s="3604"/>
      <c r="K58" s="3604"/>
      <c r="L58" s="2461" t="s">
        <v>2219</v>
      </c>
      <c r="M58" s="1738"/>
      <c r="N58" s="2463" t="str">
        <f ca="1">NUMBERSTRING(INT(N57*10000),2)&amp;"元整"</f>
        <v>贰亿叁仟壹佰壹拾万元整</v>
      </c>
      <c r="O58" s="2464"/>
    </row>
    <row r="59" spans="1:35" ht="24.6"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4" t="s">
        <v>2222</v>
      </c>
      <c r="L59" s="2936" t="s">
        <v>2216</v>
      </c>
      <c r="M59" s="1739"/>
      <c r="N59" s="1740">
        <f ca="1">M49-N57</f>
        <v>17686</v>
      </c>
      <c r="O59" s="2466"/>
    </row>
    <row r="60" spans="1:35" ht="12" customHeight="1">
      <c r="A60" s="2467"/>
      <c r="B60" s="2389"/>
      <c r="C60" s="2389"/>
      <c r="D60" s="2389"/>
      <c r="E60" s="2141"/>
      <c r="F60" s="2460"/>
      <c r="G60" s="2460"/>
      <c r="H60" s="2468"/>
      <c r="I60" s="138"/>
      <c r="J60" s="3607"/>
      <c r="K60" s="3604"/>
      <c r="L60" s="2461" t="s">
        <v>2219</v>
      </c>
      <c r="M60" s="1738"/>
      <c r="N60" s="2463" t="str">
        <f ca="1">NUMBERSTRING(INT(N59*10000),2)&amp;"元整"</f>
        <v>壹亿柒仟陆佰捌拾陆万元整</v>
      </c>
      <c r="O60" s="2464"/>
    </row>
    <row r="61" spans="1:35" ht="13.8" thickBot="1">
      <c r="A61" s="3664" t="s">
        <v>2223</v>
      </c>
      <c r="B61" s="3664"/>
      <c r="C61" s="3664"/>
      <c r="D61" s="3664"/>
      <c r="E61" s="3664"/>
      <c r="F61" s="2460"/>
      <c r="G61" s="2460"/>
      <c r="H61" s="2468"/>
      <c r="I61" s="138"/>
      <c r="J61" s="2936">
        <f>J59+1</f>
        <v>6</v>
      </c>
      <c r="K61" s="3604" t="s">
        <v>2224</v>
      </c>
      <c r="L61" s="3604"/>
      <c r="M61" s="1741"/>
      <c r="N61" s="1742">
        <f ca="1">ROUND(N59*10000/'数据-汇总表'!E3,0)</f>
        <v>4195</v>
      </c>
      <c r="O61" s="2469"/>
    </row>
    <row r="62" spans="1:35" ht="13.2">
      <c r="A62" s="3624" t="s">
        <v>2225</v>
      </c>
      <c r="B62" s="3625"/>
      <c r="C62" s="2931"/>
      <c r="D62" s="2931" t="s">
        <v>2226</v>
      </c>
      <c r="E62" s="192" t="s">
        <v>2227</v>
      </c>
      <c r="F62" s="2460"/>
      <c r="G62" s="2460"/>
      <c r="H62" s="2468"/>
      <c r="I62" s="138"/>
    </row>
    <row r="63" spans="1:35" ht="13.2">
      <c r="A63" s="203" t="s">
        <v>775</v>
      </c>
      <c r="B63" s="193" t="s">
        <v>2228</v>
      </c>
      <c r="C63" s="194">
        <f ca="1">ROUND((C64+C65)/(1+'数据-取费表'!C42),0)</f>
        <v>38853</v>
      </c>
      <c r="D63" s="195"/>
      <c r="E63" s="196"/>
      <c r="F63" s="2460"/>
      <c r="G63" s="2460"/>
      <c r="H63" s="2468"/>
      <c r="I63" s="138"/>
      <c r="J63" s="3595" t="s">
        <v>2229</v>
      </c>
      <c r="K63" s="2940" t="s">
        <v>2230</v>
      </c>
      <c r="L63" s="1729">
        <f ca="1">IF(M49&gt;10000,M49*0.5%,IF(AND(M49&gt;1000,M49&lt;=10000),M49*1%,IF(AND(M49&gt;100,M49&lt;=1000),M49*3%,IF(AND(M49&gt;10,M49&lt;=100),M49*5%,M49*8%))))</f>
        <v>203.98000000000002</v>
      </c>
      <c r="M63" s="24">
        <f ca="1">ROUND(L63,1)</f>
        <v>204</v>
      </c>
      <c r="Z63" s="2394"/>
      <c r="AI63" s="2395"/>
    </row>
    <row r="64" spans="1:35" ht="14.25" customHeight="1">
      <c r="A64" s="197" t="s">
        <v>770</v>
      </c>
      <c r="B64" s="198" t="s">
        <v>2231</v>
      </c>
      <c r="C64" s="199">
        <f ca="1">D45</f>
        <v>40796</v>
      </c>
      <c r="D64" s="200" t="s">
        <v>32</v>
      </c>
      <c r="E64" s="201"/>
      <c r="F64" s="2460"/>
      <c r="G64" s="2460"/>
      <c r="H64" s="2468"/>
      <c r="I64" s="138"/>
      <c r="J64" s="3595"/>
      <c r="K64" s="2940" t="s">
        <v>2232</v>
      </c>
      <c r="L64" s="1729">
        <f ca="1">IF(M49&gt;2000,M49*0.5%,IF(AND(M49&gt;1000,M49&lt;=2000),M49*0.6%,IF(AND(M49&gt;500,M49&lt;=1000),M49*0.7%,IF(AND(M49&gt;200,M49&lt;=500),M49*0.8%,IF(AND(M49&gt;100,M49&lt;=200),M49*0.9%,IF(AND(M49&gt;50,M49&lt;=100),M49*1%,IF(AND(M49&gt;20,M49&lt;=50),M49*1.5%,IF(AND(M49&gt;10,M49&lt;=20),M49*2%,IF(AND(M49&gt;1,M49&lt;=10),M49*2.5%)))))))))</f>
        <v>203.98000000000002</v>
      </c>
      <c r="M64" s="24">
        <f t="shared" ref="M64:M65" ca="1" si="1">ROUND(L64,1)</f>
        <v>204</v>
      </c>
      <c r="N64" s="138" t="s">
        <v>2233</v>
      </c>
      <c r="Z64" s="2394"/>
      <c r="AI64" s="2395"/>
    </row>
    <row r="65" spans="1:35" ht="14.25" customHeight="1">
      <c r="A65" s="197" t="s">
        <v>771</v>
      </c>
      <c r="B65" s="198" t="s">
        <v>2234</v>
      </c>
      <c r="C65" s="202"/>
      <c r="D65" s="200"/>
      <c r="E65" s="201"/>
      <c r="F65" s="2460"/>
      <c r="G65" s="2460"/>
      <c r="H65" s="2468"/>
      <c r="I65" s="138"/>
      <c r="J65" s="3595"/>
      <c r="K65" s="2940" t="s">
        <v>2235</v>
      </c>
      <c r="L65" s="1729">
        <f ca="1">IF(M49&gt;1000,M49*0.1%,IF(AND(M49&gt;500,M49&lt;=1000),M49*0.5%,IF(AND(M49&gt;50,M49&lt;=500),M49*1%,IF(AND(M49&gt;1,M49&lt;=50),M49*1.5%))))</f>
        <v>40.795999999999999</v>
      </c>
      <c r="M65" s="24">
        <f t="shared" ca="1" si="1"/>
        <v>40.799999999999997</v>
      </c>
      <c r="N65" s="138" t="s">
        <v>2233</v>
      </c>
      <c r="Z65" s="2394"/>
      <c r="AI65" s="2395"/>
    </row>
    <row r="66" spans="1:35" ht="14.25" customHeight="1">
      <c r="A66" s="203" t="s">
        <v>772</v>
      </c>
      <c r="B66" s="204" t="s">
        <v>2236</v>
      </c>
      <c r="C66" s="205"/>
      <c r="D66" s="206" t="s">
        <v>32</v>
      </c>
      <c r="E66" s="1753" t="s">
        <v>1360</v>
      </c>
      <c r="F66" s="2460"/>
      <c r="G66" s="2460"/>
      <c r="H66" s="2468"/>
      <c r="I66" s="138"/>
      <c r="J66" s="3595"/>
      <c r="K66" s="2940" t="s">
        <v>2237</v>
      </c>
      <c r="L66" s="1729">
        <f ca="1">M49*0.5%</f>
        <v>203.98000000000002</v>
      </c>
      <c r="M66" s="24">
        <f ca="1">IF(L66&gt;0.5,0.5,ROUND(L66,0))</f>
        <v>0.5</v>
      </c>
      <c r="N66" s="138" t="s">
        <v>2238</v>
      </c>
      <c r="Z66" s="2394"/>
      <c r="AI66" s="2395"/>
    </row>
    <row r="67" spans="1:35" ht="14.25" customHeight="1">
      <c r="A67" s="203" t="s">
        <v>773</v>
      </c>
      <c r="B67" s="204" t="s">
        <v>2239</v>
      </c>
      <c r="C67" s="207">
        <f ca="1">C63-C66</f>
        <v>38853</v>
      </c>
      <c r="D67" s="200" t="s">
        <v>32</v>
      </c>
      <c r="E67" s="201"/>
      <c r="F67" s="2460"/>
      <c r="G67" s="2460"/>
      <c r="H67" s="2468"/>
      <c r="I67" s="138"/>
      <c r="J67" s="3595"/>
      <c r="K67" s="2940" t="s">
        <v>2240</v>
      </c>
      <c r="L67" s="1729">
        <f ca="1">IF(M49&gt;=10000,(8.25+(M49-10000)*0.01%),IF(AND(M49&gt;=8000,M49&lt;10000),(7.85+(M49-8000)*0.02%),IF(AND(M49&gt;=5000,M49&lt;8000),(6.65+(M49-5000)*0.04%),IF(AND(M49&gt;=2000,M49&lt;5000),(4.25+(PM49-2000)*0.08%),IF(AND(M49&gt;=1000,M49&lt;2000),(2.75+(M49-1000)*0.15%),IF(AND(M49&gt;=100,M49&lt;1000),(0.5+(M49-100)*0.25%),IF(AND(M49&gt;0,M49&lt;100),M49*0.5%)))))))</f>
        <v>11.329599999999999</v>
      </c>
      <c r="M67" s="24">
        <f ca="1">ROUND(L67*0.9,1)</f>
        <v>10.199999999999999</v>
      </c>
      <c r="Z67" s="2394"/>
      <c r="AI67" s="2395"/>
    </row>
    <row r="68" spans="1:35" ht="14.25" customHeight="1" thickBot="1">
      <c r="A68" s="208" t="s">
        <v>774</v>
      </c>
      <c r="B68" s="209" t="s">
        <v>2241</v>
      </c>
      <c r="C68" s="210">
        <f ca="1">IF(C67&lt;=0,0,ROUND(C67*D68,0))</f>
        <v>2176</v>
      </c>
      <c r="D68" s="211">
        <f>'数据-取费表'!B41</f>
        <v>5.6000000000000001E-2</v>
      </c>
      <c r="E68" s="212"/>
      <c r="F68" s="2460"/>
      <c r="G68" s="2460"/>
      <c r="H68" s="2468"/>
      <c r="I68" s="138"/>
      <c r="J68" s="3595"/>
      <c r="K68" s="2940" t="s">
        <v>2242</v>
      </c>
      <c r="L68" s="1729">
        <f ca="1">IF(M49&gt;10000,M49*0.5%,IF(AND(M49&gt;5000,M49&lt;=10000),M49*1%,IF(AND(M49&gt;1000,M49&lt;=5000),M49*2%,IF(AND(M49&gt;200,M49&lt;=1000),M49*3%,M49*5%))))</f>
        <v>203.98000000000002</v>
      </c>
      <c r="M68" s="24">
        <f ca="1">ROUND(L68,1)</f>
        <v>204</v>
      </c>
      <c r="Z68" s="2394"/>
      <c r="AI68" s="2395"/>
    </row>
    <row r="69" spans="1:35" s="2417" customFormat="1" ht="16.5" customHeight="1">
      <c r="A69" s="2471"/>
      <c r="B69" s="2472"/>
      <c r="C69" s="2473"/>
      <c r="D69" s="2474"/>
      <c r="E69" s="2475"/>
      <c r="F69" s="2141"/>
      <c r="G69" s="2141"/>
      <c r="H69" s="2140"/>
      <c r="I69" s="2389"/>
      <c r="J69" s="3595"/>
      <c r="K69" s="2940" t="s">
        <v>2243</v>
      </c>
      <c r="L69" s="2476"/>
      <c r="M69" s="24">
        <f ca="1">ROUND(SUM(M63:M68),0)</f>
        <v>664</v>
      </c>
      <c r="N69" s="1730">
        <f ca="1">M69/M49</f>
        <v>1.6276105500539269E-2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4.4" thickBot="1">
      <c r="A70" s="3633" t="s">
        <v>2244</v>
      </c>
      <c r="B70" s="3634"/>
      <c r="C70" s="3634"/>
      <c r="D70" s="3634"/>
      <c r="E70" s="3634"/>
      <c r="F70" s="3634"/>
      <c r="G70" s="3634"/>
      <c r="H70" s="3634"/>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3.8">
      <c r="A71" s="3624" t="s">
        <v>2225</v>
      </c>
      <c r="B71" s="3625"/>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3.8">
      <c r="A72" s="203" t="s">
        <v>775</v>
      </c>
      <c r="B72" s="204" t="s">
        <v>2245</v>
      </c>
      <c r="C72" s="207">
        <f ca="1">ROUND(D45/(1+'数据-取费表'!C42),0)</f>
        <v>38853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3.8">
      <c r="A73" s="203" t="s">
        <v>772</v>
      </c>
      <c r="B73" s="173" t="s">
        <v>2246</v>
      </c>
      <c r="C73" s="207">
        <f ca="1">C74+C78</f>
        <v>233</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28.8">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30" t="s">
        <v>2253</v>
      </c>
      <c r="F76" s="3629"/>
      <c r="G76" s="3629"/>
      <c r="H76" s="3632"/>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233</v>
      </c>
      <c r="D78" s="226">
        <f>'数据-取费表'!B43</f>
        <v>6.000000000000001E-3</v>
      </c>
      <c r="E78" s="3621" t="s">
        <v>2258</v>
      </c>
      <c r="F78" s="3622"/>
      <c r="G78" s="3622"/>
      <c r="H78" s="3623"/>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3.8">
      <c r="A79" s="2486" t="s">
        <v>773</v>
      </c>
      <c r="B79" s="204" t="s">
        <v>2259</v>
      </c>
      <c r="C79" s="207">
        <f ca="1">C72-C73</f>
        <v>38620</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165.75107296137338</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6" thickBot="1">
      <c r="A81" s="2487" t="s">
        <v>781</v>
      </c>
      <c r="B81" s="209" t="s">
        <v>2261</v>
      </c>
      <c r="C81" s="228">
        <f ca="1">ROUND(IF(C79&lt;=0,0,IF(C80&gt;=200%,C79*60%-C73*35%,IF(C80&gt;=100%,C79*50%-C73*15%,IF(C80&gt;=50%,C79*40%-C73*5%,IF(C80&lt;50%,C79*30%,0))))),0)</f>
        <v>23090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4.4" thickBot="1">
      <c r="A83" s="3633" t="s">
        <v>2262</v>
      </c>
      <c r="B83" s="3634"/>
      <c r="C83" s="3634"/>
      <c r="D83" s="3634"/>
      <c r="E83" s="3634"/>
      <c r="F83" s="3634"/>
      <c r="G83" s="3634"/>
      <c r="H83" s="3634"/>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3.8">
      <c r="A84" s="3624" t="s">
        <v>2225</v>
      </c>
      <c r="B84" s="3625"/>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3.8">
      <c r="A85" s="203" t="s">
        <v>775</v>
      </c>
      <c r="B85" s="204" t="s">
        <v>2245</v>
      </c>
      <c r="C85" s="207">
        <f ca="1">ROUND(D45/(1+'数据-取费表'!C42),0)</f>
        <v>38853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3.8">
      <c r="A86" s="203" t="s">
        <v>772</v>
      </c>
      <c r="B86" s="173" t="s">
        <v>2246</v>
      </c>
      <c r="C86" s="207">
        <f ca="1">IF(H88="仅含出让金",C87+C90+C91+C92+C93+C94,C87+C91+C92+C93+C94)</f>
        <v>233</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3.8">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3.8">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3.8">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3.8">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621" t="s">
        <v>2271</v>
      </c>
      <c r="F91" s="3622"/>
      <c r="G91" s="3622"/>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621" t="s">
        <v>2275</v>
      </c>
      <c r="F92" s="3622"/>
      <c r="G92" s="3622"/>
      <c r="H92" s="3623"/>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233</v>
      </c>
      <c r="D93" s="226">
        <f>'数据-取费表'!B43</f>
        <v>6.000000000000001E-3</v>
      </c>
      <c r="E93" s="3621" t="s">
        <v>2258</v>
      </c>
      <c r="F93" s="3622"/>
      <c r="G93" s="3622"/>
      <c r="H93" s="3623"/>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66" t="s">
        <v>2279</v>
      </c>
      <c r="F94" s="3667"/>
      <c r="G94" s="3667"/>
      <c r="H94" s="3668"/>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3.8">
      <c r="A95" s="2486" t="s">
        <v>773</v>
      </c>
      <c r="B95" s="204" t="s">
        <v>2259</v>
      </c>
      <c r="C95" s="207">
        <f ca="1">ROUND(C85-C86,0)</f>
        <v>38620</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165.75107296137338</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6" thickBot="1">
      <c r="A97" s="2487" t="s">
        <v>781</v>
      </c>
      <c r="B97" s="209" t="s">
        <v>2261</v>
      </c>
      <c r="C97" s="228">
        <f ca="1">ROUND(IF(C95&lt;=0,0,IF(C96&gt;=200%,C95*60%-C86*35%,IF(C96&gt;=100%,C95*50%-C86*15%,IF(C96&gt;=50%,C95*40%-C86*5%,IF(C96&lt;50%,C95*30%,0))))),0)</f>
        <v>23090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605"/>
      <c r="E100" s="3572" t="s">
        <v>2282</v>
      </c>
      <c r="F100" s="3572"/>
      <c r="G100" s="3572"/>
      <c r="H100" s="3605"/>
      <c r="I100" s="138"/>
    </row>
    <row r="101" spans="1:35" ht="18.75" customHeight="1">
      <c r="A101" s="3613" t="s">
        <v>2283</v>
      </c>
      <c r="B101" s="3614"/>
      <c r="C101" s="732" t="str">
        <f>C4</f>
        <v>典型户型修正办</v>
      </c>
      <c r="D101" s="733" t="str">
        <f>D4</f>
        <v>收益法办（汇总）</v>
      </c>
      <c r="E101" s="3591" t="s">
        <v>2284</v>
      </c>
      <c r="F101" s="3592"/>
      <c r="G101" s="2491" t="s">
        <v>2285</v>
      </c>
      <c r="H101" s="1035">
        <f ca="1">H118</f>
        <v>40796</v>
      </c>
      <c r="I101" s="138"/>
    </row>
    <row r="102" spans="1:35" ht="18.75" customHeight="1">
      <c r="A102" s="3615" t="s">
        <v>2286</v>
      </c>
      <c r="B102" s="2491" t="s">
        <v>2285</v>
      </c>
      <c r="C102" s="732">
        <f ca="1">C19</f>
        <v>66873</v>
      </c>
      <c r="D102" s="733">
        <f ca="1">D19</f>
        <v>1680</v>
      </c>
      <c r="E102" s="3591"/>
      <c r="F102" s="3592"/>
      <c r="G102" s="2491" t="s">
        <v>2287</v>
      </c>
      <c r="H102" s="371" t="e">
        <f ca="1">I118</f>
        <v>#DIV/0!</v>
      </c>
      <c r="I102" s="138"/>
    </row>
    <row r="103" spans="1:35" ht="42.75" customHeight="1">
      <c r="A103" s="3615"/>
      <c r="B103" s="2491" t="s">
        <v>2287</v>
      </c>
      <c r="C103" s="734">
        <f ca="1">C20</f>
        <v>41389</v>
      </c>
      <c r="D103" s="735">
        <f ca="1">D20</f>
        <v>39909</v>
      </c>
      <c r="E103" s="3585" t="s">
        <v>2288</v>
      </c>
      <c r="F103" s="3586"/>
      <c r="G103" s="2492" t="s">
        <v>2289</v>
      </c>
      <c r="H103" s="1035">
        <f>IF(D36="正常操作",H104+H105+H106,H105+H106)</f>
        <v>0</v>
      </c>
      <c r="I103" s="138"/>
    </row>
    <row r="104" spans="1:35" ht="18.75" customHeight="1">
      <c r="A104" s="3615" t="s">
        <v>2290</v>
      </c>
      <c r="B104" s="2493" t="s">
        <v>2285</v>
      </c>
      <c r="C104" s="736">
        <f ca="1">H118</f>
        <v>40796</v>
      </c>
      <c r="D104" s="737"/>
      <c r="E104" s="2241" t="s">
        <v>2291</v>
      </c>
      <c r="F104" s="2233"/>
      <c r="G104" s="2492" t="s">
        <v>2289</v>
      </c>
      <c r="H104" s="1036">
        <f>IF(D36="同一抵押权人同一抵押物续贷",C36&amp;"（未扣减，详见特别提示）",C36)</f>
        <v>0</v>
      </c>
      <c r="I104" s="138"/>
    </row>
    <row r="105" spans="1:35" ht="18.75" customHeight="1" thickBot="1">
      <c r="A105" s="3627"/>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16" t="str">
        <f>IF(项目基本情况!E8="已注销","——","3.房地产抵押价值")</f>
        <v>3.房地产抵押价值</v>
      </c>
      <c r="F107" s="3592"/>
      <c r="G107" s="2491" t="s">
        <v>2285</v>
      </c>
      <c r="H107" s="1035">
        <f ca="1">IF(E107="——","——",H101-H103)</f>
        <v>40796</v>
      </c>
      <c r="I107" s="138"/>
    </row>
    <row r="108" spans="1:35" ht="18.75" customHeight="1">
      <c r="A108" s="138"/>
      <c r="B108" s="138"/>
      <c r="C108" s="138"/>
      <c r="D108" s="138"/>
      <c r="E108" s="3616"/>
      <c r="F108" s="3592"/>
      <c r="G108" s="2491" t="s">
        <v>2287</v>
      </c>
      <c r="H108" s="371">
        <f ca="1">ROUND(H107*10000/'数据-汇总表'!E3,0)</f>
        <v>9675</v>
      </c>
      <c r="I108" s="138"/>
    </row>
    <row r="109" spans="1:35" ht="18.75" customHeight="1">
      <c r="A109" s="138"/>
      <c r="B109" s="138"/>
      <c r="C109" s="138"/>
      <c r="D109" s="138"/>
      <c r="E109" s="3616" t="str">
        <f>IF(项目基本情况!E8="已注销及未注销","4.抵押担保权已注销时的房地产抵押价值",IF(项目基本情况!E8="已注销","3.抵押担保权已注销时的房地产抵押价值","——"))</f>
        <v>——</v>
      </c>
      <c r="F109" s="3592"/>
      <c r="G109" s="2491" t="s">
        <v>2285</v>
      </c>
      <c r="H109" s="348" t="str">
        <f>IF(E109="——","——",H101-H105-H106)</f>
        <v>——</v>
      </c>
      <c r="I109" s="138"/>
    </row>
    <row r="110" spans="1:35" ht="18.75" customHeight="1">
      <c r="A110" s="138"/>
      <c r="B110" s="138"/>
      <c r="C110" s="138"/>
      <c r="D110" s="138"/>
      <c r="E110" s="3616"/>
      <c r="F110" s="3592"/>
      <c r="G110" s="2491" t="s">
        <v>2287</v>
      </c>
      <c r="H110" s="371" t="str">
        <f>IF(H109="——","——",ROUND(H109*10000/'数据-汇总表'!E3,0))</f>
        <v>——</v>
      </c>
      <c r="I110" s="138"/>
    </row>
    <row r="111" spans="1:35" ht="18.75" customHeight="1">
      <c r="A111" s="138"/>
      <c r="B111" s="138"/>
      <c r="C111" s="138"/>
      <c r="D111" s="138"/>
      <c r="E111" s="3617" t="str">
        <f>IF(项目基本情况!E9="抵押净值",IF(OR(项目基本情况!E8="已注销",项目基本情况!E8="房地产抵押价值"),"4.抵押净值","5.抵押净值"),"——")</f>
        <v>——</v>
      </c>
      <c r="F111" s="3618"/>
      <c r="G111" s="2491" t="s">
        <v>2285</v>
      </c>
      <c r="H111" s="1035" t="str">
        <f>IF(E111="——","——",N59)</f>
        <v>——</v>
      </c>
      <c r="I111" s="138"/>
    </row>
    <row r="112" spans="1:35" ht="18.75" customHeight="1" thickBot="1">
      <c r="A112" s="138"/>
      <c r="B112" s="138"/>
      <c r="C112" s="138"/>
      <c r="D112" s="138"/>
      <c r="E112" s="3619"/>
      <c r="F112" s="3620"/>
      <c r="G112" s="2496" t="s">
        <v>2287</v>
      </c>
      <c r="H112" s="785" t="str">
        <f>IF(E111="——","——",N61)</f>
        <v>——</v>
      </c>
      <c r="I112" s="138"/>
    </row>
    <row r="113" spans="1:11" ht="18.75" customHeight="1">
      <c r="A113" s="138"/>
      <c r="B113" s="138"/>
      <c r="C113" s="138"/>
      <c r="D113" s="138"/>
      <c r="E113" s="3628" t="s">
        <v>2293</v>
      </c>
      <c r="F113" s="3628"/>
      <c r="G113" s="3628"/>
      <c r="H113" s="3628"/>
      <c r="I113" s="138"/>
    </row>
    <row r="114" spans="1:11" ht="3.75" customHeight="1">
      <c r="A114" s="2389"/>
      <c r="B114" s="2389"/>
      <c r="C114" s="2389"/>
      <c r="D114" s="2389"/>
      <c r="E114" s="2467"/>
      <c r="F114" s="2467"/>
      <c r="G114" s="2467"/>
      <c r="H114" s="2467"/>
      <c r="I114" s="2389"/>
    </row>
    <row r="115" spans="1:11" ht="18.75" customHeight="1">
      <c r="A115" s="3638" t="s">
        <v>2295</v>
      </c>
      <c r="B115" s="3639"/>
      <c r="C115" s="3639"/>
      <c r="D115" s="3639"/>
      <c r="E115" s="3639"/>
      <c r="F115" s="3639"/>
      <c r="G115" s="3639"/>
      <c r="H115" s="3639"/>
      <c r="I115" s="3640"/>
    </row>
    <row r="116" spans="1:11" ht="27" customHeight="1">
      <c r="A116" s="3521" t="s">
        <v>2296</v>
      </c>
      <c r="B116" s="3522" t="s">
        <v>2297</v>
      </c>
      <c r="C116" s="3522" t="s">
        <v>2298</v>
      </c>
      <c r="D116" s="3524" t="s">
        <v>2299</v>
      </c>
      <c r="E116" s="3525"/>
      <c r="F116" s="3527" t="s">
        <v>2300</v>
      </c>
      <c r="G116" s="3527"/>
      <c r="H116" s="3521" t="s">
        <v>2301</v>
      </c>
      <c r="I116" s="3521"/>
    </row>
    <row r="117" spans="1:11" ht="18.75" customHeight="1">
      <c r="A117" s="3521"/>
      <c r="B117" s="3523"/>
      <c r="C117" s="3523"/>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40796</v>
      </c>
      <c r="I118" s="2923" t="e">
        <f ca="1">ROUND(IF(D32="楼面单价",C32,H118*10000/B118),0)</f>
        <v>#DIV/0!</v>
      </c>
    </row>
    <row r="119" spans="1:11" ht="18.75" customHeight="1">
      <c r="A119" s="3521" t="s">
        <v>2305</v>
      </c>
      <c r="B119" s="3521"/>
      <c r="C119" s="3521"/>
      <c r="D119" s="3516" t="e">
        <f ca="1">NUMBERSTRING(INT(D118*10000),2)&amp;"元整"</f>
        <v>#REF!</v>
      </c>
      <c r="E119" s="3517"/>
      <c r="F119" s="3516" t="e">
        <f ca="1">NUMBERSTRING(INT(F118*10000),2)&amp;"元整"</f>
        <v>#REF!</v>
      </c>
      <c r="G119" s="3517"/>
      <c r="H119" s="3516" t="str">
        <f ca="1">NUMBERSTRING(INT(H118*10000),2)&amp;"元整"</f>
        <v>肆亿零柒佰玖拾陆万元整</v>
      </c>
      <c r="I119" s="3517"/>
    </row>
    <row r="120" spans="1:11" ht="18.75" customHeight="1">
      <c r="A120" s="3598" t="str">
        <f>IF(项目基本情况!B9="房地产市场价值","",MID(E103,3,LEN(E103)-2))</f>
        <v>估价师知悉的法定优先受偿款</v>
      </c>
      <c r="B120" s="3599"/>
      <c r="C120" s="3600"/>
      <c r="D120" s="3598">
        <f>H103</f>
        <v>0</v>
      </c>
      <c r="E120" s="3599"/>
      <c r="F120" s="3599"/>
      <c r="G120" s="3599"/>
      <c r="H120" s="3599"/>
      <c r="I120" s="3600"/>
      <c r="K120" s="2394" t="str">
        <f>IF(D120=0,"故，本次评估不存在"&amp;A120,"故，本次评估"&amp;A120&amp;"为人民币"&amp;D120&amp;"万元整。")</f>
        <v>故，本次评估不存在估价师知悉的法定优先受偿款</v>
      </c>
    </row>
    <row r="121" spans="1:11" ht="18.75" customHeight="1">
      <c r="A121" s="3518" t="s">
        <v>2305</v>
      </c>
      <c r="B121" s="3637"/>
      <c r="C121" s="3519"/>
      <c r="D121" s="3516" t="str">
        <f>IF(D120=0,"零元整",NUMBERSTRING(INT(D120*10000),2)&amp;"元整")</f>
        <v>零元整</v>
      </c>
      <c r="E121" s="3601"/>
      <c r="F121" s="3601"/>
      <c r="G121" s="3601"/>
      <c r="H121" s="3601"/>
      <c r="I121" s="3517"/>
    </row>
    <row r="122" spans="1:11" ht="18.75" customHeight="1">
      <c r="A122" s="3603" t="str">
        <f>IF(项目基本情况!B9="房地产市场价值","",MID(E107,3,LEN(E107)-2))</f>
        <v>房地产抵押价值</v>
      </c>
      <c r="B122" s="3603"/>
      <c r="C122" s="3603"/>
      <c r="D122" s="3598">
        <f ca="1">H107</f>
        <v>40796</v>
      </c>
      <c r="E122" s="3599"/>
      <c r="F122" s="3599"/>
      <c r="G122" s="3599"/>
      <c r="H122" s="3599"/>
      <c r="I122" s="3600"/>
    </row>
    <row r="123" spans="1:11" ht="18.75" customHeight="1">
      <c r="A123" s="3521" t="s">
        <v>2305</v>
      </c>
      <c r="B123" s="3521"/>
      <c r="C123" s="3521"/>
      <c r="D123" s="3516" t="str">
        <f ca="1">NUMBERSTRING(INT(D122*10000),2)&amp;"元整"</f>
        <v>肆亿零柒佰玖拾陆万元整</v>
      </c>
      <c r="E123" s="3601"/>
      <c r="F123" s="3601"/>
      <c r="G123" s="3601"/>
      <c r="H123" s="3601"/>
      <c r="I123" s="3517"/>
    </row>
    <row r="124" spans="1:11" ht="18.75" customHeight="1">
      <c r="A124" s="3603" t="str">
        <f>IF(项目基本情况!B9="房地产市场价值","",MID(E109,3,LEN(E109)-2))</f>
        <v/>
      </c>
      <c r="B124" s="3603"/>
      <c r="C124" s="3603"/>
      <c r="D124" s="3598" t="str">
        <f>H109</f>
        <v>——</v>
      </c>
      <c r="E124" s="3599"/>
      <c r="F124" s="3599"/>
      <c r="G124" s="3599"/>
      <c r="H124" s="3599"/>
      <c r="I124" s="3600"/>
    </row>
    <row r="125" spans="1:11" ht="18.75" customHeight="1">
      <c r="A125" s="3521" t="s">
        <v>2305</v>
      </c>
      <c r="B125" s="3521"/>
      <c r="C125" s="3521"/>
      <c r="D125" s="3516" t="e">
        <f>NUMBERSTRING(INT(D124*10000),2)&amp;"元整"</f>
        <v>#VALUE!</v>
      </c>
      <c r="E125" s="3601"/>
      <c r="F125" s="3601"/>
      <c r="G125" s="3601"/>
      <c r="H125" s="3601"/>
      <c r="I125" s="3517"/>
    </row>
    <row r="126" spans="1:11" ht="18.75" customHeight="1">
      <c r="A126" s="3603" t="str">
        <f>IF(项目基本情况!B9="房地产市场价值","",MID(E111,3,LEN(E111)-2))</f>
        <v/>
      </c>
      <c r="B126" s="3603"/>
      <c r="C126" s="3603"/>
      <c r="D126" s="3598" t="str">
        <f>H111</f>
        <v>——</v>
      </c>
      <c r="E126" s="3599"/>
      <c r="F126" s="3599"/>
      <c r="G126" s="3599"/>
      <c r="H126" s="3599"/>
      <c r="I126" s="3600"/>
    </row>
    <row r="127" spans="1:11" ht="18.75" customHeight="1">
      <c r="A127" s="3521" t="s">
        <v>2305</v>
      </c>
      <c r="B127" s="3521"/>
      <c r="C127" s="3521"/>
      <c r="D127" s="3516" t="e">
        <f>NUMBERSTRING(INT(D126*10000),2)&amp;"元整"</f>
        <v>#VALUE!</v>
      </c>
      <c r="E127" s="3601"/>
      <c r="F127" s="3601"/>
      <c r="G127" s="3601"/>
      <c r="H127" s="3601"/>
      <c r="I127" s="3517"/>
    </row>
    <row r="128" spans="1:11" ht="21.75" customHeight="1">
      <c r="A128" s="3602" t="s">
        <v>2306</v>
      </c>
      <c r="B128" s="3602"/>
      <c r="C128" s="3602"/>
      <c r="D128" s="3602"/>
      <c r="E128" s="3602"/>
      <c r="F128" s="3602"/>
      <c r="G128" s="3602"/>
      <c r="H128" s="3602"/>
      <c r="I128" s="360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xr:uid="{00000000-0002-0000-2000-000000000000}">
      <formula1>"2.估价师知悉的法定优先受偿款,2.估价师知悉的除抵押担保权以外的法定优先受偿款"</formula1>
    </dataValidation>
    <dataValidation type="list" allowBlank="1" showInputMessage="1" showErrorMessage="1" sqref="G77" xr:uid="{00000000-0002-0000-2000-000001000000}">
      <formula1>"个人住宅,2016年5月1日前购买,2016年5月1日后购买"</formula1>
    </dataValidation>
    <dataValidation type="list" allowBlank="1" showInputMessage="1" showErrorMessage="1" sqref="C1" xr:uid="{00000000-0002-0000-2000-000002000000}">
      <formula1>项目类型</formula1>
    </dataValidation>
    <dataValidation type="list" allowBlank="1" showInputMessage="1" showErrorMessage="1" sqref="I1" xr:uid="{00000000-0002-0000-2000-000003000000}">
      <formula1>"项目局部,项目全部,——"</formula1>
    </dataValidation>
    <dataValidation type="list" showInputMessage="1" showErrorMessage="1" sqref="G1" xr:uid="{00000000-0002-0000-2000-000004000000}">
      <formula1>"现房,在建,土地,-"</formula1>
    </dataValidation>
    <dataValidation type="list" allowBlank="1" showInputMessage="1" showErrorMessage="1" sqref="H59" xr:uid="{00000000-0002-0000-2000-000005000000}">
      <formula1>"非个人房产,个人住宅,个人非住宅"</formula1>
    </dataValidation>
    <dataValidation type="list" allowBlank="1" showInputMessage="1" showErrorMessage="1" sqref="C129" xr:uid="{00000000-0002-0000-2000-000006000000}">
      <formula1>"无,有"</formula1>
    </dataValidation>
    <dataValidation type="list" allowBlank="1" showInputMessage="1" showErrorMessage="1" sqref="F116:G116" xr:uid="{00000000-0002-0000-2000-000007000000}">
      <formula1>"建筑物价值,在建建筑物价值,建筑物/在建建筑物价值"</formula1>
    </dataValidation>
    <dataValidation type="list" allowBlank="1" showInputMessage="1" showErrorMessage="1" sqref="D116:E116" xr:uid="{00000000-0002-0000-2000-000008000000}">
      <formula1>"出让国有建设用地使用权价值,划拨国有建设用地使用权价值"</formula1>
    </dataValidation>
    <dataValidation type="list" allowBlank="1" showInputMessage="1" showErrorMessage="1" sqref="C116:C117" xr:uid="{00000000-0002-0000-2000-000009000000}">
      <formula1>"土地面积,分摊土地面积,（分摊）土地面积"</formula1>
    </dataValidation>
    <dataValidation type="list" allowBlank="1" showInputMessage="1" showErrorMessage="1" sqref="B116:B117" xr:uid="{00000000-0002-0000-2000-00000A000000}">
      <formula1>"建筑面积,规划建筑面积,（规划）建筑面积"</formula1>
    </dataValidation>
    <dataValidation type="list" allowBlank="1" showInputMessage="1" showErrorMessage="1" sqref="D36" xr:uid="{00000000-0002-0000-2000-00000B000000}">
      <formula1>"同一抵押权人同一抵押物续贷,注销后放款,正常操作"</formula1>
    </dataValidation>
    <dataValidation type="list" allowBlank="1" showInputMessage="1" showErrorMessage="1" sqref="F75" xr:uid="{00000000-0002-0000-2000-00000C000000}">
      <formula1>"买卖合同,购房发票"</formula1>
    </dataValidation>
    <dataValidation type="list" allowBlank="1" showInputMessage="1" showErrorMessage="1" sqref="H88" xr:uid="{00000000-0002-0000-2000-00000D000000}">
      <formula1>"仅含出让金,出让金+开发费"</formula1>
    </dataValidation>
    <dataValidation type="list" allowBlank="1" showInputMessage="1" showErrorMessage="1" sqref="H91" xr:uid="{00000000-0002-0000-2000-00000E000000}">
      <formula1>"企业提供（在右侧录入）,——"</formula1>
    </dataValidation>
    <dataValidation type="list" allowBlank="1" showInputMessage="1" showErrorMessage="1" sqref="C33" xr:uid="{00000000-0002-0000-2000-00000F000000}">
      <formula1>"成本比率,收益比率,自定义"</formula1>
    </dataValidation>
    <dataValidation type="list" allowBlank="1" showInputMessage="1" showErrorMessage="1" sqref="F45" xr:uid="{00000000-0002-0000-2000-000010000000}">
      <formula1>"100%,80%,60%,64%"</formula1>
    </dataValidation>
    <dataValidation type="list" allowBlank="1" showInputMessage="1" showErrorMessage="1" sqref="D32" xr:uid="{00000000-0002-0000-2000-000011000000}">
      <formula1>"总价,楼面单价"</formula1>
    </dataValidation>
    <dataValidation type="list" allowBlank="1" showInputMessage="1" showErrorMessage="1" sqref="H58" xr:uid="{00000000-0002-0000-2000-000012000000}">
      <formula1>"转让取得,自行开发建设"</formula1>
    </dataValidation>
    <dataValidation type="list" allowBlank="1" showInputMessage="1" showErrorMessage="1" sqref="H48" xr:uid="{00000000-0002-0000-2000-000013000000}">
      <formula1>"情况1,情况2,情况3,情况4"</formula1>
    </dataValidation>
    <dataValidation type="list" allowBlank="1" showInputMessage="1" showErrorMessage="1" sqref="H55:H56" xr:uid="{00000000-0002-0000-2000-000014000000}">
      <formula1>"个人住宅,正常"</formula1>
    </dataValidation>
    <dataValidation type="list" allowBlank="1" showInputMessage="1" showErrorMessage="1" sqref="C4:D4 D33" xr:uid="{00000000-0002-0000-20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0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2516</v>
      </c>
      <c r="B1" s="2642" t="s">
        <v>2674</v>
      </c>
      <c r="C1" s="1600" t="s">
        <v>2518</v>
      </c>
      <c r="D1" s="1601" t="s">
        <v>27</v>
      </c>
      <c r="E1" s="1610"/>
      <c r="F1" s="2557"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39114</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4.4">
      <c r="A4" s="400" t="s">
        <v>2633</v>
      </c>
      <c r="B4" s="401"/>
      <c r="C4" s="3735" t="s">
        <v>2634</v>
      </c>
      <c r="D4" s="3736"/>
      <c r="E4" s="3737" t="s">
        <v>2635</v>
      </c>
      <c r="F4" s="3738"/>
      <c r="G4" s="3735" t="s">
        <v>2636</v>
      </c>
      <c r="H4" s="3736"/>
      <c r="I4" s="3735" t="s">
        <v>2637</v>
      </c>
      <c r="J4" s="3736"/>
      <c r="K4" s="609" t="s">
        <v>2638</v>
      </c>
      <c r="L4" s="1113"/>
      <c r="M4" s="1114"/>
      <c r="N4" s="1114"/>
      <c r="O4" s="1114"/>
      <c r="P4" s="3780" t="s">
        <v>2639</v>
      </c>
      <c r="Q4" s="3781"/>
      <c r="R4" s="3773" t="s">
        <v>2635</v>
      </c>
      <c r="S4" s="3774"/>
      <c r="T4" s="3773" t="s">
        <v>2636</v>
      </c>
      <c r="U4" s="3774"/>
      <c r="V4" s="3784" t="s">
        <v>2637</v>
      </c>
      <c r="W4" s="3784"/>
      <c r="X4" s="2643"/>
      <c r="Y4" s="3773" t="s">
        <v>2639</v>
      </c>
      <c r="Z4" s="3774"/>
      <c r="AA4" s="3772" t="s">
        <v>2635</v>
      </c>
      <c r="AB4" s="3772" t="s">
        <v>2636</v>
      </c>
      <c r="AC4" s="3777" t="s">
        <v>2637</v>
      </c>
    </row>
    <row r="5" spans="1:29" ht="14.4">
      <c r="A5" s="403"/>
      <c r="B5" s="404"/>
      <c r="C5" s="3775" t="s">
        <v>3043</v>
      </c>
      <c r="D5" s="3776"/>
      <c r="E5" s="3728" t="s">
        <v>3689</v>
      </c>
      <c r="F5" s="3729"/>
      <c r="G5" s="3728" t="s">
        <v>3672</v>
      </c>
      <c r="H5" s="3729"/>
      <c r="I5" s="3728" t="s">
        <v>3691</v>
      </c>
      <c r="J5" s="3729"/>
      <c r="K5" s="609"/>
      <c r="L5" s="1113"/>
      <c r="M5" s="1114"/>
      <c r="N5" s="1114"/>
      <c r="O5" s="1114"/>
      <c r="P5" s="3782"/>
      <c r="Q5" s="3742"/>
      <c r="R5" s="3724"/>
      <c r="S5" s="3725"/>
      <c r="T5" s="3724"/>
      <c r="U5" s="3725"/>
      <c r="V5" s="3719"/>
      <c r="W5" s="3719"/>
      <c r="X5" s="1793"/>
      <c r="Y5" s="3724"/>
      <c r="Z5" s="3725"/>
      <c r="AA5" s="3717"/>
      <c r="AB5" s="3717"/>
      <c r="AC5" s="3778"/>
    </row>
    <row r="6" spans="1:29" ht="15" thickBot="1">
      <c r="A6" s="405"/>
      <c r="B6" s="406"/>
      <c r="C6" s="3730" t="s">
        <v>2534</v>
      </c>
      <c r="D6" s="3731"/>
      <c r="E6" s="3732" t="s">
        <v>2534</v>
      </c>
      <c r="F6" s="3733"/>
      <c r="G6" s="3730" t="s">
        <v>2534</v>
      </c>
      <c r="H6" s="3731"/>
      <c r="I6" s="3730" t="s">
        <v>2534</v>
      </c>
      <c r="J6" s="3731"/>
      <c r="K6" s="609" t="s">
        <v>2535</v>
      </c>
      <c r="L6" s="1113"/>
      <c r="M6" s="1114"/>
      <c r="N6" s="1114"/>
      <c r="O6" s="1114"/>
      <c r="P6" s="3783"/>
      <c r="Q6" s="3744"/>
      <c r="R6" s="3724"/>
      <c r="S6" s="3725"/>
      <c r="T6" s="3745"/>
      <c r="U6" s="3746"/>
      <c r="V6" s="3719"/>
      <c r="W6" s="3719"/>
      <c r="X6" s="1793"/>
      <c r="Y6" s="3745"/>
      <c r="Z6" s="3746"/>
      <c r="AA6" s="3718"/>
      <c r="AB6" s="3718"/>
      <c r="AC6" s="3779"/>
    </row>
    <row r="7" spans="1:29" s="117" customFormat="1" ht="15" thickBot="1">
      <c r="A7" s="407" t="s">
        <v>2536</v>
      </c>
      <c r="B7" s="408"/>
      <c r="C7" s="409">
        <f>'数据-取费表'!B2</f>
        <v>43836</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85" t="s">
        <v>2537</v>
      </c>
      <c r="Q7" s="3747"/>
      <c r="R7" s="766" t="s">
        <v>17</v>
      </c>
      <c r="S7" s="767">
        <f t="shared" ref="S7:S15" si="0">F7</f>
        <v>100</v>
      </c>
      <c r="T7" s="766" t="s">
        <v>17</v>
      </c>
      <c r="U7" s="767">
        <f t="shared" ref="U7:U15" si="1">H7</f>
        <v>100</v>
      </c>
      <c r="V7" s="766" t="s">
        <v>17</v>
      </c>
      <c r="W7" s="767">
        <f t="shared" ref="W7:W15" si="2">J7</f>
        <v>99</v>
      </c>
      <c r="X7" s="768"/>
      <c r="Y7" s="3720" t="s">
        <v>2537</v>
      </c>
      <c r="Z7" s="3721"/>
      <c r="AA7" s="769">
        <f>D7/F7</f>
        <v>1</v>
      </c>
      <c r="AB7" s="769">
        <f>D7/H7</f>
        <v>1</v>
      </c>
      <c r="AC7" s="2644">
        <f>D7/J7</f>
        <v>1.0101010101010102</v>
      </c>
    </row>
    <row r="8" spans="1:29" s="117" customFormat="1" ht="1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85" t="s">
        <v>2540</v>
      </c>
      <c r="Q8" s="3721"/>
      <c r="R8" s="766" t="s">
        <v>17</v>
      </c>
      <c r="S8" s="767">
        <f t="shared" si="0"/>
        <v>100</v>
      </c>
      <c r="T8" s="766" t="s">
        <v>17</v>
      </c>
      <c r="U8" s="767">
        <f t="shared" si="1"/>
        <v>100</v>
      </c>
      <c r="V8" s="766" t="s">
        <v>17</v>
      </c>
      <c r="W8" s="767">
        <f t="shared" si="2"/>
        <v>100</v>
      </c>
      <c r="X8" s="768"/>
      <c r="Y8" s="3720" t="s">
        <v>2540</v>
      </c>
      <c r="Z8" s="3721"/>
      <c r="AA8" s="769">
        <f t="shared" ref="AA8:AA47" si="3">D8/F8</f>
        <v>1</v>
      </c>
      <c r="AB8" s="769">
        <f t="shared" ref="AB8:AB47" si="4">D8/H8</f>
        <v>1</v>
      </c>
      <c r="AC8" s="2644">
        <f t="shared" ref="AC8:AC47" si="5">D8/J8</f>
        <v>1</v>
      </c>
    </row>
    <row r="9" spans="1:29" s="117" customFormat="1" ht="14.4">
      <c r="A9" s="414" t="s">
        <v>2541</v>
      </c>
      <c r="B9" s="71" t="s">
        <v>2542</v>
      </c>
      <c r="C9" s="2965"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734"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2644">
        <f t="shared" si="5"/>
        <v>1</v>
      </c>
    </row>
    <row r="10" spans="1:29" s="426" customFormat="1" ht="28.8">
      <c r="A10" s="420"/>
      <c r="B10" s="421" t="s">
        <v>2545</v>
      </c>
      <c r="C10" s="422" t="s">
        <v>3434</v>
      </c>
      <c r="D10" s="136">
        <v>100</v>
      </c>
      <c r="E10" s="3416" t="s">
        <v>3434</v>
      </c>
      <c r="F10" s="3417">
        <f>SUMIF(66:66,E10,67:67)-SUMIF(66:66,C10,67:67)+100</f>
        <v>100</v>
      </c>
      <c r="G10" s="3416" t="s">
        <v>3434</v>
      </c>
      <c r="H10" s="3417">
        <f>SUMIF(66:66,G10,67:67)-SUMIF(66:66,C10,67:67)+100</f>
        <v>100</v>
      </c>
      <c r="I10" s="3416" t="s">
        <v>3434</v>
      </c>
      <c r="J10" s="3417">
        <f>SUMIF(66:66,I10,67:67)-SUMIF(66:66,C10,67:67)+100</f>
        <v>100</v>
      </c>
      <c r="K10" s="611">
        <v>1</v>
      </c>
      <c r="L10" s="1118"/>
      <c r="M10" s="1119"/>
      <c r="N10" s="1119"/>
      <c r="O10" s="1119"/>
      <c r="P10" s="3734"/>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2644">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734"/>
      <c r="Q11" s="1775" t="str">
        <f t="shared" si="6"/>
        <v>容积率</v>
      </c>
      <c r="R11" s="766" t="s">
        <v>17</v>
      </c>
      <c r="S11" s="767">
        <f t="shared" si="0"/>
        <v>100</v>
      </c>
      <c r="T11" s="766" t="s">
        <v>17</v>
      </c>
      <c r="U11" s="767">
        <f t="shared" si="1"/>
        <v>100</v>
      </c>
      <c r="V11" s="766" t="s">
        <v>17</v>
      </c>
      <c r="W11" s="767">
        <f t="shared" si="2"/>
        <v>100</v>
      </c>
      <c r="X11" s="768"/>
      <c r="Y11" s="3521"/>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734"/>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734"/>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2644">
        <f t="shared" si="5"/>
        <v>1</v>
      </c>
    </row>
    <row r="14" spans="1:29" ht="15.6"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734"/>
      <c r="Q14" s="1775">
        <f t="shared" si="6"/>
        <v>111</v>
      </c>
      <c r="R14" s="766" t="s">
        <v>17</v>
      </c>
      <c r="S14" s="767">
        <f t="shared" si="0"/>
        <v>100</v>
      </c>
      <c r="T14" s="766" t="s">
        <v>17</v>
      </c>
      <c r="U14" s="767">
        <f t="shared" si="1"/>
        <v>100</v>
      </c>
      <c r="V14" s="766" t="s">
        <v>17</v>
      </c>
      <c r="W14" s="767">
        <f t="shared" si="2"/>
        <v>100</v>
      </c>
      <c r="X14" s="768"/>
      <c r="Y14" s="3521"/>
      <c r="Z14" s="55">
        <f t="shared" si="7"/>
        <v>111</v>
      </c>
      <c r="AA14" s="769">
        <f t="shared" si="3"/>
        <v>1</v>
      </c>
      <c r="AB14" s="769">
        <f t="shared" si="4"/>
        <v>1</v>
      </c>
      <c r="AC14" s="2644">
        <f t="shared" si="5"/>
        <v>1</v>
      </c>
    </row>
    <row r="15" spans="1:29" ht="82.8">
      <c r="A15" s="439" t="s">
        <v>2547</v>
      </c>
      <c r="B15" s="628" t="s">
        <v>2675</v>
      </c>
      <c r="C15" s="2646" t="str">
        <f>估价对象房地状况!C5</f>
        <v>估价对象位于望京商圈，周边办公楼项目较多，入驻率较高，办公集聚程度较好</v>
      </c>
      <c r="D15" s="440">
        <v>100</v>
      </c>
      <c r="E15" s="443" t="s">
        <v>3667</v>
      </c>
      <c r="F15" s="440">
        <f>SUMIF(77:77,E16,78:78)-SUMIF(77:77,C16,78:78)+100</f>
        <v>100</v>
      </c>
      <c r="G15" s="443" t="s">
        <v>3667</v>
      </c>
      <c r="H15" s="440">
        <f>SUMIF(77:77,G16,78:78)-SUMIF(77:77,C16,78:78)+100</f>
        <v>100</v>
      </c>
      <c r="I15" s="443" t="s">
        <v>3667</v>
      </c>
      <c r="J15" s="440">
        <f>SUMIF(77:77,I16,78:78)-SUMIF(77:77,C16,78:78)+100</f>
        <v>100</v>
      </c>
      <c r="K15" s="613">
        <v>3</v>
      </c>
      <c r="L15" s="1123"/>
      <c r="M15" s="1114"/>
      <c r="N15" s="1114"/>
      <c r="O15" s="1114"/>
      <c r="P15" s="3748" t="s">
        <v>2548</v>
      </c>
      <c r="Q15" s="1790" t="str">
        <f t="shared" si="6"/>
        <v>办公集聚程度</v>
      </c>
      <c r="R15" s="770" t="s">
        <v>17</v>
      </c>
      <c r="S15" s="771">
        <f t="shared" si="0"/>
        <v>100</v>
      </c>
      <c r="T15" s="770" t="s">
        <v>17</v>
      </c>
      <c r="U15" s="771">
        <f t="shared" si="1"/>
        <v>100</v>
      </c>
      <c r="V15" s="770" t="s">
        <v>17</v>
      </c>
      <c r="W15" s="771">
        <f t="shared" si="2"/>
        <v>100</v>
      </c>
      <c r="X15" s="1793"/>
      <c r="Y15" s="3750" t="s">
        <v>2548</v>
      </c>
      <c r="Z15" s="1794" t="str">
        <f t="shared" si="7"/>
        <v>办公集聚程度</v>
      </c>
      <c r="AA15" s="1791">
        <f t="shared" si="3"/>
        <v>1</v>
      </c>
      <c r="AB15" s="1791">
        <f t="shared" si="4"/>
        <v>1</v>
      </c>
      <c r="AC15" s="2647">
        <f t="shared" si="5"/>
        <v>1</v>
      </c>
    </row>
    <row r="16" spans="1:29" ht="15">
      <c r="A16" s="427"/>
      <c r="B16" s="629"/>
      <c r="C16" s="2584" t="s">
        <v>3058</v>
      </c>
      <c r="D16" s="447"/>
      <c r="E16" s="2649" t="s">
        <v>3058</v>
      </c>
      <c r="F16" s="447"/>
      <c r="G16" s="2649" t="s">
        <v>3058</v>
      </c>
      <c r="H16" s="449"/>
      <c r="I16" s="2649" t="s">
        <v>3058</v>
      </c>
      <c r="J16" s="447"/>
      <c r="K16" s="614"/>
      <c r="L16" s="1123"/>
      <c r="M16" s="1114"/>
      <c r="N16" s="1114"/>
      <c r="O16" s="1114"/>
      <c r="P16" s="3749"/>
      <c r="Q16" s="1790"/>
      <c r="R16" s="770"/>
      <c r="S16" s="771"/>
      <c r="T16" s="770"/>
      <c r="U16" s="771"/>
      <c r="V16" s="770"/>
      <c r="W16" s="771"/>
      <c r="X16" s="1793"/>
      <c r="Y16" s="3751"/>
      <c r="Z16" s="1794"/>
      <c r="AA16" s="1791">
        <v>1</v>
      </c>
      <c r="AB16" s="1791">
        <v>1</v>
      </c>
      <c r="AC16" s="2647">
        <v>1</v>
      </c>
    </row>
    <row r="17" spans="1:29" ht="138">
      <c r="A17" s="427"/>
      <c r="B17" s="630" t="s">
        <v>2085</v>
      </c>
      <c r="C17" s="2648" t="str">
        <f>估价对象房地状况!C6</f>
        <v>估价对象周边道路状况较好、地铁14、15号线通过，公共交通通达情况较好、停车便捷程度较好，综合评价交通便捷度较好</v>
      </c>
      <c r="D17" s="449">
        <v>100</v>
      </c>
      <c r="E17" s="453" t="s">
        <v>3668</v>
      </c>
      <c r="F17" s="449">
        <f>SUMIF(79:79,E18,80:80)-SUMIF(79:79,C18,80:80)+100</f>
        <v>100</v>
      </c>
      <c r="G17" s="453" t="s">
        <v>3668</v>
      </c>
      <c r="H17" s="454">
        <f>SUMIF(79:79,G18,80:80)-SUMIF(79:79,C18,80:80)+100</f>
        <v>100</v>
      </c>
      <c r="I17" s="453" t="s">
        <v>3668</v>
      </c>
      <c r="J17" s="454">
        <f>SUMIF(79:79,I18,80:80)-SUMIF(79:79,C18,80:80)+100</f>
        <v>100</v>
      </c>
      <c r="K17" s="613">
        <f>'比较法-商业'!K17</f>
        <v>2</v>
      </c>
      <c r="L17" s="1123"/>
      <c r="M17" s="1114"/>
      <c r="N17" s="1114"/>
      <c r="O17" s="1114"/>
      <c r="P17" s="3749"/>
      <c r="Q17" s="1790" t="str">
        <f>B17</f>
        <v>交通便捷度</v>
      </c>
      <c r="R17" s="770" t="s">
        <v>17</v>
      </c>
      <c r="S17" s="771">
        <f>F17</f>
        <v>100</v>
      </c>
      <c r="T17" s="770" t="s">
        <v>17</v>
      </c>
      <c r="U17" s="771">
        <f>H17</f>
        <v>100</v>
      </c>
      <c r="V17" s="770" t="s">
        <v>17</v>
      </c>
      <c r="W17" s="771">
        <f>J17</f>
        <v>100</v>
      </c>
      <c r="X17" s="1793"/>
      <c r="Y17" s="3751"/>
      <c r="Z17" s="1794" t="str">
        <f>Q17</f>
        <v>交通便捷度</v>
      </c>
      <c r="AA17" s="1791">
        <f t="shared" si="3"/>
        <v>1</v>
      </c>
      <c r="AB17" s="1791">
        <f t="shared" si="4"/>
        <v>1</v>
      </c>
      <c r="AC17" s="2647">
        <f t="shared" si="5"/>
        <v>1</v>
      </c>
    </row>
    <row r="18" spans="1:29" ht="15">
      <c r="A18" s="427"/>
      <c r="B18" s="631"/>
      <c r="C18" s="2649" t="s">
        <v>3058</v>
      </c>
      <c r="D18" s="449"/>
      <c r="E18" s="2649" t="s">
        <v>3058</v>
      </c>
      <c r="F18" s="449"/>
      <c r="G18" s="2649" t="s">
        <v>3058</v>
      </c>
      <c r="H18" s="447"/>
      <c r="I18" s="2649" t="s">
        <v>3058</v>
      </c>
      <c r="J18" s="447"/>
      <c r="K18" s="614"/>
      <c r="L18" s="1123"/>
      <c r="M18" s="1114"/>
      <c r="N18" s="1114"/>
      <c r="O18" s="1114"/>
      <c r="P18" s="3749"/>
      <c r="Q18" s="1790"/>
      <c r="R18" s="770"/>
      <c r="S18" s="771"/>
      <c r="T18" s="770"/>
      <c r="U18" s="771"/>
      <c r="V18" s="770"/>
      <c r="W18" s="771"/>
      <c r="X18" s="1793"/>
      <c r="Y18" s="3751"/>
      <c r="Z18" s="1794"/>
      <c r="AA18" s="1791">
        <v>1</v>
      </c>
      <c r="AB18" s="1791">
        <v>1</v>
      </c>
      <c r="AC18" s="2647">
        <v>1</v>
      </c>
    </row>
    <row r="19" spans="1:29" ht="55.2">
      <c r="A19" s="427"/>
      <c r="B19" s="630" t="s">
        <v>2676</v>
      </c>
      <c r="C19" s="2648" t="str">
        <f>估价对象房地状况!C7</f>
        <v>估价对象所在区域公共配套设施齐备情况较好</v>
      </c>
      <c r="D19" s="454">
        <v>100</v>
      </c>
      <c r="E19" s="458" t="s">
        <v>3669</v>
      </c>
      <c r="F19" s="454">
        <f>SUMIF(81:81,E20,82:82)-SUMIF(81:81,C20,82:82)+100</f>
        <v>100</v>
      </c>
      <c r="G19" s="458" t="s">
        <v>3669</v>
      </c>
      <c r="H19" s="449">
        <f>SUMIF(81:81,G20,82:82)-SUMIF(81:81,C20,82:82)+100</f>
        <v>100</v>
      </c>
      <c r="I19" s="458" t="s">
        <v>3669</v>
      </c>
      <c r="J19" s="449">
        <f>SUMIF(81:81,I20,82:82)-SUMIF(81:81,C20,82:82)+100</f>
        <v>100</v>
      </c>
      <c r="K19" s="613">
        <v>2</v>
      </c>
      <c r="L19" s="1123"/>
      <c r="M19" s="1114"/>
      <c r="N19" s="1114"/>
      <c r="O19" s="1114"/>
      <c r="P19" s="3749"/>
      <c r="Q19" s="1790" t="str">
        <f>B19</f>
        <v>公共配套设施</v>
      </c>
      <c r="R19" s="770" t="s">
        <v>17</v>
      </c>
      <c r="S19" s="771">
        <f>F19</f>
        <v>100</v>
      </c>
      <c r="T19" s="770" t="s">
        <v>17</v>
      </c>
      <c r="U19" s="771">
        <f>H19</f>
        <v>100</v>
      </c>
      <c r="V19" s="770" t="s">
        <v>17</v>
      </c>
      <c r="W19" s="771">
        <f>J19</f>
        <v>100</v>
      </c>
      <c r="X19" s="1793"/>
      <c r="Y19" s="3751"/>
      <c r="Z19" s="1794" t="str">
        <f>Q19</f>
        <v>公共配套设施</v>
      </c>
      <c r="AA19" s="1791">
        <f t="shared" si="3"/>
        <v>1</v>
      </c>
      <c r="AB19" s="1791">
        <f t="shared" si="4"/>
        <v>1</v>
      </c>
      <c r="AC19" s="2647">
        <f t="shared" si="5"/>
        <v>1</v>
      </c>
    </row>
    <row r="20" spans="1:29" ht="15">
      <c r="A20" s="427"/>
      <c r="B20" s="631"/>
      <c r="C20" s="2649" t="s">
        <v>3058</v>
      </c>
      <c r="D20" s="447"/>
      <c r="E20" s="2649" t="s">
        <v>3058</v>
      </c>
      <c r="F20" s="447"/>
      <c r="G20" s="2649" t="s">
        <v>3058</v>
      </c>
      <c r="H20" s="447"/>
      <c r="I20" s="2649" t="s">
        <v>3058</v>
      </c>
      <c r="J20" s="447"/>
      <c r="K20" s="614"/>
      <c r="L20" s="1123"/>
      <c r="M20" s="1114"/>
      <c r="N20" s="1114"/>
      <c r="O20" s="1114"/>
      <c r="P20" s="3749"/>
      <c r="Q20" s="1790"/>
      <c r="R20" s="770"/>
      <c r="S20" s="771"/>
      <c r="T20" s="770"/>
      <c r="U20" s="771"/>
      <c r="V20" s="770"/>
      <c r="W20" s="771"/>
      <c r="X20" s="1793"/>
      <c r="Y20" s="3751"/>
      <c r="Z20" s="1794"/>
      <c r="AA20" s="1791">
        <v>1</v>
      </c>
      <c r="AB20" s="1791">
        <v>1</v>
      </c>
      <c r="AC20" s="2647">
        <v>1</v>
      </c>
    </row>
    <row r="21" spans="1:29" ht="41.4">
      <c r="A21" s="427"/>
      <c r="B21" s="632" t="s">
        <v>2677</v>
      </c>
      <c r="C21" s="2648"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749"/>
      <c r="Q21" s="1790" t="str">
        <f>B21</f>
        <v>基础设施水平</v>
      </c>
      <c r="R21" s="770" t="s">
        <v>17</v>
      </c>
      <c r="S21" s="771">
        <f>F21</f>
        <v>100</v>
      </c>
      <c r="T21" s="770" t="s">
        <v>17</v>
      </c>
      <c r="U21" s="771">
        <f>H21</f>
        <v>100</v>
      </c>
      <c r="V21" s="770" t="s">
        <v>17</v>
      </c>
      <c r="W21" s="771">
        <f>J21</f>
        <v>100</v>
      </c>
      <c r="X21" s="1793"/>
      <c r="Y21" s="3751"/>
      <c r="Z21" s="1794" t="str">
        <f>Q21</f>
        <v>基础设施水平</v>
      </c>
      <c r="AA21" s="1791">
        <f t="shared" ref="AA21" si="8">D21/F21</f>
        <v>1</v>
      </c>
      <c r="AB21" s="1791">
        <f t="shared" ref="AB21" si="9">D21/H21</f>
        <v>1</v>
      </c>
      <c r="AC21" s="2647">
        <f t="shared" ref="AC21" si="10">D21/J21</f>
        <v>1</v>
      </c>
    </row>
    <row r="22" spans="1:29" ht="15">
      <c r="A22" s="427"/>
      <c r="B22" s="632"/>
      <c r="C22" s="2649" t="s">
        <v>3097</v>
      </c>
      <c r="D22" s="447"/>
      <c r="E22" s="2649" t="s">
        <v>3097</v>
      </c>
      <c r="F22" s="447"/>
      <c r="G22" s="2649" t="s">
        <v>3097</v>
      </c>
      <c r="H22" s="447"/>
      <c r="I22" s="2649" t="s">
        <v>3097</v>
      </c>
      <c r="J22" s="447"/>
      <c r="K22" s="1365"/>
      <c r="L22" s="1123"/>
      <c r="M22" s="1114"/>
      <c r="N22" s="1114"/>
      <c r="O22" s="1114"/>
      <c r="P22" s="3749"/>
      <c r="Q22" s="1790"/>
      <c r="R22" s="770"/>
      <c r="S22" s="771"/>
      <c r="T22" s="770"/>
      <c r="U22" s="771"/>
      <c r="V22" s="770"/>
      <c r="W22" s="771"/>
      <c r="X22" s="1793"/>
      <c r="Y22" s="3751"/>
      <c r="Z22" s="1794"/>
      <c r="AA22" s="1791">
        <v>1</v>
      </c>
      <c r="AB22" s="1791">
        <v>1</v>
      </c>
      <c r="AC22" s="2647">
        <v>1</v>
      </c>
    </row>
    <row r="23" spans="1:29" ht="82.8">
      <c r="A23" s="427"/>
      <c r="B23" s="630" t="s">
        <v>2678</v>
      </c>
      <c r="C23" s="2648"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749"/>
      <c r="Q23" s="1790" t="str">
        <f>B23</f>
        <v>环境质量</v>
      </c>
      <c r="R23" s="770" t="s">
        <v>17</v>
      </c>
      <c r="S23" s="771">
        <f>F23</f>
        <v>100</v>
      </c>
      <c r="T23" s="770" t="s">
        <v>17</v>
      </c>
      <c r="U23" s="771">
        <f>H23</f>
        <v>100</v>
      </c>
      <c r="V23" s="770" t="s">
        <v>17</v>
      </c>
      <c r="W23" s="771">
        <f>J23</f>
        <v>100</v>
      </c>
      <c r="X23" s="1793"/>
      <c r="Y23" s="3751"/>
      <c r="Z23" s="1794" t="str">
        <f>Q23</f>
        <v>环境质量</v>
      </c>
      <c r="AA23" s="1791">
        <f t="shared" si="3"/>
        <v>1</v>
      </c>
      <c r="AB23" s="1791">
        <f t="shared" si="4"/>
        <v>1</v>
      </c>
      <c r="AC23" s="2647">
        <f t="shared" si="5"/>
        <v>1</v>
      </c>
    </row>
    <row r="24" spans="1:29" ht="15">
      <c r="A24" s="427"/>
      <c r="B24" s="632"/>
      <c r="C24" s="2584" t="s">
        <v>3058</v>
      </c>
      <c r="D24" s="447"/>
      <c r="E24" s="2584" t="s">
        <v>3058</v>
      </c>
      <c r="F24" s="447"/>
      <c r="G24" s="2584" t="s">
        <v>3058</v>
      </c>
      <c r="H24" s="447"/>
      <c r="I24" s="2584" t="s">
        <v>3058</v>
      </c>
      <c r="J24" s="447"/>
      <c r="K24" s="614"/>
      <c r="L24" s="1123"/>
      <c r="M24" s="1114"/>
      <c r="N24" s="1114"/>
      <c r="O24" s="1114"/>
      <c r="P24" s="3749"/>
      <c r="Q24" s="1790"/>
      <c r="R24" s="770"/>
      <c r="S24" s="771"/>
      <c r="T24" s="770"/>
      <c r="U24" s="771"/>
      <c r="V24" s="770"/>
      <c r="W24" s="771"/>
      <c r="X24" s="1793"/>
      <c r="Y24" s="3751"/>
      <c r="Z24" s="1794"/>
      <c r="AA24" s="1791">
        <v>1</v>
      </c>
      <c r="AB24" s="1791">
        <v>1</v>
      </c>
      <c r="AC24" s="2647">
        <v>1</v>
      </c>
    </row>
    <row r="25" spans="1:29" ht="28.8">
      <c r="A25" s="403"/>
      <c r="B25" s="630" t="s">
        <v>2679</v>
      </c>
      <c r="C25" s="2977" t="s">
        <v>3666</v>
      </c>
      <c r="D25" s="434">
        <v>100</v>
      </c>
      <c r="E25" s="3420" t="s">
        <v>3671</v>
      </c>
      <c r="F25" s="3417">
        <f>SUMIF(87:87,E26,88:88)-SUMIF(87:87,C26,88:88)+100</f>
        <v>99</v>
      </c>
      <c r="G25" s="3420" t="s">
        <v>3690</v>
      </c>
      <c r="H25" s="3417">
        <f>SUMIF(87:87,G26,88:88)-SUMIF(87:87,C26,88:88)+100</f>
        <v>99</v>
      </c>
      <c r="I25" s="3420" t="s">
        <v>3692</v>
      </c>
      <c r="J25" s="434">
        <f>SUMIF(87:87,I26,88:88)-SUMIF(87:87,C26,88:88)+100</f>
        <v>100</v>
      </c>
      <c r="K25" s="613">
        <v>1</v>
      </c>
      <c r="L25" s="1123"/>
      <c r="M25" s="1114"/>
      <c r="N25" s="1114"/>
      <c r="O25" s="1114"/>
      <c r="P25" s="3749"/>
      <c r="Q25" s="1790" t="str">
        <f>B25</f>
        <v>毗邻道路的类型与等级</v>
      </c>
      <c r="R25" s="770" t="s">
        <v>17</v>
      </c>
      <c r="S25" s="771">
        <f>F25</f>
        <v>99</v>
      </c>
      <c r="T25" s="770" t="s">
        <v>17</v>
      </c>
      <c r="U25" s="771">
        <f>H25</f>
        <v>99</v>
      </c>
      <c r="V25" s="770" t="s">
        <v>17</v>
      </c>
      <c r="W25" s="771">
        <f>J25</f>
        <v>100</v>
      </c>
      <c r="X25" s="1793"/>
      <c r="Y25" s="3751"/>
      <c r="Z25" s="1794" t="str">
        <f>Q25</f>
        <v>毗邻道路的类型与等级</v>
      </c>
      <c r="AA25" s="1791">
        <f t="shared" si="3"/>
        <v>1.0101010101010102</v>
      </c>
      <c r="AB25" s="1791">
        <f t="shared" si="4"/>
        <v>1.0101010101010102</v>
      </c>
      <c r="AC25" s="2647">
        <f t="shared" si="5"/>
        <v>1</v>
      </c>
    </row>
    <row r="26" spans="1:29" ht="15">
      <c r="A26" s="403"/>
      <c r="B26" s="631"/>
      <c r="C26" s="633" t="s">
        <v>3625</v>
      </c>
      <c r="D26" s="434"/>
      <c r="E26" s="633" t="s">
        <v>3141</v>
      </c>
      <c r="F26" s="434"/>
      <c r="G26" s="633" t="s">
        <v>3141</v>
      </c>
      <c r="H26" s="434"/>
      <c r="I26" s="633" t="s">
        <v>3625</v>
      </c>
      <c r="J26" s="434"/>
      <c r="K26" s="614"/>
      <c r="L26" s="1123"/>
      <c r="M26" s="1114"/>
      <c r="N26" s="1114"/>
      <c r="O26" s="1114"/>
      <c r="P26" s="3749"/>
      <c r="Q26" s="1790"/>
      <c r="R26" s="770"/>
      <c r="S26" s="771"/>
      <c r="T26" s="770"/>
      <c r="U26" s="771"/>
      <c r="V26" s="770"/>
      <c r="W26" s="771"/>
      <c r="X26" s="1793"/>
      <c r="Y26" s="3751"/>
      <c r="Z26" s="1794"/>
      <c r="AA26" s="1791">
        <v>1</v>
      </c>
      <c r="AB26" s="1791">
        <v>1</v>
      </c>
      <c r="AC26" s="2647">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749"/>
      <c r="Q27" s="1790" t="str">
        <f t="shared" ref="Q27:Q47" si="11">B27</f>
        <v>楼层</v>
      </c>
      <c r="R27" s="770" t="s">
        <v>17</v>
      </c>
      <c r="S27" s="771">
        <f>F27</f>
        <v>104</v>
      </c>
      <c r="T27" s="770" t="s">
        <v>17</v>
      </c>
      <c r="U27" s="771">
        <f>H27</f>
        <v>104</v>
      </c>
      <c r="V27" s="770" t="s">
        <v>17</v>
      </c>
      <c r="W27" s="771">
        <f>J27</f>
        <v>104</v>
      </c>
      <c r="X27" s="1793"/>
      <c r="Y27" s="3751"/>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749"/>
      <c r="Q28" s="1775" t="str">
        <f t="shared" si="11"/>
        <v>朝向</v>
      </c>
      <c r="R28" s="766" t="s">
        <v>17</v>
      </c>
      <c r="S28" s="767">
        <f>F28</f>
        <v>100</v>
      </c>
      <c r="T28" s="766" t="s">
        <v>17</v>
      </c>
      <c r="U28" s="767">
        <f>H28</f>
        <v>100</v>
      </c>
      <c r="V28" s="766" t="s">
        <v>17</v>
      </c>
      <c r="W28" s="767">
        <f>J28</f>
        <v>100</v>
      </c>
      <c r="X28" s="768"/>
      <c r="Y28" s="3751"/>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749"/>
      <c r="Q29" s="1790">
        <f t="shared" si="11"/>
        <v>111</v>
      </c>
      <c r="R29" s="770" t="s">
        <v>17</v>
      </c>
      <c r="S29" s="771">
        <f t="shared" ref="S29:S47" si="12">F29</f>
        <v>100</v>
      </c>
      <c r="T29" s="770" t="s">
        <v>17</v>
      </c>
      <c r="U29" s="771">
        <f t="shared" ref="U29:U47" si="13">H29</f>
        <v>100</v>
      </c>
      <c r="V29" s="770" t="s">
        <v>17</v>
      </c>
      <c r="W29" s="771">
        <f t="shared" ref="W29:W47" si="14">J29</f>
        <v>100</v>
      </c>
      <c r="X29" s="1793"/>
      <c r="Y29" s="3751"/>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749"/>
      <c r="Q30" s="1790">
        <f t="shared" si="11"/>
        <v>111</v>
      </c>
      <c r="R30" s="770" t="s">
        <v>17</v>
      </c>
      <c r="S30" s="771">
        <f t="shared" si="12"/>
        <v>100</v>
      </c>
      <c r="T30" s="770" t="s">
        <v>17</v>
      </c>
      <c r="U30" s="771">
        <f t="shared" si="13"/>
        <v>100</v>
      </c>
      <c r="V30" s="770" t="s">
        <v>17</v>
      </c>
      <c r="W30" s="771">
        <f t="shared" si="14"/>
        <v>100</v>
      </c>
      <c r="X30" s="1793"/>
      <c r="Y30" s="3751"/>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749"/>
      <c r="Q31" s="1790">
        <f t="shared" si="11"/>
        <v>111</v>
      </c>
      <c r="R31" s="770" t="s">
        <v>17</v>
      </c>
      <c r="S31" s="771">
        <f t="shared" si="12"/>
        <v>100</v>
      </c>
      <c r="T31" s="770" t="s">
        <v>17</v>
      </c>
      <c r="U31" s="771">
        <f t="shared" si="13"/>
        <v>100</v>
      </c>
      <c r="V31" s="770" t="s">
        <v>17</v>
      </c>
      <c r="W31" s="771">
        <f t="shared" si="14"/>
        <v>100</v>
      </c>
      <c r="X31" s="1793"/>
      <c r="Y31" s="3751"/>
      <c r="Z31" s="1794">
        <f t="shared" si="15"/>
        <v>111</v>
      </c>
      <c r="AA31" s="1791">
        <f t="shared" si="3"/>
        <v>1</v>
      </c>
      <c r="AB31" s="1791">
        <f t="shared" si="4"/>
        <v>1</v>
      </c>
      <c r="AC31" s="2647">
        <f t="shared" si="5"/>
        <v>1</v>
      </c>
    </row>
    <row r="32" spans="1:29" ht="15.6"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749"/>
      <c r="Q32" s="1790">
        <f t="shared" si="11"/>
        <v>111</v>
      </c>
      <c r="R32" s="770" t="s">
        <v>17</v>
      </c>
      <c r="S32" s="771">
        <f t="shared" si="12"/>
        <v>100</v>
      </c>
      <c r="T32" s="770" t="s">
        <v>17</v>
      </c>
      <c r="U32" s="771">
        <f t="shared" si="13"/>
        <v>100</v>
      </c>
      <c r="V32" s="770" t="s">
        <v>17</v>
      </c>
      <c r="W32" s="771">
        <f t="shared" si="14"/>
        <v>100</v>
      </c>
      <c r="X32" s="1793"/>
      <c r="Y32" s="3751"/>
      <c r="Z32" s="1794">
        <f t="shared" si="15"/>
        <v>111</v>
      </c>
      <c r="AA32" s="1791">
        <f t="shared" si="3"/>
        <v>1</v>
      </c>
      <c r="AB32" s="1791">
        <f t="shared" si="4"/>
        <v>1</v>
      </c>
      <c r="AC32" s="2647">
        <f t="shared" si="5"/>
        <v>1</v>
      </c>
    </row>
    <row r="33" spans="1:29" ht="15">
      <c r="A33" s="439" t="s">
        <v>2551</v>
      </c>
      <c r="B33" s="71" t="s">
        <v>2681</v>
      </c>
      <c r="C33" s="2652" t="s">
        <v>3143</v>
      </c>
      <c r="D33" s="466">
        <v>100</v>
      </c>
      <c r="E33" s="2652" t="s">
        <v>3143</v>
      </c>
      <c r="F33" s="460">
        <f>SUMIF(101:101,E33,102:102)-SUMIF(101:101,C33,102:102)+100</f>
        <v>100</v>
      </c>
      <c r="G33" s="2652" t="s">
        <v>3143</v>
      </c>
      <c r="H33" s="434">
        <f>SUMIF(101:101,G33,102:102)-SUMIF(101:101,C33,102:102)+100</f>
        <v>100</v>
      </c>
      <c r="I33" s="2652" t="s">
        <v>3143</v>
      </c>
      <c r="J33" s="466">
        <f>SUMIF(101:101,I33,102:102)-SUMIF(101:101,C33,102:102)+100</f>
        <v>100</v>
      </c>
      <c r="K33" s="611"/>
      <c r="L33" s="1123"/>
      <c r="M33" s="1114"/>
      <c r="N33" s="1114"/>
      <c r="O33" s="1114"/>
      <c r="P33" s="3752" t="s">
        <v>2553</v>
      </c>
      <c r="Q33" s="1790" t="str">
        <f t="shared" si="11"/>
        <v>建筑类型</v>
      </c>
      <c r="R33" s="770" t="s">
        <v>17</v>
      </c>
      <c r="S33" s="771">
        <f t="shared" si="12"/>
        <v>100</v>
      </c>
      <c r="T33" s="770" t="s">
        <v>17</v>
      </c>
      <c r="U33" s="771">
        <f t="shared" si="13"/>
        <v>100</v>
      </c>
      <c r="V33" s="770" t="s">
        <v>17</v>
      </c>
      <c r="W33" s="771">
        <f t="shared" si="14"/>
        <v>100</v>
      </c>
      <c r="X33" s="1793"/>
      <c r="Y33" s="3755"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753"/>
      <c r="Q34" s="772" t="str">
        <f t="shared" si="11"/>
        <v>项目建筑规模</v>
      </c>
      <c r="R34" s="773" t="s">
        <v>17</v>
      </c>
      <c r="S34" s="774">
        <f t="shared" si="12"/>
        <v>100</v>
      </c>
      <c r="T34" s="773" t="s">
        <v>17</v>
      </c>
      <c r="U34" s="774">
        <f t="shared" si="13"/>
        <v>98</v>
      </c>
      <c r="V34" s="773" t="s">
        <v>17</v>
      </c>
      <c r="W34" s="774">
        <f t="shared" si="14"/>
        <v>100</v>
      </c>
      <c r="X34" s="775"/>
      <c r="Y34" s="3755"/>
      <c r="Z34" s="776" t="str">
        <f t="shared" si="15"/>
        <v>项目建筑规模</v>
      </c>
      <c r="AA34" s="1791">
        <f t="shared" si="3"/>
        <v>1</v>
      </c>
      <c r="AB34" s="1791">
        <f t="shared" si="4"/>
        <v>1.0204081632653061</v>
      </c>
      <c r="AC34" s="2647">
        <f t="shared" si="5"/>
        <v>1</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753"/>
      <c r="Q35" s="1790" t="str">
        <f t="shared" si="11"/>
        <v>建筑结构</v>
      </c>
      <c r="R35" s="770" t="s">
        <v>17</v>
      </c>
      <c r="S35" s="771">
        <f t="shared" si="12"/>
        <v>100</v>
      </c>
      <c r="T35" s="770" t="s">
        <v>17</v>
      </c>
      <c r="U35" s="771">
        <f t="shared" si="13"/>
        <v>100</v>
      </c>
      <c r="V35" s="770" t="s">
        <v>17</v>
      </c>
      <c r="W35" s="771">
        <f t="shared" si="14"/>
        <v>100</v>
      </c>
      <c r="X35" s="1793"/>
      <c r="Y35" s="3755"/>
      <c r="Z35" s="1794" t="str">
        <f t="shared" si="15"/>
        <v>建筑结构</v>
      </c>
      <c r="AA35" s="1791">
        <f t="shared" si="3"/>
        <v>1</v>
      </c>
      <c r="AB35" s="1791">
        <f t="shared" si="4"/>
        <v>1</v>
      </c>
      <c r="AC35" s="2647">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753"/>
      <c r="Q36" s="1790" t="str">
        <f t="shared" si="11"/>
        <v>公共部分装修</v>
      </c>
      <c r="R36" s="770" t="s">
        <v>17</v>
      </c>
      <c r="S36" s="771">
        <f t="shared" si="12"/>
        <v>100</v>
      </c>
      <c r="T36" s="770" t="s">
        <v>17</v>
      </c>
      <c r="U36" s="771">
        <f t="shared" si="13"/>
        <v>100</v>
      </c>
      <c r="V36" s="770" t="s">
        <v>17</v>
      </c>
      <c r="W36" s="771">
        <f t="shared" si="14"/>
        <v>100</v>
      </c>
      <c r="X36" s="1793"/>
      <c r="Y36" s="3755"/>
      <c r="Z36" s="1794" t="str">
        <f t="shared" si="15"/>
        <v>公共部分装修</v>
      </c>
      <c r="AA36" s="1791">
        <f t="shared" si="3"/>
        <v>1</v>
      </c>
      <c r="AB36" s="1791">
        <f t="shared" si="4"/>
        <v>1</v>
      </c>
      <c r="AC36" s="2647">
        <f t="shared" si="5"/>
        <v>1</v>
      </c>
    </row>
    <row r="37" spans="1:29" ht="15">
      <c r="A37" s="471"/>
      <c r="B37" s="421" t="s">
        <v>2650</v>
      </c>
      <c r="C37" s="473">
        <v>0.8</v>
      </c>
      <c r="D37" s="434">
        <v>100</v>
      </c>
      <c r="E37" s="3418">
        <v>0.8</v>
      </c>
      <c r="F37" s="3419">
        <f>LOOKUP(E37,111:111,112:112)-LOOKUP(C37,111:111,112:112)+100</f>
        <v>100</v>
      </c>
      <c r="G37" s="3418">
        <v>0.8</v>
      </c>
      <c r="H37" s="3419">
        <f>LOOKUP(G37,111:111,112:112)-LOOKUP(C37,111:111,112:112)+100</f>
        <v>100</v>
      </c>
      <c r="I37" s="3418">
        <v>0.8</v>
      </c>
      <c r="J37" s="3417">
        <f>LOOKUP(I37,111:111,112:112)-LOOKUP(C37,111:111,112:112)+100</f>
        <v>100</v>
      </c>
      <c r="K37" s="611"/>
      <c r="L37" s="1123"/>
      <c r="M37" s="1114"/>
      <c r="N37" s="1114"/>
      <c r="O37" s="1114"/>
      <c r="P37" s="3753"/>
      <c r="Q37" s="1790" t="str">
        <f t="shared" si="11"/>
        <v>成新度</v>
      </c>
      <c r="R37" s="770" t="s">
        <v>17</v>
      </c>
      <c r="S37" s="771">
        <f t="shared" si="12"/>
        <v>100</v>
      </c>
      <c r="T37" s="770" t="s">
        <v>17</v>
      </c>
      <c r="U37" s="771">
        <f t="shared" si="13"/>
        <v>100</v>
      </c>
      <c r="V37" s="770" t="s">
        <v>17</v>
      </c>
      <c r="W37" s="771">
        <f t="shared" si="14"/>
        <v>100</v>
      </c>
      <c r="X37" s="1793"/>
      <c r="Y37" s="3755"/>
      <c r="Z37" s="1794" t="str">
        <f t="shared" si="15"/>
        <v>成新度</v>
      </c>
      <c r="AA37" s="1791">
        <f t="shared" si="3"/>
        <v>1</v>
      </c>
      <c r="AB37" s="1791">
        <f t="shared" si="4"/>
        <v>1</v>
      </c>
      <c r="AC37" s="2647">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753"/>
      <c r="Q38" s="1775" t="str">
        <f t="shared" si="11"/>
        <v>写字楼等级</v>
      </c>
      <c r="R38" s="766" t="s">
        <v>17</v>
      </c>
      <c r="S38" s="767">
        <f t="shared" si="12"/>
        <v>100</v>
      </c>
      <c r="T38" s="766" t="s">
        <v>17</v>
      </c>
      <c r="U38" s="767">
        <f t="shared" si="13"/>
        <v>100</v>
      </c>
      <c r="V38" s="766" t="s">
        <v>17</v>
      </c>
      <c r="W38" s="767">
        <f t="shared" si="14"/>
        <v>100</v>
      </c>
      <c r="X38" s="768"/>
      <c r="Y38" s="3755"/>
      <c r="Z38" s="55" t="str">
        <f t="shared" si="15"/>
        <v>写字楼等级</v>
      </c>
      <c r="AA38" s="769">
        <f t="shared" si="3"/>
        <v>1</v>
      </c>
      <c r="AB38" s="769">
        <f t="shared" si="4"/>
        <v>1</v>
      </c>
      <c r="AC38" s="2644">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753" t="s">
        <v>2553</v>
      </c>
      <c r="Q39" s="1790" t="str">
        <f t="shared" si="11"/>
        <v>物业管理</v>
      </c>
      <c r="R39" s="770" t="s">
        <v>17</v>
      </c>
      <c r="S39" s="771">
        <f t="shared" si="12"/>
        <v>100</v>
      </c>
      <c r="T39" s="770" t="s">
        <v>17</v>
      </c>
      <c r="U39" s="771">
        <f t="shared" si="13"/>
        <v>100</v>
      </c>
      <c r="V39" s="770" t="s">
        <v>17</v>
      </c>
      <c r="W39" s="771">
        <f t="shared" si="14"/>
        <v>100</v>
      </c>
      <c r="X39" s="1793"/>
      <c r="Y39" s="3755" t="s">
        <v>2553</v>
      </c>
      <c r="Z39" s="1794" t="str">
        <f t="shared" si="15"/>
        <v>物业管理</v>
      </c>
      <c r="AA39" s="1791">
        <f t="shared" si="3"/>
        <v>1</v>
      </c>
      <c r="AB39" s="1791">
        <f t="shared" si="4"/>
        <v>1</v>
      </c>
      <c r="AC39" s="2647">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753"/>
      <c r="Q40" s="1790" t="str">
        <f t="shared" si="11"/>
        <v>市政基础设施</v>
      </c>
      <c r="R40" s="770" t="s">
        <v>17</v>
      </c>
      <c r="S40" s="771">
        <f t="shared" si="12"/>
        <v>100</v>
      </c>
      <c r="T40" s="770" t="s">
        <v>17</v>
      </c>
      <c r="U40" s="771">
        <f t="shared" si="13"/>
        <v>100</v>
      </c>
      <c r="V40" s="770" t="s">
        <v>17</v>
      </c>
      <c r="W40" s="771">
        <f t="shared" si="14"/>
        <v>100</v>
      </c>
      <c r="X40" s="1793"/>
      <c r="Y40" s="3755"/>
      <c r="Z40" s="1794" t="str">
        <f t="shared" si="15"/>
        <v>市政基础设施</v>
      </c>
      <c r="AA40" s="1791">
        <f t="shared" si="3"/>
        <v>1</v>
      </c>
      <c r="AB40" s="1791">
        <f t="shared" si="4"/>
        <v>1</v>
      </c>
      <c r="AC40" s="2647">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753"/>
      <c r="Q41" s="1790" t="str">
        <f t="shared" si="11"/>
        <v>层高</v>
      </c>
      <c r="R41" s="770" t="s">
        <v>17</v>
      </c>
      <c r="S41" s="771">
        <f t="shared" si="12"/>
        <v>100</v>
      </c>
      <c r="T41" s="770" t="s">
        <v>17</v>
      </c>
      <c r="U41" s="771">
        <f t="shared" si="13"/>
        <v>100</v>
      </c>
      <c r="V41" s="770" t="s">
        <v>17</v>
      </c>
      <c r="W41" s="771">
        <f t="shared" si="14"/>
        <v>100</v>
      </c>
      <c r="X41" s="1793"/>
      <c r="Y41" s="3755"/>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753"/>
      <c r="Q42" s="772" t="str">
        <f t="shared" si="11"/>
        <v>单套建筑面积</v>
      </c>
      <c r="R42" s="773" t="s">
        <v>17</v>
      </c>
      <c r="S42" s="774">
        <f t="shared" si="12"/>
        <v>100</v>
      </c>
      <c r="T42" s="773" t="s">
        <v>17</v>
      </c>
      <c r="U42" s="774">
        <f t="shared" si="13"/>
        <v>100</v>
      </c>
      <c r="V42" s="773" t="s">
        <v>17</v>
      </c>
      <c r="W42" s="774">
        <f t="shared" si="14"/>
        <v>100</v>
      </c>
      <c r="X42" s="775"/>
      <c r="Y42" s="3755"/>
      <c r="Z42" s="776" t="str">
        <f t="shared" si="15"/>
        <v>单套建筑面积</v>
      </c>
      <c r="AA42" s="1791">
        <f t="shared" si="3"/>
        <v>1</v>
      </c>
      <c r="AB42" s="1791">
        <f t="shared" si="4"/>
        <v>1</v>
      </c>
      <c r="AC42" s="2647">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753"/>
      <c r="Q43" s="1790" t="str">
        <f t="shared" si="11"/>
        <v>内部装修</v>
      </c>
      <c r="R43" s="770" t="s">
        <v>17</v>
      </c>
      <c r="S43" s="771">
        <f t="shared" si="12"/>
        <v>100</v>
      </c>
      <c r="T43" s="770" t="s">
        <v>17</v>
      </c>
      <c r="U43" s="771">
        <f t="shared" si="13"/>
        <v>100</v>
      </c>
      <c r="V43" s="770" t="s">
        <v>17</v>
      </c>
      <c r="W43" s="771">
        <f t="shared" si="14"/>
        <v>100</v>
      </c>
      <c r="X43" s="1793"/>
      <c r="Y43" s="3755"/>
      <c r="Z43" s="1794" t="str">
        <f t="shared" si="15"/>
        <v>内部装修</v>
      </c>
      <c r="AA43" s="1791">
        <f t="shared" si="3"/>
        <v>1</v>
      </c>
      <c r="AB43" s="1791">
        <f t="shared" si="4"/>
        <v>1</v>
      </c>
      <c r="AC43" s="2647">
        <f t="shared" si="5"/>
        <v>1</v>
      </c>
    </row>
    <row r="44" spans="1:29" ht="28.8">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753"/>
      <c r="Q44" s="1790" t="str">
        <f t="shared" si="11"/>
        <v>内部装修维护情况</v>
      </c>
      <c r="R44" s="770" t="s">
        <v>17</v>
      </c>
      <c r="S44" s="771">
        <f t="shared" si="12"/>
        <v>100</v>
      </c>
      <c r="T44" s="770" t="s">
        <v>17</v>
      </c>
      <c r="U44" s="771">
        <f t="shared" si="13"/>
        <v>100</v>
      </c>
      <c r="V44" s="770" t="s">
        <v>17</v>
      </c>
      <c r="W44" s="771">
        <f t="shared" si="14"/>
        <v>100</v>
      </c>
      <c r="X44" s="1793"/>
      <c r="Y44" s="3755"/>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753"/>
      <c r="Q45" s="1775">
        <f t="shared" si="11"/>
        <v>111</v>
      </c>
      <c r="R45" s="766" t="s">
        <v>17</v>
      </c>
      <c r="S45" s="767">
        <f t="shared" si="12"/>
        <v>100</v>
      </c>
      <c r="T45" s="766" t="s">
        <v>17</v>
      </c>
      <c r="U45" s="767">
        <f t="shared" si="13"/>
        <v>100</v>
      </c>
      <c r="V45" s="766" t="s">
        <v>17</v>
      </c>
      <c r="W45" s="767">
        <f t="shared" si="14"/>
        <v>100</v>
      </c>
      <c r="X45" s="768"/>
      <c r="Y45" s="3755"/>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753"/>
      <c r="Q46" s="1790">
        <f t="shared" si="11"/>
        <v>111</v>
      </c>
      <c r="R46" s="770" t="s">
        <v>17</v>
      </c>
      <c r="S46" s="771">
        <f t="shared" si="12"/>
        <v>100</v>
      </c>
      <c r="T46" s="770" t="s">
        <v>17</v>
      </c>
      <c r="U46" s="771">
        <f t="shared" si="13"/>
        <v>100</v>
      </c>
      <c r="V46" s="770" t="s">
        <v>17</v>
      </c>
      <c r="W46" s="771">
        <f t="shared" si="14"/>
        <v>100</v>
      </c>
      <c r="X46" s="1793"/>
      <c r="Y46" s="3755"/>
      <c r="Z46" s="1794">
        <f t="shared" si="15"/>
        <v>111</v>
      </c>
      <c r="AA46" s="1791">
        <f t="shared" si="3"/>
        <v>1</v>
      </c>
      <c r="AB46" s="1791">
        <f t="shared" si="4"/>
        <v>1</v>
      </c>
      <c r="AC46" s="2647">
        <f t="shared" si="5"/>
        <v>1</v>
      </c>
    </row>
    <row r="47" spans="1:29" ht="15.6"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754"/>
      <c r="Q47" s="1790">
        <f t="shared" si="11"/>
        <v>0.995</v>
      </c>
      <c r="R47" s="770" t="s">
        <v>17</v>
      </c>
      <c r="S47" s="771">
        <f t="shared" si="12"/>
        <v>100</v>
      </c>
      <c r="T47" s="770" t="s">
        <v>17</v>
      </c>
      <c r="U47" s="771">
        <f t="shared" si="13"/>
        <v>100</v>
      </c>
      <c r="V47" s="770" t="s">
        <v>17</v>
      </c>
      <c r="W47" s="771">
        <f t="shared" si="14"/>
        <v>100</v>
      </c>
      <c r="X47" s="1793"/>
      <c r="Y47" s="3756"/>
      <c r="Z47" s="1794">
        <f t="shared" si="15"/>
        <v>0.995</v>
      </c>
      <c r="AA47" s="1791">
        <f t="shared" si="3"/>
        <v>1</v>
      </c>
      <c r="AB47" s="1791">
        <f t="shared" si="4"/>
        <v>1</v>
      </c>
      <c r="AC47" s="2647">
        <f t="shared" si="5"/>
        <v>1</v>
      </c>
    </row>
    <row r="48" spans="1:29" ht="14.4">
      <c r="A48" s="478" t="s">
        <v>2565</v>
      </c>
      <c r="B48" s="479"/>
      <c r="C48" s="1388" t="s">
        <v>1</v>
      </c>
      <c r="D48" s="1389"/>
      <c r="E48" s="1390">
        <v>40000</v>
      </c>
      <c r="F48" s="1391"/>
      <c r="G48" s="1390">
        <v>40000</v>
      </c>
      <c r="H48" s="1393"/>
      <c r="I48" s="1390">
        <v>40000</v>
      </c>
      <c r="J48" s="484"/>
      <c r="K48" s="779"/>
      <c r="L48" s="1126"/>
      <c r="M48" s="1114"/>
      <c r="N48" s="1114"/>
      <c r="O48" s="1114"/>
      <c r="P48" s="3734" t="str">
        <f>A48</f>
        <v>成交单价（元/平方米）</v>
      </c>
      <c r="Q48" s="3757"/>
      <c r="R48" s="3758">
        <f>E48</f>
        <v>40000</v>
      </c>
      <c r="S48" s="3758"/>
      <c r="T48" s="3758">
        <f>G48</f>
        <v>40000</v>
      </c>
      <c r="U48" s="3758"/>
      <c r="V48" s="3758">
        <f>I48</f>
        <v>40000</v>
      </c>
      <c r="W48" s="3758"/>
      <c r="X48" s="445"/>
      <c r="Y48" s="777"/>
      <c r="Z48" s="445"/>
      <c r="AA48" s="445"/>
      <c r="AB48" s="445"/>
      <c r="AC48" s="629"/>
    </row>
    <row r="49" spans="1:29" ht="15" thickBot="1">
      <c r="A49" s="485" t="s">
        <v>2657</v>
      </c>
      <c r="B49" s="486"/>
      <c r="C49" s="1394">
        <f>R50</f>
        <v>39114</v>
      </c>
      <c r="D49" s="1395"/>
      <c r="E49" s="1396">
        <f>R49</f>
        <v>38850</v>
      </c>
      <c r="F49" s="1396"/>
      <c r="G49" s="1394">
        <f>T49</f>
        <v>39643</v>
      </c>
      <c r="H49" s="1395"/>
      <c r="I49" s="1396">
        <f>V49</f>
        <v>38850</v>
      </c>
      <c r="J49" s="488"/>
      <c r="K49" s="780"/>
      <c r="L49" s="1126"/>
      <c r="M49" s="1114"/>
      <c r="N49" s="1114"/>
      <c r="O49" s="1114"/>
      <c r="P49" s="3734" t="str">
        <f>A49</f>
        <v>比较价值（元/平方米）</v>
      </c>
      <c r="Q49" s="3757"/>
      <c r="R49" s="3758">
        <f>IF(F1="售价",ROUND(PRODUCT(R48,AA7:AA47),0),ROUND(PRODUCT(R48,AA7:AA47),1))</f>
        <v>38850</v>
      </c>
      <c r="S49" s="3758"/>
      <c r="T49" s="3758">
        <f>IF(F1="售价",ROUND(PRODUCT(T48,AB7:AB47),0),ROUND(PRODUCT(T48,AB7:AB47),1))</f>
        <v>39643</v>
      </c>
      <c r="U49" s="3758"/>
      <c r="V49" s="3758">
        <f>IF(F1="售价",ROUND(PRODUCT(V48,AC7:AC47),0),ROUND(PRODUCT(V48,AC7:AC47),1))</f>
        <v>38850</v>
      </c>
      <c r="W49" s="3758"/>
      <c r="X49" s="445"/>
      <c r="Y49" s="445"/>
      <c r="Z49" s="445"/>
      <c r="AA49" s="445"/>
      <c r="AB49" s="445"/>
      <c r="AC49" s="629"/>
    </row>
    <row r="50" spans="1:29" ht="15" thickBot="1">
      <c r="A50" s="491" t="s">
        <v>2658</v>
      </c>
      <c r="B50" s="492"/>
      <c r="C50" s="1398">
        <f>R50</f>
        <v>39114</v>
      </c>
      <c r="D50" s="1398"/>
      <c r="E50" s="1398"/>
      <c r="F50" s="1398"/>
      <c r="G50" s="1398"/>
      <c r="H50" s="1398"/>
      <c r="I50" s="1398"/>
      <c r="J50" s="493"/>
      <c r="K50" s="781"/>
      <c r="L50" s="1126"/>
      <c r="M50" s="1114"/>
      <c r="N50" s="1114"/>
      <c r="O50" s="1114"/>
      <c r="P50" s="3786" t="str">
        <f>A50</f>
        <v>估价对象XX用房的比较价值（楼面单价，元/平方米）</v>
      </c>
      <c r="Q50" s="3787"/>
      <c r="R50" s="3788">
        <f>IF(F1="售价",ROUND(AVERAGE(R49:V49),0),ROUND(AVERAGE(R49:V49),1))</f>
        <v>39114</v>
      </c>
      <c r="S50" s="3788"/>
      <c r="T50" s="3788"/>
      <c r="U50" s="3788"/>
      <c r="V50" s="3788"/>
      <c r="W50" s="3788"/>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2.9601029601029616E-2</v>
      </c>
      <c r="F53" s="499" t="str">
        <f>IF(OR(E53&gt;=0.3,E53&lt;=-0.3),"超过30%","")</f>
        <v/>
      </c>
      <c r="G53" s="498">
        <f>IF(G48&lt;G49,G49/G48-1,G48/G49-1)</f>
        <v>9.005372953611035E-3</v>
      </c>
      <c r="H53" s="499" t="str">
        <f>IF(OR(G53&gt;=0.3,G53&lt;=-0.3),"超过30%","")</f>
        <v/>
      </c>
      <c r="I53" s="498">
        <f>IF(I48&lt;I49,I49/I48-1,I48/I49-1)</f>
        <v>2.9601029601029616E-2</v>
      </c>
      <c r="J53" s="499" t="str">
        <f>IF(OR(I53&gt;=0.3,I53&lt;=-0.3),"超过30%","")</f>
        <v/>
      </c>
      <c r="K53" s="1095"/>
      <c r="L53" s="1096"/>
      <c r="M53" s="1127"/>
      <c r="N53" s="1127"/>
      <c r="O53" s="1127"/>
    </row>
    <row r="54" spans="1:29" ht="13.5" customHeight="1">
      <c r="A54" s="1127"/>
      <c r="B54" s="1127"/>
      <c r="C54" s="496" t="s">
        <v>2660</v>
      </c>
      <c r="D54" s="500"/>
      <c r="E54" s="498">
        <f>IF(E49&lt;G49,G49/E49-1,E49/G49-1)</f>
        <v>2.0411840411840521E-2</v>
      </c>
      <c r="F54" s="499" t="str">
        <f>IF(OR(E54&gt;=0.2,E54&lt;=-0.2),"超过20%","")</f>
        <v/>
      </c>
      <c r="G54" s="498">
        <f>IF(G49&lt;I49,I49/G49-1,G49/I49-1)</f>
        <v>2.0411840411840521E-2</v>
      </c>
      <c r="H54" s="499" t="str">
        <f>IF(OR(G54&gt;=0.2,G54&lt;=-0.2),"超过20%","")</f>
        <v/>
      </c>
      <c r="I54" s="498">
        <f>IF(I49&lt;E49,E49/I49-1,I49/E49-1)</f>
        <v>0</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2.2" thickBot="1">
      <c r="A58" s="759" t="s">
        <v>2662</v>
      </c>
      <c r="B58" s="755"/>
      <c r="C58" s="760"/>
      <c r="D58" s="760"/>
      <c r="E58" s="760"/>
      <c r="F58" s="761"/>
      <c r="G58" s="761"/>
      <c r="H58" s="760"/>
      <c r="I58" s="760"/>
      <c r="J58" s="760"/>
      <c r="K58" s="762"/>
      <c r="L58" s="1144"/>
      <c r="M58" s="1142"/>
      <c r="N58" s="1142"/>
      <c r="O58" s="1142"/>
      <c r="P58" s="2654"/>
      <c r="Q58" s="503"/>
    </row>
    <row r="59" spans="1:29" s="507" customFormat="1" ht="14.4">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c r="A60" s="508"/>
      <c r="B60" s="509"/>
      <c r="C60" s="1553">
        <v>100</v>
      </c>
      <c r="D60" s="511">
        <v>100</v>
      </c>
      <c r="E60" s="511">
        <v>99</v>
      </c>
      <c r="F60" s="511">
        <v>99</v>
      </c>
      <c r="G60" s="511">
        <v>99</v>
      </c>
      <c r="H60" s="511"/>
      <c r="I60" s="511"/>
      <c r="J60" s="511"/>
      <c r="K60" s="511"/>
      <c r="L60" s="511"/>
      <c r="M60" s="512"/>
      <c r="N60" s="511"/>
      <c r="O60" s="512"/>
      <c r="P60" s="2655"/>
    </row>
    <row r="61" spans="1:29" s="117" customFormat="1" ht="15" thickBot="1">
      <c r="A61" s="514" t="s">
        <v>2573</v>
      </c>
      <c r="B61" s="515"/>
      <c r="C61" s="516"/>
      <c r="D61" s="517"/>
      <c r="E61" s="517"/>
      <c r="F61" s="517"/>
      <c r="G61" s="517"/>
      <c r="H61" s="517"/>
      <c r="I61" s="517"/>
      <c r="J61" s="517"/>
      <c r="K61" s="517"/>
      <c r="L61" s="517"/>
      <c r="M61" s="518"/>
      <c r="N61" s="517"/>
      <c r="O61" s="518"/>
      <c r="P61" s="2655"/>
      <c r="Q61" s="503"/>
    </row>
    <row r="62" spans="1:29" s="117" customFormat="1" ht="14.4">
      <c r="A62" s="520" t="s">
        <v>2538</v>
      </c>
      <c r="B62" s="509"/>
      <c r="C62" s="521" t="s">
        <v>2640</v>
      </c>
      <c r="D62" s="522"/>
      <c r="E62" s="522"/>
      <c r="F62" s="522"/>
      <c r="G62" s="522"/>
      <c r="H62" s="522"/>
      <c r="I62" s="522"/>
      <c r="J62" s="522"/>
      <c r="K62" s="522"/>
      <c r="L62" s="523"/>
      <c r="M62" s="524"/>
      <c r="N62" s="1134"/>
      <c r="O62" s="1134"/>
      <c r="P62" s="2656"/>
      <c r="Q62" s="503"/>
    </row>
    <row r="63" spans="1:29" s="117" customFormat="1" ht="14.4" thickBot="1">
      <c r="A63" s="520"/>
      <c r="B63" s="509"/>
      <c r="C63" s="510">
        <v>100</v>
      </c>
      <c r="D63" s="511"/>
      <c r="E63" s="511"/>
      <c r="F63" s="511"/>
      <c r="G63" s="511"/>
      <c r="H63" s="511"/>
      <c r="I63" s="511"/>
      <c r="J63" s="511"/>
      <c r="K63" s="511"/>
      <c r="L63" s="511"/>
      <c r="M63" s="513"/>
      <c r="N63" s="1134"/>
      <c r="O63" s="1134"/>
      <c r="P63" s="2655"/>
      <c r="Q63" s="503"/>
    </row>
    <row r="64" spans="1:29" ht="14.4">
      <c r="A64" s="526" t="s">
        <v>2576</v>
      </c>
      <c r="B64" s="527" t="s">
        <v>2542</v>
      </c>
      <c r="C64" s="528" t="str">
        <f>C9</f>
        <v>办公</v>
      </c>
      <c r="D64" s="529"/>
      <c r="E64" s="529"/>
      <c r="F64" s="529"/>
      <c r="G64" s="529"/>
      <c r="H64" s="529"/>
      <c r="I64" s="529"/>
      <c r="J64" s="529"/>
      <c r="K64" s="530"/>
      <c r="L64" s="531"/>
      <c r="M64" s="532"/>
      <c r="N64" s="1135"/>
      <c r="O64" s="1135"/>
      <c r="P64" s="2657"/>
      <c r="Q64" s="503"/>
    </row>
    <row r="65" spans="1:17" ht="14.4" thickBot="1">
      <c r="A65" s="533"/>
      <c r="B65" s="534"/>
      <c r="C65" s="535">
        <v>100</v>
      </c>
      <c r="D65" s="535"/>
      <c r="E65" s="535"/>
      <c r="F65" s="535"/>
      <c r="G65" s="535"/>
      <c r="H65" s="535"/>
      <c r="I65" s="535"/>
      <c r="J65" s="535"/>
      <c r="K65" s="535"/>
      <c r="L65" s="535"/>
      <c r="M65" s="536"/>
      <c r="N65" s="1136"/>
      <c r="O65" s="1136"/>
      <c r="P65" s="2657"/>
      <c r="Q65" s="503"/>
    </row>
    <row r="66" spans="1:17" ht="29.4"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4.4"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c r="A69" s="533"/>
      <c r="B69" s="547"/>
      <c r="C69" s="548">
        <v>0</v>
      </c>
      <c r="D69" s="548">
        <v>2</v>
      </c>
      <c r="E69" s="548">
        <v>4</v>
      </c>
      <c r="F69" s="548">
        <v>6</v>
      </c>
      <c r="G69" s="548">
        <v>8</v>
      </c>
      <c r="H69" s="548">
        <v>10</v>
      </c>
      <c r="I69" s="548">
        <v>12</v>
      </c>
      <c r="J69" s="548"/>
      <c r="K69" s="549"/>
      <c r="L69" s="550"/>
      <c r="M69" s="551"/>
      <c r="N69" s="1135"/>
      <c r="O69" s="1135"/>
      <c r="P69" s="2657"/>
      <c r="Q69" s="503"/>
    </row>
    <row r="70" spans="1:17" ht="14.4"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4.4" thickTop="1">
      <c r="A71" s="552"/>
      <c r="B71" s="537">
        <f>B12</f>
        <v>111</v>
      </c>
      <c r="C71" s="553"/>
      <c r="D71" s="553"/>
      <c r="E71" s="553"/>
      <c r="F71" s="553"/>
      <c r="G71" s="553"/>
      <c r="H71" s="554"/>
      <c r="I71" s="554"/>
      <c r="J71" s="554"/>
      <c r="K71" s="554"/>
      <c r="L71" s="555"/>
      <c r="M71" s="556"/>
      <c r="N71" s="1137"/>
      <c r="O71" s="1137"/>
      <c r="P71" s="2658"/>
      <c r="Q71" s="558"/>
    </row>
    <row r="72" spans="1:17" s="470" customFormat="1" ht="14.4" thickBot="1">
      <c r="A72" s="552"/>
      <c r="B72" s="542"/>
      <c r="C72" s="559"/>
      <c r="D72" s="535"/>
      <c r="E72" s="535"/>
      <c r="F72" s="535"/>
      <c r="G72" s="535"/>
      <c r="H72" s="535"/>
      <c r="I72" s="535"/>
      <c r="J72" s="535"/>
      <c r="K72" s="535"/>
      <c r="L72" s="535"/>
      <c r="M72" s="536"/>
      <c r="N72" s="1136"/>
      <c r="O72" s="1136"/>
      <c r="P72" s="2658"/>
      <c r="Q72" s="558"/>
    </row>
    <row r="73" spans="1:17" s="470" customFormat="1" ht="14.4" thickTop="1">
      <c r="A73" s="552"/>
      <c r="B73" s="537">
        <f>B13</f>
        <v>111</v>
      </c>
      <c r="C73" s="553"/>
      <c r="D73" s="553"/>
      <c r="E73" s="553"/>
      <c r="F73" s="553"/>
      <c r="G73" s="553"/>
      <c r="H73" s="554"/>
      <c r="I73" s="554"/>
      <c r="J73" s="554"/>
      <c r="K73" s="554"/>
      <c r="L73" s="555"/>
      <c r="M73" s="556"/>
      <c r="N73" s="1137"/>
      <c r="O73" s="1137"/>
      <c r="P73" s="2659"/>
      <c r="Q73" s="560"/>
    </row>
    <row r="74" spans="1:17" s="470" customFormat="1" ht="14.4" thickBot="1">
      <c r="A74" s="552"/>
      <c r="B74" s="542"/>
      <c r="C74" s="559"/>
      <c r="D74" s="559"/>
      <c r="E74" s="559"/>
      <c r="F74" s="559"/>
      <c r="G74" s="559"/>
      <c r="H74" s="561"/>
      <c r="I74" s="561"/>
      <c r="J74" s="561"/>
      <c r="K74" s="561"/>
      <c r="L74" s="561"/>
      <c r="M74" s="562"/>
      <c r="N74" s="1137"/>
      <c r="O74" s="1137"/>
      <c r="P74" s="2658"/>
      <c r="Q74" s="558"/>
    </row>
    <row r="75" spans="1:17" s="470" customFormat="1" ht="14.4" thickTop="1">
      <c r="A75" s="552"/>
      <c r="B75" s="545">
        <f>B14</f>
        <v>111</v>
      </c>
      <c r="C75" s="522"/>
      <c r="D75" s="522"/>
      <c r="E75" s="522"/>
      <c r="F75" s="522"/>
      <c r="G75" s="522"/>
      <c r="H75" s="563"/>
      <c r="I75" s="563"/>
      <c r="J75" s="563"/>
      <c r="K75" s="563"/>
      <c r="L75" s="564"/>
      <c r="M75" s="565"/>
      <c r="N75" s="1137"/>
      <c r="O75" s="1137"/>
      <c r="P75" s="2660"/>
      <c r="Q75" s="558"/>
    </row>
    <row r="76" spans="1:17" s="470" customFormat="1" ht="14.4" thickBot="1">
      <c r="A76" s="567"/>
      <c r="B76" s="568"/>
      <c r="C76" s="569"/>
      <c r="D76" s="569"/>
      <c r="E76" s="569"/>
      <c r="F76" s="569"/>
      <c r="G76" s="569"/>
      <c r="H76" s="570"/>
      <c r="I76" s="570"/>
      <c r="J76" s="570"/>
      <c r="K76" s="570"/>
      <c r="L76" s="570"/>
      <c r="M76" s="571"/>
      <c r="N76" s="1137"/>
      <c r="O76" s="1137"/>
      <c r="P76" s="2658"/>
      <c r="Q76" s="558"/>
    </row>
    <row r="77" spans="1:17" ht="14.4">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4.4"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4.4"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4.4"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4.4"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4.4"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9.4" thickTop="1">
      <c r="A87" s="578"/>
      <c r="B87" s="537" t="s">
        <v>2687</v>
      </c>
      <c r="C87" s="2969" t="s">
        <v>3118</v>
      </c>
      <c r="D87" s="2969" t="s">
        <v>3119</v>
      </c>
      <c r="E87" s="2969" t="s">
        <v>3120</v>
      </c>
      <c r="F87" s="2969" t="s">
        <v>3121</v>
      </c>
      <c r="G87" s="2969" t="s">
        <v>3122</v>
      </c>
      <c r="H87" s="553"/>
      <c r="I87" s="553"/>
      <c r="J87" s="553"/>
      <c r="K87" s="553"/>
      <c r="L87" s="579"/>
      <c r="M87" s="580"/>
      <c r="N87" s="1134"/>
      <c r="O87" s="1134"/>
      <c r="P87" s="2657"/>
      <c r="Q87" s="503"/>
    </row>
    <row r="88" spans="1:17" s="117" customFormat="1" ht="14.4"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 thickTop="1">
      <c r="A89" s="578"/>
      <c r="B89" s="537" t="str">
        <f>B27</f>
        <v>楼层</v>
      </c>
      <c r="C89" s="2969" t="s">
        <v>3115</v>
      </c>
      <c r="D89" s="2969" t="s">
        <v>3116</v>
      </c>
      <c r="E89" s="2969" t="s">
        <v>3117</v>
      </c>
      <c r="F89" s="2608"/>
      <c r="G89" s="553"/>
      <c r="H89" s="553"/>
      <c r="I89" s="553"/>
      <c r="J89" s="553"/>
      <c r="K89" s="553"/>
      <c r="L89" s="553"/>
      <c r="M89" s="580"/>
      <c r="N89" s="1134"/>
      <c r="O89" s="1134"/>
      <c r="P89" s="2657"/>
      <c r="Q89" s="503"/>
    </row>
    <row r="90" spans="1:17" s="117" customFormat="1" ht="14.4"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4.4"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4.4" thickTop="1">
      <c r="A93" s="533"/>
      <c r="B93" s="537">
        <f>B29</f>
        <v>111</v>
      </c>
      <c r="C93" s="553"/>
      <c r="D93" s="553"/>
      <c r="E93" s="553"/>
      <c r="F93" s="553"/>
      <c r="G93" s="553"/>
      <c r="H93" s="553"/>
      <c r="I93" s="553"/>
      <c r="J93" s="553"/>
      <c r="K93" s="553"/>
      <c r="L93" s="579"/>
      <c r="M93" s="580"/>
      <c r="N93" s="1135"/>
      <c r="O93" s="1135"/>
      <c r="P93" s="2657"/>
      <c r="Q93" s="503"/>
    </row>
    <row r="94" spans="1:17" ht="14.4" thickBot="1">
      <c r="A94" s="533"/>
      <c r="B94" s="542"/>
      <c r="C94" s="559"/>
      <c r="D94" s="535"/>
      <c r="E94" s="535"/>
      <c r="F94" s="535"/>
      <c r="G94" s="535"/>
      <c r="H94" s="535"/>
      <c r="I94" s="535"/>
      <c r="J94" s="535"/>
      <c r="K94" s="535"/>
      <c r="L94" s="535"/>
      <c r="M94" s="536"/>
      <c r="N94" s="1136"/>
      <c r="O94" s="1136"/>
      <c r="P94" s="2657"/>
      <c r="Q94" s="503"/>
    </row>
    <row r="95" spans="1:17" ht="14.4" thickTop="1">
      <c r="A95" s="533"/>
      <c r="B95" s="537">
        <f>B30</f>
        <v>111</v>
      </c>
      <c r="C95" s="553"/>
      <c r="D95" s="553"/>
      <c r="E95" s="553"/>
      <c r="F95" s="553"/>
      <c r="G95" s="582"/>
      <c r="H95" s="582"/>
      <c r="I95" s="582"/>
      <c r="J95" s="582"/>
      <c r="K95" s="583"/>
      <c r="L95" s="584"/>
      <c r="M95" s="585"/>
      <c r="N95" s="1135"/>
      <c r="O95" s="1135"/>
      <c r="P95" s="2657"/>
      <c r="Q95" s="503"/>
    </row>
    <row r="96" spans="1:17" ht="14.4" thickBot="1">
      <c r="A96" s="533"/>
      <c r="B96" s="542"/>
      <c r="C96" s="559"/>
      <c r="D96" s="559"/>
      <c r="E96" s="559"/>
      <c r="F96" s="559"/>
      <c r="G96" s="535"/>
      <c r="H96" s="535"/>
      <c r="I96" s="535"/>
      <c r="J96" s="535"/>
      <c r="K96" s="535"/>
      <c r="L96" s="535"/>
      <c r="M96" s="536"/>
      <c r="N96" s="1136"/>
      <c r="O96" s="1136"/>
      <c r="P96" s="2657"/>
      <c r="Q96" s="503"/>
    </row>
    <row r="97" spans="1:17" ht="14.4" thickTop="1">
      <c r="A97" s="533"/>
      <c r="B97" s="537">
        <f>B31</f>
        <v>111</v>
      </c>
      <c r="C97" s="553"/>
      <c r="D97" s="553"/>
      <c r="E97" s="553"/>
      <c r="F97" s="553"/>
      <c r="G97" s="582"/>
      <c r="H97" s="582"/>
      <c r="I97" s="582"/>
      <c r="J97" s="582"/>
      <c r="K97" s="583"/>
      <c r="L97" s="584"/>
      <c r="M97" s="585"/>
      <c r="N97" s="1135"/>
      <c r="O97" s="1135"/>
      <c r="P97" s="2657"/>
      <c r="Q97" s="503"/>
    </row>
    <row r="98" spans="1:17" ht="14.4" thickBot="1">
      <c r="A98" s="533"/>
      <c r="B98" s="542"/>
      <c r="C98" s="559"/>
      <c r="D98" s="535"/>
      <c r="E98" s="535"/>
      <c r="F98" s="535"/>
      <c r="G98" s="535"/>
      <c r="H98" s="535"/>
      <c r="I98" s="535"/>
      <c r="J98" s="535"/>
      <c r="K98" s="535"/>
      <c r="L98" s="535"/>
      <c r="M98" s="536"/>
      <c r="N98" s="1136"/>
      <c r="O98" s="1136"/>
      <c r="P98" s="2657"/>
      <c r="Q98" s="503"/>
    </row>
    <row r="99" spans="1:17" ht="14.4" thickTop="1">
      <c r="A99" s="533"/>
      <c r="B99" s="545">
        <f>B32</f>
        <v>111</v>
      </c>
      <c r="C99" s="522"/>
      <c r="D99" s="522"/>
      <c r="E99" s="522"/>
      <c r="F99" s="522"/>
      <c r="G99" s="586"/>
      <c r="H99" s="586"/>
      <c r="I99" s="586"/>
      <c r="J99" s="586"/>
      <c r="K99" s="587"/>
      <c r="L99" s="588"/>
      <c r="M99" s="589"/>
      <c r="N99" s="1135"/>
      <c r="O99" s="1135"/>
      <c r="P99" s="2657"/>
      <c r="Q99" s="503"/>
    </row>
    <row r="100" spans="1:17" ht="14.4" thickBot="1">
      <c r="A100" s="2609"/>
      <c r="B100" s="568"/>
      <c r="C100" s="569"/>
      <c r="D100" s="569"/>
      <c r="E100" s="569"/>
      <c r="F100" s="569"/>
      <c r="G100" s="590"/>
      <c r="H100" s="590"/>
      <c r="I100" s="590"/>
      <c r="J100" s="590"/>
      <c r="K100" s="590"/>
      <c r="L100" s="590"/>
      <c r="M100" s="591"/>
      <c r="N100" s="1136"/>
      <c r="O100" s="1136"/>
      <c r="P100" s="2657"/>
      <c r="Q100" s="503"/>
    </row>
    <row r="101" spans="1:17" ht="14.4">
      <c r="A101" s="526" t="s">
        <v>2551</v>
      </c>
      <c r="B101" s="527" t="s">
        <v>2600</v>
      </c>
      <c r="C101" s="2978" t="s">
        <v>3144</v>
      </c>
      <c r="D101" s="529"/>
      <c r="E101" s="529"/>
      <c r="F101" s="529"/>
      <c r="G101" s="529"/>
      <c r="H101" s="529"/>
      <c r="I101" s="529"/>
      <c r="J101" s="529"/>
      <c r="K101" s="530"/>
      <c r="L101" s="531"/>
      <c r="M101" s="532"/>
      <c r="N101" s="1135"/>
      <c r="O101" s="1135"/>
      <c r="P101" s="2657"/>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8.2"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4.4"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3123</v>
      </c>
      <c r="D106" s="553"/>
      <c r="E106" s="582"/>
      <c r="F106" s="582"/>
      <c r="G106" s="582"/>
      <c r="H106" s="582"/>
      <c r="I106" s="582"/>
      <c r="J106" s="582"/>
      <c r="K106" s="583"/>
      <c r="L106" s="584"/>
      <c r="M106" s="585"/>
      <c r="N106" s="1135"/>
      <c r="O106" s="1135"/>
      <c r="P106" s="265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7"/>
      <c r="Q107" s="503"/>
    </row>
    <row r="108" spans="1:17" ht="15" thickTop="1">
      <c r="A108" s="598"/>
      <c r="B108" s="537" t="s">
        <v>2604</v>
      </c>
      <c r="C108" s="2969" t="s">
        <v>3124</v>
      </c>
      <c r="D108" s="2969" t="s">
        <v>3125</v>
      </c>
      <c r="E108" s="2969" t="s">
        <v>3126</v>
      </c>
      <c r="F108" s="2972" t="s">
        <v>3127</v>
      </c>
      <c r="G108" s="582"/>
      <c r="H108" s="582"/>
      <c r="I108" s="582"/>
      <c r="J108" s="582"/>
      <c r="K108" s="583"/>
      <c r="L108" s="584"/>
      <c r="M108" s="585"/>
      <c r="N108" s="1135"/>
      <c r="O108" s="1135"/>
      <c r="P108" s="265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7"/>
      <c r="Q112" s="503"/>
    </row>
    <row r="113" spans="1:17" s="470" customFormat="1" ht="15" thickTop="1">
      <c r="A113" s="592"/>
      <c r="B113" s="537" t="s">
        <v>2688</v>
      </c>
      <c r="C113" s="2969" t="s">
        <v>3128</v>
      </c>
      <c r="D113" s="2969" t="s">
        <v>3129</v>
      </c>
      <c r="E113" s="2969" t="s">
        <v>3130</v>
      </c>
      <c r="F113" s="553"/>
      <c r="G113" s="553"/>
      <c r="H113" s="582"/>
      <c r="I113" s="582"/>
      <c r="J113" s="582"/>
      <c r="K113" s="583"/>
      <c r="L113" s="584"/>
      <c r="M113" s="585"/>
      <c r="N113" s="1137"/>
      <c r="O113" s="1137"/>
      <c r="P113" s="265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8"/>
      <c r="Q114" s="558"/>
    </row>
    <row r="115" spans="1:17" ht="15" thickTop="1">
      <c r="A115" s="598"/>
      <c r="B115" s="537" t="s">
        <v>2605</v>
      </c>
      <c r="C115" s="2976" t="s">
        <v>3132</v>
      </c>
      <c r="D115" s="553"/>
      <c r="E115" s="582"/>
      <c r="F115" s="582"/>
      <c r="G115" s="582"/>
      <c r="H115" s="582"/>
      <c r="I115" s="582"/>
      <c r="J115" s="582"/>
      <c r="K115" s="583"/>
      <c r="L115" s="584"/>
      <c r="M115" s="585"/>
      <c r="N115" s="1135"/>
      <c r="O115" s="1135"/>
      <c r="P115" s="265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7"/>
      <c r="Q116" s="503"/>
    </row>
    <row r="117" spans="1:17" ht="15" thickTop="1">
      <c r="A117" s="598"/>
      <c r="B117" s="537" t="s">
        <v>2606</v>
      </c>
      <c r="C117" s="2969" t="s">
        <v>3133</v>
      </c>
      <c r="D117" s="2969" t="s">
        <v>3134</v>
      </c>
      <c r="E117" s="2969" t="s">
        <v>3135</v>
      </c>
      <c r="F117" s="2969" t="s">
        <v>3136</v>
      </c>
      <c r="G117" s="2969" t="s">
        <v>3137</v>
      </c>
      <c r="H117" s="582"/>
      <c r="I117" s="582"/>
      <c r="J117" s="582"/>
      <c r="K117" s="583"/>
      <c r="L117" s="584"/>
      <c r="M117" s="585"/>
      <c r="N117" s="1135"/>
      <c r="O117" s="1135"/>
      <c r="P117" s="265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7"/>
      <c r="Q118" s="503"/>
    </row>
    <row r="119" spans="1:17" ht="15" thickTop="1">
      <c r="A119" s="598"/>
      <c r="B119" s="635" t="s">
        <v>2689</v>
      </c>
      <c r="C119" s="2972" t="s">
        <v>3138</v>
      </c>
      <c r="D119" s="582"/>
      <c r="E119" s="582"/>
      <c r="F119" s="582"/>
      <c r="G119" s="582"/>
      <c r="H119" s="582"/>
      <c r="I119" s="582"/>
      <c r="J119" s="582"/>
      <c r="K119" s="582"/>
      <c r="L119" s="2662"/>
      <c r="M119" s="2663"/>
      <c r="N119" s="1136"/>
      <c r="O119" s="1136"/>
      <c r="P119" s="266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4.4"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3124</v>
      </c>
      <c r="D123" s="2969" t="s">
        <v>3125</v>
      </c>
      <c r="E123" s="2969" t="s">
        <v>3139</v>
      </c>
      <c r="F123" s="2972" t="s">
        <v>3140</v>
      </c>
      <c r="G123" s="582"/>
      <c r="H123" s="582"/>
      <c r="I123" s="582"/>
      <c r="J123" s="582"/>
      <c r="K123" s="583"/>
      <c r="L123" s="584"/>
      <c r="M123" s="585"/>
      <c r="N123" s="1135"/>
      <c r="O123" s="1135"/>
      <c r="P123" s="265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7"/>
      <c r="Q124" s="503"/>
    </row>
    <row r="125" spans="1:17" ht="29.4"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7"/>
      <c r="Q126" s="503"/>
    </row>
    <row r="127" spans="1:17" s="470" customFormat="1" ht="14.4"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4.4" thickBot="1">
      <c r="A128" s="552"/>
      <c r="B128" s="542"/>
      <c r="C128" s="559"/>
      <c r="D128" s="535"/>
      <c r="E128" s="535"/>
      <c r="F128" s="535"/>
      <c r="G128" s="559"/>
      <c r="H128" s="561"/>
      <c r="I128" s="561"/>
      <c r="J128" s="561"/>
      <c r="K128" s="561"/>
      <c r="L128" s="561"/>
      <c r="M128" s="562"/>
      <c r="N128" s="1137"/>
      <c r="O128" s="1137"/>
      <c r="P128" s="2658"/>
      <c r="Q128" s="558"/>
    </row>
    <row r="129" spans="1:17" ht="14.4" thickTop="1">
      <c r="A129" s="598"/>
      <c r="B129" s="537">
        <f>B46</f>
        <v>111</v>
      </c>
      <c r="C129" s="553"/>
      <c r="D129" s="553"/>
      <c r="E129" s="553"/>
      <c r="F129" s="553"/>
      <c r="G129" s="582"/>
      <c r="H129" s="582"/>
      <c r="I129" s="582"/>
      <c r="J129" s="582"/>
      <c r="K129" s="583"/>
      <c r="L129" s="584"/>
      <c r="M129" s="585"/>
      <c r="N129" s="1135"/>
      <c r="O129" s="1135"/>
      <c r="P129" s="2657"/>
      <c r="Q129" s="503"/>
    </row>
    <row r="130" spans="1:17" ht="14.4" thickBot="1">
      <c r="A130" s="533"/>
      <c r="B130" s="542"/>
      <c r="C130" s="559"/>
      <c r="D130" s="559"/>
      <c r="E130" s="559"/>
      <c r="F130" s="559"/>
      <c r="G130" s="535"/>
      <c r="H130" s="535"/>
      <c r="I130" s="535"/>
      <c r="J130" s="535"/>
      <c r="K130" s="535"/>
      <c r="L130" s="535"/>
      <c r="M130" s="536"/>
      <c r="N130" s="1136"/>
      <c r="O130" s="1136"/>
      <c r="P130" s="2657"/>
      <c r="Q130" s="503"/>
    </row>
    <row r="131" spans="1:17" ht="14.4" thickTop="1">
      <c r="A131" s="598"/>
      <c r="B131" s="545">
        <f>B47</f>
        <v>0.995</v>
      </c>
      <c r="C131" s="522"/>
      <c r="D131" s="522"/>
      <c r="E131" s="522"/>
      <c r="F131" s="522"/>
      <c r="G131" s="586"/>
      <c r="H131" s="586"/>
      <c r="I131" s="586"/>
      <c r="J131" s="586"/>
      <c r="K131" s="522"/>
      <c r="L131" s="523"/>
      <c r="M131" s="589"/>
      <c r="N131" s="1135"/>
      <c r="O131" s="1135"/>
      <c r="P131" s="2657"/>
      <c r="Q131" s="503"/>
    </row>
    <row r="132" spans="1:17" ht="14.4"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2314</v>
      </c>
      <c r="B1" s="1916"/>
      <c r="C1" s="2526" t="s">
        <v>2416</v>
      </c>
      <c r="D1" s="242"/>
      <c r="E1" s="242"/>
      <c r="F1" s="242"/>
      <c r="G1" s="1361">
        <f>MATCH(B1,'数据-取费表'!A6:A16,0)+5</f>
        <v>10</v>
      </c>
      <c r="H1" s="1264" t="str">
        <f>IF(ISERROR(FIND("住宅",B1)),"非住宅","住宅")</f>
        <v>非住宅</v>
      </c>
    </row>
    <row r="2" spans="1:8" s="244" customFormat="1" ht="18" customHeight="1">
      <c r="A2" s="245" t="s">
        <v>2315</v>
      </c>
      <c r="B2" s="246">
        <f ca="1">ROUND(IF(D2="——",C52/10000,C52/10000-E2),0)</f>
        <v>21687</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5143</v>
      </c>
      <c r="C3" s="243" t="s">
        <v>2318</v>
      </c>
      <c r="D3" s="243"/>
      <c r="E3" s="243"/>
      <c r="F3" s="243"/>
      <c r="G3" s="243"/>
    </row>
    <row r="4" spans="1:8" s="252" customFormat="1" ht="16.2">
      <c r="A4" s="249" t="s">
        <v>2319</v>
      </c>
      <c r="B4" s="250"/>
      <c r="C4" s="250"/>
      <c r="D4" s="250"/>
      <c r="E4" s="250"/>
      <c r="F4" s="250"/>
      <c r="G4" s="251"/>
    </row>
    <row r="5" spans="1:8" s="258" customFormat="1" ht="13.5" customHeight="1">
      <c r="A5" s="299" t="s">
        <v>2320</v>
      </c>
      <c r="B5" s="254" t="s">
        <v>2321</v>
      </c>
      <c r="C5" s="255">
        <f ca="1">C6+C7+C8</f>
        <v>8432850</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8432850</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8432850</v>
      </c>
      <c r="D10" s="1022">
        <f ca="1">IF(B1="",'数据-汇总表'!E6,IF(INDIRECT("'数据-取费表'!c"&amp;$G$1)="住宅",INDIRECT("'数据-取费表'!s"&amp;$G$1),INDIRECT("'数据-取费表'!k"&amp;$G$1)+INDIRECT("'数据-取费表'!s"&amp;$G$1)))</f>
        <v>42164.249999999993</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8432850</v>
      </c>
      <c r="D19" s="1026">
        <f ca="1">D9+D10</f>
        <v>42164.249999999993</v>
      </c>
      <c r="E19" s="255">
        <f>'数据-取费表'!B31</f>
        <v>200</v>
      </c>
      <c r="F19" s="275"/>
      <c r="G19" s="2523"/>
    </row>
    <row r="20" spans="1:7" s="258" customFormat="1" ht="13.5" customHeight="1">
      <c r="A20" s="299" t="s">
        <v>2427</v>
      </c>
      <c r="B20" s="254" t="s">
        <v>2428</v>
      </c>
      <c r="C20" s="276">
        <f ca="1">ROUND((C5+C19)*F20,0)</f>
        <v>337314</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1656316</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820147</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820147</v>
      </c>
      <c r="D24" s="282"/>
      <c r="E24" s="282"/>
      <c r="F24" s="283"/>
      <c r="G24" s="284" t="s">
        <v>2439</v>
      </c>
    </row>
    <row r="25" spans="1:7" s="258" customFormat="1" ht="24">
      <c r="A25" s="941" t="s">
        <v>2329</v>
      </c>
      <c r="B25" s="259" t="s">
        <v>2440</v>
      </c>
      <c r="C25" s="1363">
        <f ca="1">ROUND(IF('数据-取费表'!B22&lt;=1,C20*F22*'数据-取费表'!B22/2,C20*(POWER((1+F22),'数据-取费表'!B22/2)-1)),0)</f>
        <v>16022</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6.4">
      <c r="A27" s="299" t="s">
        <v>2365</v>
      </c>
      <c r="B27" s="288" t="s">
        <v>2366</v>
      </c>
      <c r="C27" s="289">
        <f ca="1">C28</f>
        <v>4300754</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ROUND((C5+C19+C20)*F27,0)</f>
        <v>4300754</v>
      </c>
      <c r="D28" s="279"/>
      <c r="E28" s="280"/>
      <c r="F28" s="290"/>
      <c r="G28" s="291"/>
    </row>
    <row r="29" spans="1:7" s="258" customFormat="1" ht="13.5" customHeight="1">
      <c r="A29" s="941" t="s">
        <v>792</v>
      </c>
      <c r="B29" s="292" t="s">
        <v>2370</v>
      </c>
      <c r="C29" s="282">
        <f ca="1">ROUND(C21*F27,4)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25154865</v>
      </c>
      <c r="D31" s="274"/>
      <c r="E31" s="255"/>
      <c r="F31" s="294"/>
      <c r="G31" s="278" t="s">
        <v>2375</v>
      </c>
    </row>
    <row r="32" spans="1:7" s="252" customFormat="1" ht="16.2">
      <c r="A32" s="296" t="s">
        <v>2442</v>
      </c>
      <c r="B32" s="297"/>
      <c r="C32" s="297"/>
      <c r="D32" s="297"/>
      <c r="E32" s="297"/>
      <c r="F32" s="297"/>
      <c r="G32" s="298"/>
    </row>
    <row r="33" spans="1:7" s="258" customFormat="1" ht="13.5" customHeight="1">
      <c r="A33" s="299" t="s">
        <v>782</v>
      </c>
      <c r="B33" s="254" t="s">
        <v>2443</v>
      </c>
      <c r="C33" s="300">
        <f ca="1">SUM(C34:C38)</f>
        <v>162648594</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147574875</v>
      </c>
      <c r="D34" s="261"/>
      <c r="E34" s="264"/>
      <c r="F34" s="301"/>
      <c r="G34" s="263"/>
    </row>
    <row r="35" spans="1:7" ht="13.5" customHeight="1">
      <c r="A35" s="941" t="s">
        <v>796</v>
      </c>
      <c r="B35" s="259" t="s">
        <v>2380</v>
      </c>
      <c r="C35" s="264">
        <f ca="1">ROUND(C34*F35,0)</f>
        <v>4427246</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8432850</v>
      </c>
      <c r="D37" s="261">
        <f ca="1">D19</f>
        <v>42164.249999999993</v>
      </c>
      <c r="E37" s="293">
        <f>'数据-取费表'!B35</f>
        <v>200</v>
      </c>
      <c r="F37" s="303"/>
      <c r="G37" s="305"/>
    </row>
    <row r="38" spans="1:7" ht="13.5" customHeight="1">
      <c r="A38" s="941" t="s">
        <v>799</v>
      </c>
      <c r="B38" s="259" t="s">
        <v>2386</v>
      </c>
      <c r="C38" s="264">
        <f ca="1">ROUND(C34*F38,0)</f>
        <v>2213623</v>
      </c>
      <c r="D38" s="264"/>
      <c r="E38" s="264"/>
      <c r="F38" s="303">
        <f>'数据-取费表'!B36</f>
        <v>1.4999999999999999E-2</v>
      </c>
      <c r="G38" s="263" t="s">
        <v>2381</v>
      </c>
    </row>
    <row r="39" spans="1:7" s="258" customFormat="1" ht="13.5" customHeight="1">
      <c r="A39" s="299" t="s">
        <v>2387</v>
      </c>
      <c r="B39" s="254" t="s">
        <v>2388</v>
      </c>
      <c r="C39" s="276">
        <f ca="1">ROUND(C33*F20,0)</f>
        <v>3252972</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7880324</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7725808</v>
      </c>
      <c r="D42" s="282"/>
      <c r="E42" s="282"/>
      <c r="F42" s="283"/>
      <c r="G42" s="3713" t="s">
        <v>2444</v>
      </c>
    </row>
    <row r="43" spans="1:7" ht="13.5" customHeight="1">
      <c r="A43" s="941" t="s">
        <v>792</v>
      </c>
      <c r="B43" s="259" t="s">
        <v>2398</v>
      </c>
      <c r="C43" s="282">
        <f ca="1">ROUND(IF('数据-取费表'!B22&lt;=1,C39*F22*'数据-取费表'!B20/2,C39*(POWER((1+F22),'数据-取费表'!B20/2)-1)),0)</f>
        <v>154516</v>
      </c>
      <c r="D43" s="282"/>
      <c r="E43" s="282"/>
      <c r="F43" s="283"/>
      <c r="G43" s="3714"/>
    </row>
    <row r="44" spans="1:7" ht="13.5" customHeight="1">
      <c r="A44" s="941" t="s">
        <v>793</v>
      </c>
      <c r="B44" s="259" t="s">
        <v>2399</v>
      </c>
      <c r="C44" s="282">
        <f ca="1">ROUND(IF('数据-取费表'!B22&lt;=1,C40*F22*'数据-取费表'!B20/2,C40*(POWER((1+F22),'数据-取费表'!B20/2)-1)),4)</f>
        <v>1E-3</v>
      </c>
      <c r="D44" s="282"/>
      <c r="E44" s="282"/>
      <c r="F44" s="283"/>
      <c r="G44" s="3715"/>
    </row>
    <row r="45" spans="1:7" s="258" customFormat="1" ht="13.5" customHeight="1">
      <c r="A45" s="299" t="s">
        <v>2400</v>
      </c>
      <c r="B45" s="288" t="s">
        <v>2366</v>
      </c>
      <c r="C45" s="289">
        <f ca="1">C46</f>
        <v>41475392</v>
      </c>
      <c r="D45" s="279">
        <f ca="1">C47</f>
        <v>5.0000000000000001E-3</v>
      </c>
      <c r="E45" s="280" t="s">
        <v>2392</v>
      </c>
      <c r="F45" s="290"/>
      <c r="G45" s="291" t="s">
        <v>2401</v>
      </c>
    </row>
    <row r="46" spans="1:7" s="258" customFormat="1" ht="13.5" customHeight="1">
      <c r="A46" s="941" t="s">
        <v>791</v>
      </c>
      <c r="B46" s="292" t="s">
        <v>2402</v>
      </c>
      <c r="C46" s="293">
        <f ca="1">ROUND((C33+C39)*F27,0)</f>
        <v>41475392</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233797417</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191713882</v>
      </c>
      <c r="D51" s="276"/>
      <c r="E51" s="276"/>
      <c r="F51" s="308"/>
      <c r="G51" s="278" t="s">
        <v>2413</v>
      </c>
    </row>
    <row r="52" spans="1:7" s="252" customFormat="1" ht="16.8" thickBot="1">
      <c r="A52" s="309" t="s">
        <v>2414</v>
      </c>
      <c r="B52" s="310"/>
      <c r="C52" s="311">
        <f ca="1">C31+C51</f>
        <v>216868747</v>
      </c>
      <c r="D52" s="310"/>
      <c r="E52" s="310"/>
      <c r="F52" s="310"/>
      <c r="G52" s="312"/>
    </row>
    <row r="55" spans="1:7" ht="15">
      <c r="B55" s="314" t="s">
        <v>2415</v>
      </c>
      <c r="C55" s="315"/>
    </row>
    <row r="56" spans="1:7">
      <c r="B56" s="317" t="s">
        <v>1501</v>
      </c>
      <c r="C56" s="319">
        <f ca="1">1-C57</f>
        <v>0.11599999999999999</v>
      </c>
    </row>
    <row r="57" spans="1:7">
      <c r="B57" s="317" t="s">
        <v>1502</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3" customWidth="1"/>
    <col min="2" max="2" width="25.77734375" style="942" customWidth="1"/>
    <col min="3" max="3" width="10.33203125" style="985" customWidth="1"/>
    <col min="4" max="4" width="9.88671875" style="942" customWidth="1"/>
    <col min="5" max="5" width="9.44140625" style="793" customWidth="1"/>
    <col min="6" max="6" width="10.109375" style="942" customWidth="1"/>
    <col min="7" max="7" width="10.77734375" style="942" customWidth="1"/>
    <col min="8" max="8" width="10" style="942" customWidth="1"/>
    <col min="9" max="11" width="9.44140625" style="942" customWidth="1"/>
    <col min="12" max="12" width="9" style="942" customWidth="1"/>
    <col min="13" max="13" width="10.44140625" style="942" bestFit="1" customWidth="1"/>
    <col min="14" max="254" width="9" style="942" customWidth="1"/>
    <col min="255" max="16384" width="6.6640625" style="942"/>
  </cols>
  <sheetData>
    <row r="1" spans="1:33" ht="21">
      <c r="A1" s="240" t="s">
        <v>2447</v>
      </c>
      <c r="B1" s="1561"/>
      <c r="C1" s="1562"/>
      <c r="D1" s="1560"/>
      <c r="E1" s="320"/>
      <c r="F1" s="320"/>
      <c r="G1" s="1561"/>
      <c r="H1" s="320"/>
      <c r="I1" s="320"/>
      <c r="J1" s="320"/>
      <c r="K1" s="320">
        <f>MATCH(C1,'数据-取费表'!A6:A16,0)+5</f>
        <v>10</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5.2">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42164.249999999993</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42164.249999999993</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843</v>
      </c>
      <c r="D20" s="1023">
        <f ca="1">IF(C1="",'数据-汇总表'!E6,IF(INDIRECT("'数据-取费表'!c"&amp;$K$1)="住宅",INDIRECT("'数据-取费表'!s"&amp;$K$1),INDIRECT("'数据-取费表'!k"&amp;$K$1)+INDIRECT("'数据-取费表'!s"&amp;$K$1)))</f>
        <v>42164.249999999993</v>
      </c>
      <c r="E20" s="24">
        <f>'数据-取费表'!B28</f>
        <v>200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0</v>
      </c>
      <c r="D28" s="324">
        <f ca="1">C29</f>
        <v>0</v>
      </c>
      <c r="E28" s="326" t="s">
        <v>15</v>
      </c>
      <c r="F28" s="332">
        <f ca="1">IF(C1="",'数据-取费表'!Q16,INDIRECT("'数据-取费表'!q"&amp;$K$1))</f>
        <v>0.25</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2300-000000000000}">
      <formula1>项目类型</formula1>
    </dataValidation>
    <dataValidation type="list" allowBlank="1" showInputMessage="1" showErrorMessage="1" sqref="G18" xr:uid="{00000000-0002-0000-23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c r="D1" s="1800"/>
      <c r="E1" s="1801" t="s">
        <v>1375</v>
      </c>
      <c r="F1" s="1265">
        <f ca="1">J53</f>
        <v>0</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66" t="s">
        <v>1391</v>
      </c>
      <c r="C6" s="1278">
        <f ca="1">ROUND(F6*F8*F7*(1-F9),0)</f>
        <v>0</v>
      </c>
      <c r="D6" s="164" t="s">
        <v>3001</v>
      </c>
      <c r="E6" s="347" t="s">
        <v>1393</v>
      </c>
      <c r="F6" s="348">
        <f ca="1">INDIRECT("'数据-取费表'!u"&amp;$G$1)</f>
        <v>0</v>
      </c>
      <c r="G6" s="1831"/>
      <c r="H6" s="1273" t="s">
        <v>1032</v>
      </c>
      <c r="I6" s="3766" t="s">
        <v>1391</v>
      </c>
      <c r="J6" s="346">
        <f ca="1">ROUND(M6*M8*M7*(1-M9),0)</f>
        <v>0</v>
      </c>
      <c r="K6" s="1814" t="s">
        <v>3002</v>
      </c>
      <c r="L6" s="347" t="s">
        <v>1393</v>
      </c>
      <c r="M6" s="348">
        <f ca="1">INDIRECT("'数据-取费表'!z"&amp;$G$1)</f>
        <v>0</v>
      </c>
    </row>
    <row r="7" spans="1:37" ht="18" customHeight="1">
      <c r="A7" s="1277"/>
      <c r="B7" s="3767"/>
      <c r="C7" s="1279"/>
      <c r="D7" s="352"/>
      <c r="E7" s="1280" t="s">
        <v>1394</v>
      </c>
      <c r="F7" s="348">
        <f ca="1">IF(INDIRECT("'数据-取费表'!ah"&amp;$G$1)="",INDIRECT("'数据-取费表'!k"&amp;$G$1),INDIRECT("'数据-取费表'!ah"&amp;$G$1))</f>
        <v>0</v>
      </c>
      <c r="G7" s="1831"/>
      <c r="H7" s="349"/>
      <c r="I7" s="3767"/>
      <c r="J7" s="351"/>
      <c r="K7" s="352"/>
      <c r="L7" s="347" t="s">
        <v>1394</v>
      </c>
      <c r="M7" s="348">
        <f ca="1">F7</f>
        <v>0</v>
      </c>
    </row>
    <row r="8" spans="1:37" ht="18" customHeight="1">
      <c r="A8" s="349"/>
      <c r="B8" s="3767"/>
      <c r="C8" s="351"/>
      <c r="D8" s="352"/>
      <c r="E8" s="347" t="s">
        <v>1395</v>
      </c>
      <c r="F8" s="348">
        <f ca="1">INDIRECT("'数据-取费表'!ai"&amp;$G$1)</f>
        <v>0</v>
      </c>
      <c r="G8" s="1831"/>
      <c r="H8" s="349"/>
      <c r="I8" s="3767"/>
      <c r="J8" s="351"/>
      <c r="K8" s="352"/>
      <c r="L8" s="347" t="s">
        <v>1395</v>
      </c>
      <c r="M8" s="348">
        <f ca="1">INDIRECT("'数据-取费表'!ai"&amp;$G$1)</f>
        <v>0</v>
      </c>
    </row>
    <row r="9" spans="1:37" ht="18" customHeight="1">
      <c r="A9" s="349"/>
      <c r="B9" s="3768"/>
      <c r="C9" s="351"/>
      <c r="D9" s="352"/>
      <c r="E9" s="347" t="s">
        <v>1396</v>
      </c>
      <c r="F9" s="357">
        <f ca="1">INDIRECT("'数据-取费表'!w"&amp;$G$1)</f>
        <v>0</v>
      </c>
      <c r="G9" s="1831"/>
      <c r="H9" s="349"/>
      <c r="I9" s="376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8"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8" thickBot="1">
      <c r="A47" s="1147" t="s">
        <v>1384</v>
      </c>
      <c r="B47" s="1179" t="s">
        <v>1385</v>
      </c>
      <c r="C47" s="1179" t="s">
        <v>1386</v>
      </c>
      <c r="D47" s="1179" t="s">
        <v>1387</v>
      </c>
      <c r="E47" s="1261" t="s">
        <v>1388</v>
      </c>
      <c r="F47" s="1262"/>
      <c r="G47" s="787"/>
      <c r="I47" s="1860" t="s">
        <v>1514</v>
      </c>
      <c r="J47" s="1861"/>
      <c r="K47" s="1862" t="s">
        <v>1515</v>
      </c>
      <c r="L47" s="1863">
        <f ca="1">INDIRECT("'数据-取费表'!d"&amp;$G$1)</f>
        <v>50</v>
      </c>
      <c r="M47" s="1818" t="str">
        <f>IF(ISNUMBER(FIND("住宅",C1)),"住宅","非住宅")</f>
        <v>非住宅</v>
      </c>
      <c r="O47" s="1864" t="s">
        <v>1037</v>
      </c>
      <c r="P47" s="1865" t="s">
        <v>1516</v>
      </c>
      <c r="Q47" s="1866" t="e">
        <f ca="1">C40+J29</f>
        <v>#DIV/0!</v>
      </c>
      <c r="R47" s="1866" t="s">
        <v>1517</v>
      </c>
    </row>
    <row r="48" spans="1:18" s="1822" customFormat="1" ht="40.200000000000003" thickBot="1">
      <c r="A48" s="1342" t="s">
        <v>1125</v>
      </c>
      <c r="B48" s="345" t="s">
        <v>1389</v>
      </c>
      <c r="C48" s="1797">
        <f ca="1">C49+C53+C55</f>
        <v>0</v>
      </c>
      <c r="D48" s="1344"/>
      <c r="E48" s="1345"/>
      <c r="F48" s="1163"/>
      <c r="G48" s="787"/>
      <c r="H48" s="788"/>
      <c r="I48" s="1867" t="s">
        <v>1518</v>
      </c>
      <c r="J48" s="1868"/>
      <c r="K48" s="1869" t="s">
        <v>1519</v>
      </c>
      <c r="L48" s="1870">
        <f ca="1">INDIRECT("'数据-取费表'!f"&amp;$G$1)</f>
        <v>33.21</v>
      </c>
      <c r="O48" s="1864" t="s">
        <v>1038</v>
      </c>
      <c r="P48" s="1865" t="s">
        <v>1520</v>
      </c>
      <c r="Q48" s="1866" t="str">
        <f ca="1">J60</f>
        <v>0</v>
      </c>
      <c r="R48" s="1866" t="s">
        <v>1521</v>
      </c>
    </row>
    <row r="49" spans="1:18" s="1822" customFormat="1" ht="13.8"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8"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#VALUE!</v>
      </c>
      <c r="R50" s="1866"/>
    </row>
    <row r="51" spans="1:18" s="1822" customFormat="1" ht="13.8"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8"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769" t="s">
        <v>1536</v>
      </c>
      <c r="L53" s="3770"/>
      <c r="O53" s="1864" t="s">
        <v>1043</v>
      </c>
      <c r="P53" s="1865" t="s">
        <v>1537</v>
      </c>
      <c r="Q53" s="1866" t="e">
        <f ca="1">Q47+Q48</f>
        <v>#DIV/0!</v>
      </c>
      <c r="R53" s="1866" t="s">
        <v>1044</v>
      </c>
    </row>
    <row r="54" spans="1:18" s="1822" customFormat="1" ht="13.8"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8" thickBot="1">
      <c r="A55" s="1315" t="s">
        <v>1072</v>
      </c>
      <c r="B55" s="1807" t="s">
        <v>1401</v>
      </c>
      <c r="C55" s="1316"/>
      <c r="D55" s="1804"/>
      <c r="E55" s="1812"/>
      <c r="F55" s="1886"/>
      <c r="I55" s="1889" t="s">
        <v>1539</v>
      </c>
      <c r="J55" s="1890" t="e">
        <f ca="1">ROUND(IF(J47="钢混",J57/J50,1-(1-2%)*(J50-J57)/J50),3)</f>
        <v>#VALUE!</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33.21</v>
      </c>
      <c r="O56" s="1864" t="s">
        <v>1037</v>
      </c>
      <c r="P56" s="1865" t="s">
        <v>1516</v>
      </c>
      <c r="Q56" s="1866" t="e">
        <f ca="1">C40+J29</f>
        <v>#DIV/0!</v>
      </c>
      <c r="R56" s="1866" t="s">
        <v>1517</v>
      </c>
    </row>
    <row r="57" spans="1:18" s="1822" customFormat="1" ht="24.6" thickBot="1">
      <c r="A57" s="1897"/>
      <c r="B57" s="1151" t="s">
        <v>1466</v>
      </c>
      <c r="C57" s="282">
        <f ca="1">C29</f>
        <v>0</v>
      </c>
      <c r="D57" s="1898"/>
      <c r="E57" s="1899"/>
      <c r="F57" s="1900"/>
      <c r="I57" s="1901" t="s">
        <v>1544</v>
      </c>
      <c r="J57" s="1902" t="str">
        <f ca="1">IF(OR(M47="住宅",J51&lt;L48,J56="是"),"——",J51-L48)</f>
        <v>——</v>
      </c>
      <c r="K57" s="1867" t="s">
        <v>1593</v>
      </c>
      <c r="L57" s="1870">
        <f ca="1">IF(L48&lt;J51,"——",IF(L55="比较法",L49,IF(L55="基准地价",L50,L51)))</f>
        <v>0</v>
      </c>
      <c r="O57" s="1864" t="s">
        <v>1038</v>
      </c>
      <c r="P57" s="1865" t="s">
        <v>1594</v>
      </c>
      <c r="Q57" s="1866" t="e">
        <f ca="1">L60</f>
        <v>#DIV/0!</v>
      </c>
      <c r="R57" s="1866" t="s">
        <v>1595</v>
      </c>
    </row>
    <row r="58" spans="1:18" s="1822" customFormat="1" ht="24.6" thickBot="1">
      <c r="A58" s="360" t="s">
        <v>1027</v>
      </c>
      <c r="B58" s="1159" t="s">
        <v>1412</v>
      </c>
      <c r="C58" s="361">
        <f ca="1">ROUND(C59+C64+C65+C66,0)</f>
        <v>0</v>
      </c>
      <c r="D58" s="1161" t="s">
        <v>1413</v>
      </c>
      <c r="E58" s="1162"/>
      <c r="F58" s="1163"/>
      <c r="I58" s="1901" t="s">
        <v>1548</v>
      </c>
      <c r="J58" s="1903" t="e">
        <f ca="1">IF(J55&lt;0.4,0.4,J55)</f>
        <v>#VALUE!</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6"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2"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str">
        <f ca="1">IF(OR(M47="住宅",J51&lt;L48,J56="是"),"0",ROUND(J59/(1+J52)^J53,0))</f>
        <v>0</v>
      </c>
      <c r="K60" s="1906" t="s">
        <v>1554</v>
      </c>
      <c r="L60" s="1905" t="e">
        <f ca="1">IF(OR(M47="住宅",L48&lt;J51),0,ROUND(L57*(L58/L59-1),0))</f>
        <v>#DIV/0!</v>
      </c>
      <c r="O60" s="1874" t="s">
        <v>1041</v>
      </c>
      <c r="P60" s="1865" t="s">
        <v>1555</v>
      </c>
      <c r="Q60" s="1866" t="e">
        <f ca="1">L58</f>
        <v>#DIV/0!</v>
      </c>
      <c r="R60" s="1866" t="s">
        <v>1556</v>
      </c>
    </row>
    <row r="61" spans="1:18" s="1822" customFormat="1" ht="13.8"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8"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8"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8"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2"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24.6"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2"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8" thickBot="1">
      <c r="A69" s="1152"/>
      <c r="B69" s="1153"/>
      <c r="C69" s="351"/>
      <c r="D69" s="1171" t="s">
        <v>1461</v>
      </c>
      <c r="E69" s="1151" t="s">
        <v>1462</v>
      </c>
      <c r="F69" s="379">
        <f ca="1">F41</f>
        <v>0</v>
      </c>
      <c r="O69" s="1874" t="s">
        <v>1045</v>
      </c>
      <c r="P69" s="1913" t="s">
        <v>1572</v>
      </c>
      <c r="Q69" s="1866">
        <f ca="1">C39</f>
        <v>0</v>
      </c>
      <c r="R69" s="1866" t="s">
        <v>1517</v>
      </c>
    </row>
    <row r="70" spans="1:18" s="1822" customFormat="1" ht="13.8" thickBot="1">
      <c r="A70" s="1155"/>
      <c r="B70" s="1156"/>
      <c r="C70" s="355"/>
      <c r="D70" s="1167"/>
      <c r="E70" s="1151" t="s">
        <v>1465</v>
      </c>
      <c r="F70" s="1257">
        <f ca="1">F42</f>
        <v>0</v>
      </c>
      <c r="O70" s="1874" t="s">
        <v>1046</v>
      </c>
      <c r="P70" s="1913" t="s">
        <v>1573</v>
      </c>
      <c r="Q70" s="1866">
        <f ca="1">C13</f>
        <v>0</v>
      </c>
      <c r="R70" s="1866" t="s">
        <v>1517</v>
      </c>
    </row>
    <row r="71" spans="1:18" s="1822" customFormat="1" ht="13.8"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#DIV/0!</v>
      </c>
      <c r="R73" s="1866" t="s">
        <v>1556</v>
      </c>
    </row>
    <row r="74" spans="1:18" ht="13.8"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8"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xr:uid="{00000000-0002-0000-2400-000000000000}">
      <formula1>"比较法,基准地价,收益还原"</formula1>
    </dataValidation>
    <dataValidation type="list" allowBlank="1" showInputMessage="1" showErrorMessage="1" sqref="J56" xr:uid="{00000000-0002-0000-2400-000001000000}">
      <formula1>判定</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C1" xr:uid="{00000000-0002-0000-2400-000004000000}">
      <formula1>项目类型</formula1>
    </dataValidation>
    <dataValidation type="list" allowBlank="1" showInputMessage="1" showErrorMessage="1" sqref="D33 D61"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F10 F53 M10"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3.2"/>
  <cols>
    <col min="1" max="1" width="13.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63" t="s">
        <v>2983</v>
      </c>
      <c r="D1" s="3764"/>
      <c r="E1" s="3764"/>
      <c r="F1" s="3764"/>
      <c r="G1" s="3764"/>
      <c r="H1" s="3764"/>
      <c r="I1" s="3764"/>
      <c r="J1" s="3764"/>
      <c r="K1" s="3764"/>
      <c r="L1" s="3764"/>
      <c r="M1" s="3764"/>
      <c r="N1" s="3764"/>
      <c r="O1" s="3764"/>
      <c r="P1" s="3764"/>
      <c r="Q1" s="3764"/>
      <c r="R1" s="3764"/>
      <c r="S1" s="3765"/>
      <c r="T1" s="1186" t="s">
        <v>2856</v>
      </c>
    </row>
    <row r="2" spans="1:45" s="705" customFormat="1" ht="39.6">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8"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6.4">
      <c r="A5" s="1197"/>
      <c r="B5" s="1749" t="str">
        <f>'[4]比较法-办公'!B123</f>
        <v>内部装修</v>
      </c>
      <c r="C5" s="1198" t="str">
        <f>'[4]比较法-办公'!C123</f>
        <v>精装修</v>
      </c>
      <c r="D5" s="1198" t="str">
        <f>'[4]比较法-办公'!D123</f>
        <v>普装</v>
      </c>
      <c r="E5" s="1198" t="str">
        <f>'[4]比较法-办公'!E123</f>
        <v>简装</v>
      </c>
      <c r="F5" s="1198" t="str">
        <f>'[4]比较法-办公'!F123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8"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8"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8"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8"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8"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8"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5" thickTop="1">
      <c r="A17" s="2879" t="s">
        <v>2989</v>
      </c>
      <c r="B17" s="2880" t="s">
        <v>2990</v>
      </c>
      <c r="C17" s="2969" t="s">
        <v>3115</v>
      </c>
      <c r="D17" s="2969" t="s">
        <v>3116</v>
      </c>
      <c r="E17" s="2969"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8"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2" thickBot="1">
      <c r="A20" s="712" t="s">
        <v>2992</v>
      </c>
      <c r="B20" s="338">
        <f>IF(D20="——",S22,S22-F20)</f>
        <v>66873</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6">
      <c r="A21" s="712" t="s">
        <v>2994</v>
      </c>
      <c r="B21" s="338">
        <f>R22</f>
        <v>41389</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593" t="s">
        <v>33</v>
      </c>
      <c r="D22" s="3594"/>
      <c r="E22" s="3594"/>
      <c r="F22" s="3594"/>
      <c r="G22" s="3594"/>
      <c r="H22" s="3594"/>
      <c r="I22" s="3594"/>
      <c r="J22" s="3594"/>
      <c r="K22" s="3594"/>
      <c r="L22" s="3594"/>
      <c r="M22" s="3594"/>
      <c r="N22" s="3594"/>
      <c r="O22" s="3594"/>
      <c r="P22" s="3594"/>
      <c r="Q22" s="3762"/>
      <c r="R22" s="713">
        <f>ROUND(S22*10000/B22,0)</f>
        <v>41389</v>
      </c>
      <c r="S22" s="24">
        <f>SUM(S24:S10000)</f>
        <v>66873</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3145</v>
      </c>
      <c r="E24" s="715">
        <v>1</v>
      </c>
      <c r="F24" s="716"/>
      <c r="G24" s="715">
        <v>1</v>
      </c>
      <c r="H24" s="716"/>
      <c r="I24" s="715">
        <v>1</v>
      </c>
      <c r="J24" s="716"/>
      <c r="K24" s="715">
        <v>1</v>
      </c>
      <c r="L24" s="716"/>
      <c r="M24" s="715">
        <v>1</v>
      </c>
      <c r="N24" s="716"/>
      <c r="O24" s="715">
        <v>1</v>
      </c>
      <c r="P24" s="716" t="s">
        <v>3142</v>
      </c>
      <c r="Q24" s="715">
        <v>1</v>
      </c>
      <c r="R24" s="717">
        <f>'比较法-办公'!B3</f>
        <v>39114</v>
      </c>
      <c r="S24" s="715">
        <f t="shared" ref="S24:S87" si="5">ROUND(R24*B24/10000,0)</f>
        <v>628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f>IF(B25="",0,ROUND($R$24*C25*E25*G25*I25*K25*M25*O25*Q25,0))</f>
        <v>39114</v>
      </c>
      <c r="S25" s="361">
        <f t="shared" si="5"/>
        <v>595</v>
      </c>
    </row>
    <row r="26" spans="1:45">
      <c r="A26" s="3007" t="str">
        <f>面积表!D18</f>
        <v>503</v>
      </c>
      <c r="B26" s="2953">
        <f>面积表!I18</f>
        <v>152</v>
      </c>
      <c r="C26" s="24">
        <f t="shared" ref="C26:C89" si="6">IF(B26="",1,(LOOKUP(B26,$3:$3,$4:$4)-LOOKUP($B$24,$3:$3,$4:$4)+100)/100)</f>
        <v>1</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f t="shared" ref="R26:R89" si="14">IF(B26="",0,ROUND($R$24*C26*E26*G26*I26*K26*M26*O26*Q26,0))</f>
        <v>39114</v>
      </c>
      <c r="S26" s="361">
        <f t="shared" si="5"/>
        <v>595</v>
      </c>
    </row>
    <row r="27" spans="1:45">
      <c r="A27" s="3007" t="str">
        <f>面积表!D19</f>
        <v>504</v>
      </c>
      <c r="B27" s="2953">
        <f>面积表!I19</f>
        <v>152</v>
      </c>
      <c r="C27" s="24">
        <f t="shared" si="6"/>
        <v>1</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f t="shared" si="14"/>
        <v>39114</v>
      </c>
      <c r="S27" s="361">
        <f t="shared" si="5"/>
        <v>595</v>
      </c>
    </row>
    <row r="28" spans="1:45">
      <c r="A28" s="3007" t="str">
        <f>面积表!D20</f>
        <v>505</v>
      </c>
      <c r="B28" s="2953">
        <f>面积表!I20</f>
        <v>152</v>
      </c>
      <c r="C28" s="24">
        <f t="shared" si="6"/>
        <v>1</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f t="shared" si="14"/>
        <v>39114</v>
      </c>
      <c r="S28" s="361">
        <f t="shared" si="5"/>
        <v>595</v>
      </c>
    </row>
    <row r="29" spans="1:45">
      <c r="A29" s="3007" t="str">
        <f>面积表!D21</f>
        <v>506</v>
      </c>
      <c r="B29" s="2953">
        <f>面积表!I21</f>
        <v>208.31</v>
      </c>
      <c r="C29" s="24">
        <f t="shared" si="6"/>
        <v>1</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f t="shared" si="14"/>
        <v>39114</v>
      </c>
      <c r="S29" s="361">
        <f t="shared" si="5"/>
        <v>815</v>
      </c>
    </row>
    <row r="30" spans="1:45">
      <c r="A30" s="3007" t="str">
        <f>面积表!D22</f>
        <v>507</v>
      </c>
      <c r="B30" s="2953">
        <f>面积表!I22</f>
        <v>222.93</v>
      </c>
      <c r="C30" s="24">
        <f t="shared" si="6"/>
        <v>1</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f t="shared" si="14"/>
        <v>39114</v>
      </c>
      <c r="S30" s="361">
        <f t="shared" si="5"/>
        <v>872</v>
      </c>
    </row>
    <row r="31" spans="1:45">
      <c r="A31" s="3007" t="str">
        <f>面积表!D23</f>
        <v>508</v>
      </c>
      <c r="B31" s="2953">
        <f>面积表!I23</f>
        <v>152.03</v>
      </c>
      <c r="C31" s="24">
        <f t="shared" si="6"/>
        <v>1</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f t="shared" si="14"/>
        <v>39114</v>
      </c>
      <c r="S31" s="361">
        <f t="shared" si="5"/>
        <v>595</v>
      </c>
    </row>
    <row r="32" spans="1:45">
      <c r="A32" s="3007" t="str">
        <f>面积表!D24</f>
        <v>509</v>
      </c>
      <c r="B32" s="2953">
        <f>面积表!I24</f>
        <v>116.9</v>
      </c>
      <c r="C32" s="24">
        <f t="shared" si="6"/>
        <v>1</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f t="shared" si="14"/>
        <v>39114</v>
      </c>
      <c r="S32" s="361">
        <f t="shared" si="5"/>
        <v>457</v>
      </c>
    </row>
    <row r="33" spans="1:19">
      <c r="A33" s="3007" t="str">
        <f>面积表!D25</f>
        <v>601</v>
      </c>
      <c r="B33" s="2953">
        <f>面积表!I25</f>
        <v>160.65</v>
      </c>
      <c r="C33" s="24">
        <f t="shared" si="6"/>
        <v>1</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f t="shared" si="14"/>
        <v>40679</v>
      </c>
      <c r="S33" s="361">
        <f t="shared" si="5"/>
        <v>654</v>
      </c>
    </row>
    <row r="34" spans="1:19">
      <c r="A34" s="3007" t="str">
        <f>面积表!D26</f>
        <v>602</v>
      </c>
      <c r="B34" s="2953">
        <f>面积表!I26</f>
        <v>152</v>
      </c>
      <c r="C34" s="24">
        <f t="shared" si="6"/>
        <v>1</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f t="shared" si="14"/>
        <v>40679</v>
      </c>
      <c r="S34" s="361">
        <f t="shared" si="5"/>
        <v>618</v>
      </c>
    </row>
    <row r="35" spans="1:19">
      <c r="A35" s="3007" t="str">
        <f>面积表!D27</f>
        <v>603</v>
      </c>
      <c r="B35" s="2953">
        <f>面积表!I27</f>
        <v>152</v>
      </c>
      <c r="C35" s="24">
        <f t="shared" si="6"/>
        <v>1</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f t="shared" si="14"/>
        <v>40679</v>
      </c>
      <c r="S35" s="361">
        <f t="shared" si="5"/>
        <v>618</v>
      </c>
    </row>
    <row r="36" spans="1:19">
      <c r="A36" s="3007" t="str">
        <f>面积表!D28</f>
        <v>604</v>
      </c>
      <c r="B36" s="2953">
        <f>面积表!I28</f>
        <v>152</v>
      </c>
      <c r="C36" s="24">
        <f t="shared" si="6"/>
        <v>1</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f t="shared" si="14"/>
        <v>40679</v>
      </c>
      <c r="S36" s="361">
        <f t="shared" si="5"/>
        <v>618</v>
      </c>
    </row>
    <row r="37" spans="1:19">
      <c r="A37" s="3007" t="str">
        <f>面积表!D29</f>
        <v>605</v>
      </c>
      <c r="B37" s="2953">
        <f>面积表!I29</f>
        <v>152</v>
      </c>
      <c r="C37" s="24">
        <f t="shared" si="6"/>
        <v>1</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f t="shared" si="14"/>
        <v>40679</v>
      </c>
      <c r="S37" s="361">
        <f t="shared" si="5"/>
        <v>618</v>
      </c>
    </row>
    <row r="38" spans="1:19">
      <c r="A38" s="3007" t="str">
        <f>面积表!D30</f>
        <v>606</v>
      </c>
      <c r="B38" s="2953">
        <f>面积表!I30</f>
        <v>208.31</v>
      </c>
      <c r="C38" s="24">
        <f t="shared" si="6"/>
        <v>1</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f t="shared" si="14"/>
        <v>40679</v>
      </c>
      <c r="S38" s="361">
        <f t="shared" si="5"/>
        <v>847</v>
      </c>
    </row>
    <row r="39" spans="1:19">
      <c r="A39" s="3007" t="str">
        <f>面积表!D31</f>
        <v>607</v>
      </c>
      <c r="B39" s="2953">
        <f>面积表!I31</f>
        <v>222.93</v>
      </c>
      <c r="C39" s="24">
        <f t="shared" si="6"/>
        <v>1</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f t="shared" si="14"/>
        <v>40679</v>
      </c>
      <c r="S39" s="361">
        <f t="shared" si="5"/>
        <v>907</v>
      </c>
    </row>
    <row r="40" spans="1:19">
      <c r="A40" s="3007" t="str">
        <f>面积表!D32</f>
        <v>608</v>
      </c>
      <c r="B40" s="2953">
        <f>面积表!I32</f>
        <v>152.03</v>
      </c>
      <c r="C40" s="24">
        <f t="shared" si="6"/>
        <v>1</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f t="shared" si="14"/>
        <v>40679</v>
      </c>
      <c r="S40" s="361">
        <f t="shared" si="5"/>
        <v>618</v>
      </c>
    </row>
    <row r="41" spans="1:19">
      <c r="A41" s="3007" t="str">
        <f>面积表!D33</f>
        <v>609</v>
      </c>
      <c r="B41" s="2953">
        <f>面积表!I33</f>
        <v>116.9</v>
      </c>
      <c r="C41" s="24">
        <f t="shared" si="6"/>
        <v>1</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f t="shared" si="14"/>
        <v>40679</v>
      </c>
      <c r="S41" s="361">
        <f t="shared" si="5"/>
        <v>476</v>
      </c>
    </row>
    <row r="42" spans="1:19">
      <c r="A42" s="3007" t="str">
        <f>面积表!D34</f>
        <v>701</v>
      </c>
      <c r="B42" s="2953">
        <f>面积表!I34</f>
        <v>160.65</v>
      </c>
      <c r="C42" s="24">
        <f t="shared" si="6"/>
        <v>1</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f t="shared" si="14"/>
        <v>40679</v>
      </c>
      <c r="S42" s="361">
        <f t="shared" si="5"/>
        <v>654</v>
      </c>
    </row>
    <row r="43" spans="1:19">
      <c r="A43" s="3007" t="str">
        <f>面积表!D35</f>
        <v>702</v>
      </c>
      <c r="B43" s="2953">
        <f>面积表!I35</f>
        <v>152</v>
      </c>
      <c r="C43" s="24">
        <f t="shared" si="6"/>
        <v>1</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f t="shared" si="14"/>
        <v>40679</v>
      </c>
      <c r="S43" s="361">
        <f t="shared" si="5"/>
        <v>618</v>
      </c>
    </row>
    <row r="44" spans="1:19">
      <c r="A44" s="3007" t="str">
        <f>面积表!D36</f>
        <v>703</v>
      </c>
      <c r="B44" s="2953">
        <f>面积表!I36</f>
        <v>152</v>
      </c>
      <c r="C44" s="24">
        <f t="shared" si="6"/>
        <v>1</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f t="shared" si="14"/>
        <v>40679</v>
      </c>
      <c r="S44" s="361">
        <f t="shared" si="5"/>
        <v>618</v>
      </c>
    </row>
    <row r="45" spans="1:19">
      <c r="A45" s="3007" t="str">
        <f>面积表!D37</f>
        <v>704</v>
      </c>
      <c r="B45" s="2953">
        <f>面积表!I37</f>
        <v>152</v>
      </c>
      <c r="C45" s="24">
        <f t="shared" si="6"/>
        <v>1</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f t="shared" si="14"/>
        <v>40679</v>
      </c>
      <c r="S45" s="361">
        <f t="shared" si="5"/>
        <v>618</v>
      </c>
    </row>
    <row r="46" spans="1:19">
      <c r="A46" s="3007" t="str">
        <f>面积表!D38</f>
        <v>705</v>
      </c>
      <c r="B46" s="2953">
        <f>面积表!I38</f>
        <v>152</v>
      </c>
      <c r="C46" s="24">
        <f t="shared" si="6"/>
        <v>1</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f t="shared" si="14"/>
        <v>40679</v>
      </c>
      <c r="S46" s="361">
        <f t="shared" si="5"/>
        <v>618</v>
      </c>
    </row>
    <row r="47" spans="1:19">
      <c r="A47" s="3007" t="str">
        <f>面积表!D39</f>
        <v>706</v>
      </c>
      <c r="B47" s="2953">
        <f>面积表!I39</f>
        <v>208.31</v>
      </c>
      <c r="C47" s="24">
        <f t="shared" si="6"/>
        <v>1</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f t="shared" si="14"/>
        <v>40679</v>
      </c>
      <c r="S47" s="361">
        <f t="shared" si="5"/>
        <v>847</v>
      </c>
    </row>
    <row r="48" spans="1:19">
      <c r="A48" s="3007" t="str">
        <f>面积表!D40</f>
        <v>707</v>
      </c>
      <c r="B48" s="2953">
        <f>面积表!I40</f>
        <v>222.93</v>
      </c>
      <c r="C48" s="24">
        <f t="shared" si="6"/>
        <v>1</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f t="shared" si="14"/>
        <v>40679</v>
      </c>
      <c r="S48" s="361">
        <f t="shared" si="5"/>
        <v>907</v>
      </c>
    </row>
    <row r="49" spans="1:19">
      <c r="A49" s="3007" t="str">
        <f>面积表!D41</f>
        <v>708</v>
      </c>
      <c r="B49" s="2953">
        <f>面积表!I41</f>
        <v>152.03</v>
      </c>
      <c r="C49" s="24">
        <f t="shared" si="6"/>
        <v>1</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f t="shared" si="14"/>
        <v>40679</v>
      </c>
      <c r="S49" s="361">
        <f t="shared" si="5"/>
        <v>618</v>
      </c>
    </row>
    <row r="50" spans="1:19">
      <c r="A50" s="3007" t="str">
        <f>面积表!D42</f>
        <v>709</v>
      </c>
      <c r="B50" s="2953">
        <f>面积表!I42</f>
        <v>116.9</v>
      </c>
      <c r="C50" s="24">
        <f t="shared" si="6"/>
        <v>1</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f t="shared" si="14"/>
        <v>40679</v>
      </c>
      <c r="S50" s="361">
        <f t="shared" si="5"/>
        <v>476</v>
      </c>
    </row>
    <row r="51" spans="1:19">
      <c r="A51" s="3007" t="str">
        <f>面积表!D43</f>
        <v>801</v>
      </c>
      <c r="B51" s="2953">
        <f>面积表!I43</f>
        <v>160.65</v>
      </c>
      <c r="C51" s="24">
        <f t="shared" si="6"/>
        <v>1</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f t="shared" si="14"/>
        <v>40679</v>
      </c>
      <c r="S51" s="361">
        <f t="shared" si="5"/>
        <v>654</v>
      </c>
    </row>
    <row r="52" spans="1:19">
      <c r="A52" s="3007" t="str">
        <f>面积表!D44</f>
        <v>802</v>
      </c>
      <c r="B52" s="2953">
        <f>面积表!I44</f>
        <v>152</v>
      </c>
      <c r="C52" s="24">
        <f t="shared" si="6"/>
        <v>1</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f t="shared" si="14"/>
        <v>40679</v>
      </c>
      <c r="S52" s="361">
        <f t="shared" si="5"/>
        <v>618</v>
      </c>
    </row>
    <row r="53" spans="1:19">
      <c r="A53" s="3007" t="str">
        <f>面积表!D45</f>
        <v>803</v>
      </c>
      <c r="B53" s="2953">
        <f>面积表!I45</f>
        <v>152</v>
      </c>
      <c r="C53" s="24">
        <f t="shared" si="6"/>
        <v>1</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f t="shared" si="14"/>
        <v>40679</v>
      </c>
      <c r="S53" s="361">
        <f t="shared" si="5"/>
        <v>618</v>
      </c>
    </row>
    <row r="54" spans="1:19">
      <c r="A54" s="3007" t="str">
        <f>面积表!D46</f>
        <v>804</v>
      </c>
      <c r="B54" s="2953">
        <f>面积表!I46</f>
        <v>152</v>
      </c>
      <c r="C54" s="24">
        <f t="shared" si="6"/>
        <v>1</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f t="shared" si="14"/>
        <v>40679</v>
      </c>
      <c r="S54" s="361">
        <f t="shared" si="5"/>
        <v>618</v>
      </c>
    </row>
    <row r="55" spans="1:19">
      <c r="A55" s="3007" t="str">
        <f>面积表!D47</f>
        <v>805</v>
      </c>
      <c r="B55" s="2953">
        <f>面积表!I47</f>
        <v>152</v>
      </c>
      <c r="C55" s="24">
        <f t="shared" si="6"/>
        <v>1</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f t="shared" si="14"/>
        <v>40679</v>
      </c>
      <c r="S55" s="361">
        <f t="shared" si="5"/>
        <v>618</v>
      </c>
    </row>
    <row r="56" spans="1:19">
      <c r="A56" s="3007" t="str">
        <f>面积表!D48</f>
        <v>806</v>
      </c>
      <c r="B56" s="2953">
        <f>面积表!I48</f>
        <v>208.31</v>
      </c>
      <c r="C56" s="24">
        <f t="shared" si="6"/>
        <v>1</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f t="shared" si="14"/>
        <v>40679</v>
      </c>
      <c r="S56" s="361">
        <f t="shared" si="5"/>
        <v>847</v>
      </c>
    </row>
    <row r="57" spans="1:19">
      <c r="A57" s="3007" t="str">
        <f>面积表!D49</f>
        <v>807</v>
      </c>
      <c r="B57" s="2953">
        <f>面积表!I49</f>
        <v>222.93</v>
      </c>
      <c r="C57" s="24">
        <f t="shared" si="6"/>
        <v>1</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f t="shared" si="14"/>
        <v>40679</v>
      </c>
      <c r="S57" s="361">
        <f t="shared" si="5"/>
        <v>907</v>
      </c>
    </row>
    <row r="58" spans="1:19">
      <c r="A58" s="3007" t="str">
        <f>面积表!D50</f>
        <v>808</v>
      </c>
      <c r="B58" s="2953">
        <f>面积表!I50</f>
        <v>152.03</v>
      </c>
      <c r="C58" s="24">
        <f t="shared" si="6"/>
        <v>1</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f t="shared" si="14"/>
        <v>40679</v>
      </c>
      <c r="S58" s="361">
        <f t="shared" si="5"/>
        <v>618</v>
      </c>
    </row>
    <row r="59" spans="1:19">
      <c r="A59" s="3007" t="str">
        <f>面积表!D51</f>
        <v>809</v>
      </c>
      <c r="B59" s="2953">
        <f>面积表!I51</f>
        <v>116.9</v>
      </c>
      <c r="C59" s="24">
        <f t="shared" si="6"/>
        <v>1</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f t="shared" si="14"/>
        <v>40679</v>
      </c>
      <c r="S59" s="361">
        <f t="shared" si="5"/>
        <v>476</v>
      </c>
    </row>
    <row r="60" spans="1:19">
      <c r="A60" s="3007" t="str">
        <f>面积表!D52</f>
        <v>901</v>
      </c>
      <c r="B60" s="2953">
        <f>面积表!I52</f>
        <v>160.65</v>
      </c>
      <c r="C60" s="24">
        <f t="shared" si="6"/>
        <v>1</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f t="shared" si="14"/>
        <v>40679</v>
      </c>
      <c r="S60" s="361">
        <f t="shared" si="5"/>
        <v>654</v>
      </c>
    </row>
    <row r="61" spans="1:19">
      <c r="A61" s="3007" t="str">
        <f>面积表!D53</f>
        <v>902</v>
      </c>
      <c r="B61" s="2953">
        <f>面积表!I53</f>
        <v>152</v>
      </c>
      <c r="C61" s="24">
        <f t="shared" si="6"/>
        <v>1</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f t="shared" si="14"/>
        <v>40679</v>
      </c>
      <c r="S61" s="361">
        <f t="shared" si="5"/>
        <v>618</v>
      </c>
    </row>
    <row r="62" spans="1:19">
      <c r="A62" s="3007" t="str">
        <f>面积表!D54</f>
        <v>903</v>
      </c>
      <c r="B62" s="2953">
        <f>面积表!I54</f>
        <v>152</v>
      </c>
      <c r="C62" s="24">
        <f t="shared" si="6"/>
        <v>1</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f t="shared" si="14"/>
        <v>40679</v>
      </c>
      <c r="S62" s="361">
        <f t="shared" si="5"/>
        <v>618</v>
      </c>
    </row>
    <row r="63" spans="1:19">
      <c r="A63" s="3007" t="str">
        <f>面积表!D55</f>
        <v>904</v>
      </c>
      <c r="B63" s="2953">
        <f>面积表!I55</f>
        <v>152</v>
      </c>
      <c r="C63" s="24">
        <f t="shared" si="6"/>
        <v>1</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f t="shared" si="14"/>
        <v>40679</v>
      </c>
      <c r="S63" s="361">
        <f t="shared" si="5"/>
        <v>618</v>
      </c>
    </row>
    <row r="64" spans="1:19">
      <c r="A64" s="3007" t="str">
        <f>面积表!D56</f>
        <v>905</v>
      </c>
      <c r="B64" s="2953">
        <f>面积表!I56</f>
        <v>152</v>
      </c>
      <c r="C64" s="24">
        <f t="shared" si="6"/>
        <v>1</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f t="shared" si="14"/>
        <v>40679</v>
      </c>
      <c r="S64" s="361">
        <f t="shared" si="5"/>
        <v>618</v>
      </c>
    </row>
    <row r="65" spans="1:19">
      <c r="A65" s="3007" t="str">
        <f>面积表!D57</f>
        <v>906</v>
      </c>
      <c r="B65" s="2953">
        <f>面积表!I57</f>
        <v>208.31</v>
      </c>
      <c r="C65" s="24">
        <f t="shared" si="6"/>
        <v>1</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f t="shared" si="14"/>
        <v>40679</v>
      </c>
      <c r="S65" s="361">
        <f t="shared" si="5"/>
        <v>847</v>
      </c>
    </row>
    <row r="66" spans="1:19">
      <c r="A66" s="3007" t="str">
        <f>面积表!D58</f>
        <v>907</v>
      </c>
      <c r="B66" s="2953">
        <f>面积表!I58</f>
        <v>222.93</v>
      </c>
      <c r="C66" s="24">
        <f t="shared" si="6"/>
        <v>1</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f t="shared" si="14"/>
        <v>40679</v>
      </c>
      <c r="S66" s="361">
        <f t="shared" si="5"/>
        <v>907</v>
      </c>
    </row>
    <row r="67" spans="1:19">
      <c r="A67" s="3007" t="str">
        <f>面积表!D59</f>
        <v>908</v>
      </c>
      <c r="B67" s="2953">
        <f>面积表!I59</f>
        <v>152.03</v>
      </c>
      <c r="C67" s="24">
        <f t="shared" si="6"/>
        <v>1</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f t="shared" si="14"/>
        <v>40679</v>
      </c>
      <c r="S67" s="361">
        <f t="shared" si="5"/>
        <v>618</v>
      </c>
    </row>
    <row r="68" spans="1:19">
      <c r="A68" s="3007" t="str">
        <f>面积表!D60</f>
        <v>909</v>
      </c>
      <c r="B68" s="2953">
        <f>面积表!I60</f>
        <v>116.9</v>
      </c>
      <c r="C68" s="24">
        <f t="shared" si="6"/>
        <v>1</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f t="shared" si="14"/>
        <v>40679</v>
      </c>
      <c r="S68" s="361">
        <f t="shared" si="5"/>
        <v>476</v>
      </c>
    </row>
    <row r="69" spans="1:19">
      <c r="A69" s="3007" t="str">
        <f>面积表!D61</f>
        <v>1001</v>
      </c>
      <c r="B69" s="2953">
        <f>面积表!I61</f>
        <v>160.65</v>
      </c>
      <c r="C69" s="24">
        <f t="shared" si="6"/>
        <v>1</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f t="shared" si="14"/>
        <v>42243</v>
      </c>
      <c r="S69" s="361">
        <f t="shared" si="5"/>
        <v>679</v>
      </c>
    </row>
    <row r="70" spans="1:19">
      <c r="A70" s="3007" t="str">
        <f>面积表!D62</f>
        <v>1002</v>
      </c>
      <c r="B70" s="2953">
        <f>面积表!I62</f>
        <v>152</v>
      </c>
      <c r="C70" s="24">
        <f t="shared" si="6"/>
        <v>1</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f t="shared" si="14"/>
        <v>42243</v>
      </c>
      <c r="S70" s="361">
        <f t="shared" si="5"/>
        <v>642</v>
      </c>
    </row>
    <row r="71" spans="1:19">
      <c r="A71" s="3007" t="str">
        <f>面积表!D63</f>
        <v>1003</v>
      </c>
      <c r="B71" s="2953">
        <f>面积表!I63</f>
        <v>152</v>
      </c>
      <c r="C71" s="24">
        <f t="shared" si="6"/>
        <v>1</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f t="shared" si="14"/>
        <v>42243</v>
      </c>
      <c r="S71" s="361">
        <f t="shared" si="5"/>
        <v>642</v>
      </c>
    </row>
    <row r="72" spans="1:19">
      <c r="A72" s="3007" t="str">
        <f>面积表!D64</f>
        <v>1004</v>
      </c>
      <c r="B72" s="2953">
        <f>面积表!I64</f>
        <v>152</v>
      </c>
      <c r="C72" s="24">
        <f t="shared" si="6"/>
        <v>1</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f t="shared" si="14"/>
        <v>42243</v>
      </c>
      <c r="S72" s="361">
        <f t="shared" si="5"/>
        <v>642</v>
      </c>
    </row>
    <row r="73" spans="1:19">
      <c r="A73" s="3007" t="str">
        <f>面积表!D65</f>
        <v>1005</v>
      </c>
      <c r="B73" s="2953">
        <f>面积表!I65</f>
        <v>152</v>
      </c>
      <c r="C73" s="24">
        <f t="shared" si="6"/>
        <v>1</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f t="shared" si="14"/>
        <v>42243</v>
      </c>
      <c r="S73" s="361">
        <f t="shared" si="5"/>
        <v>642</v>
      </c>
    </row>
    <row r="74" spans="1:19">
      <c r="A74" s="3007" t="str">
        <f>面积表!D66</f>
        <v>1006</v>
      </c>
      <c r="B74" s="2953">
        <f>面积表!I66</f>
        <v>208.31</v>
      </c>
      <c r="C74" s="24">
        <f t="shared" si="6"/>
        <v>1</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f t="shared" si="14"/>
        <v>42243</v>
      </c>
      <c r="S74" s="361">
        <f t="shared" si="5"/>
        <v>880</v>
      </c>
    </row>
    <row r="75" spans="1:19">
      <c r="A75" s="3007" t="str">
        <f>面积表!D67</f>
        <v>1007</v>
      </c>
      <c r="B75" s="2953">
        <f>面积表!I67</f>
        <v>222.93</v>
      </c>
      <c r="C75" s="24">
        <f t="shared" si="6"/>
        <v>1</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f t="shared" si="14"/>
        <v>42243</v>
      </c>
      <c r="S75" s="361">
        <f t="shared" si="5"/>
        <v>942</v>
      </c>
    </row>
    <row r="76" spans="1:19">
      <c r="A76" s="3007" t="str">
        <f>面积表!D68</f>
        <v>1008</v>
      </c>
      <c r="B76" s="2953">
        <f>面积表!I68</f>
        <v>152.03</v>
      </c>
      <c r="C76" s="24">
        <f t="shared" si="6"/>
        <v>1</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f t="shared" si="14"/>
        <v>42243</v>
      </c>
      <c r="S76" s="361">
        <f t="shared" si="5"/>
        <v>642</v>
      </c>
    </row>
    <row r="77" spans="1:19">
      <c r="A77" s="3007" t="str">
        <f>面积表!D69</f>
        <v>1009</v>
      </c>
      <c r="B77" s="2953">
        <f>面积表!I69</f>
        <v>116.9</v>
      </c>
      <c r="C77" s="24">
        <f t="shared" si="6"/>
        <v>1</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f t="shared" si="14"/>
        <v>42243</v>
      </c>
      <c r="S77" s="361">
        <f t="shared" si="5"/>
        <v>494</v>
      </c>
    </row>
    <row r="78" spans="1:19">
      <c r="A78" s="3007" t="str">
        <f>面积表!D70</f>
        <v>1101</v>
      </c>
      <c r="B78" s="2953">
        <f>面积表!I70</f>
        <v>160.65</v>
      </c>
      <c r="C78" s="24">
        <f t="shared" si="6"/>
        <v>1</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f t="shared" si="14"/>
        <v>42243</v>
      </c>
      <c r="S78" s="361">
        <f t="shared" si="5"/>
        <v>679</v>
      </c>
    </row>
    <row r="79" spans="1:19">
      <c r="A79" s="3007" t="str">
        <f>面积表!D71</f>
        <v>1102</v>
      </c>
      <c r="B79" s="2953">
        <f>面积表!I71</f>
        <v>152</v>
      </c>
      <c r="C79" s="24">
        <f t="shared" si="6"/>
        <v>1</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f t="shared" si="14"/>
        <v>42243</v>
      </c>
      <c r="S79" s="361">
        <f t="shared" si="5"/>
        <v>642</v>
      </c>
    </row>
    <row r="80" spans="1:19">
      <c r="A80" s="3007" t="str">
        <f>面积表!D72</f>
        <v>1103</v>
      </c>
      <c r="B80" s="2953">
        <f>面积表!I72</f>
        <v>152</v>
      </c>
      <c r="C80" s="24">
        <f t="shared" si="6"/>
        <v>1</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f t="shared" si="14"/>
        <v>42243</v>
      </c>
      <c r="S80" s="361">
        <f t="shared" si="5"/>
        <v>642</v>
      </c>
    </row>
    <row r="81" spans="1:19">
      <c r="A81" s="3007" t="str">
        <f>面积表!D73</f>
        <v>1104</v>
      </c>
      <c r="B81" s="2953">
        <f>面积表!I73</f>
        <v>152</v>
      </c>
      <c r="C81" s="24">
        <f t="shared" si="6"/>
        <v>1</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f t="shared" si="14"/>
        <v>42243</v>
      </c>
      <c r="S81" s="361">
        <f t="shared" si="5"/>
        <v>642</v>
      </c>
    </row>
    <row r="82" spans="1:19">
      <c r="A82" s="3007" t="str">
        <f>面积表!D74</f>
        <v>1105</v>
      </c>
      <c r="B82" s="2953">
        <f>面积表!I74</f>
        <v>152</v>
      </c>
      <c r="C82" s="24">
        <f t="shared" si="6"/>
        <v>1</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f t="shared" si="14"/>
        <v>42243</v>
      </c>
      <c r="S82" s="361">
        <f t="shared" si="5"/>
        <v>642</v>
      </c>
    </row>
    <row r="83" spans="1:19">
      <c r="A83" s="3007" t="str">
        <f>面积表!D75</f>
        <v>1106</v>
      </c>
      <c r="B83" s="2953">
        <f>面积表!I75</f>
        <v>208.31</v>
      </c>
      <c r="C83" s="24">
        <f t="shared" si="6"/>
        <v>1</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f t="shared" si="14"/>
        <v>42243</v>
      </c>
      <c r="S83" s="361">
        <f t="shared" si="5"/>
        <v>880</v>
      </c>
    </row>
    <row r="84" spans="1:19">
      <c r="A84" s="3007" t="str">
        <f>面积表!D76</f>
        <v>1107</v>
      </c>
      <c r="B84" s="2953">
        <f>面积表!I76</f>
        <v>222.93</v>
      </c>
      <c r="C84" s="24">
        <f t="shared" si="6"/>
        <v>1</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f t="shared" si="14"/>
        <v>42243</v>
      </c>
      <c r="S84" s="361">
        <f t="shared" si="5"/>
        <v>942</v>
      </c>
    </row>
    <row r="85" spans="1:19">
      <c r="A85" s="3007" t="str">
        <f>面积表!D77</f>
        <v>1108</v>
      </c>
      <c r="B85" s="2953">
        <f>面积表!I77</f>
        <v>152.03</v>
      </c>
      <c r="C85" s="24">
        <f t="shared" si="6"/>
        <v>1</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f t="shared" si="14"/>
        <v>42243</v>
      </c>
      <c r="S85" s="361">
        <f t="shared" si="5"/>
        <v>642</v>
      </c>
    </row>
    <row r="86" spans="1:19">
      <c r="A86" s="3007" t="str">
        <f>面积表!D78</f>
        <v>1109</v>
      </c>
      <c r="B86" s="2953">
        <f>面积表!I78</f>
        <v>116.9</v>
      </c>
      <c r="C86" s="24">
        <f t="shared" si="6"/>
        <v>1</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f t="shared" si="14"/>
        <v>42243</v>
      </c>
      <c r="S86" s="361">
        <f t="shared" si="5"/>
        <v>494</v>
      </c>
    </row>
    <row r="87" spans="1:19">
      <c r="A87" s="3007" t="str">
        <f>面积表!D79</f>
        <v>1201</v>
      </c>
      <c r="B87" s="2953">
        <f>面积表!I79</f>
        <v>160.65</v>
      </c>
      <c r="C87" s="24">
        <f t="shared" si="6"/>
        <v>1</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f t="shared" si="14"/>
        <v>42243</v>
      </c>
      <c r="S87" s="361">
        <f t="shared" si="5"/>
        <v>679</v>
      </c>
    </row>
    <row r="88" spans="1:19">
      <c r="A88" s="3007" t="str">
        <f>面积表!D80</f>
        <v>1202</v>
      </c>
      <c r="B88" s="2953">
        <f>面积表!I80</f>
        <v>152</v>
      </c>
      <c r="C88" s="24">
        <f t="shared" si="6"/>
        <v>1</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f t="shared" si="14"/>
        <v>42243</v>
      </c>
      <c r="S88" s="361">
        <f t="shared" ref="S88:S151" si="15">ROUND(R88*B88/10000,0)</f>
        <v>642</v>
      </c>
    </row>
    <row r="89" spans="1:19">
      <c r="A89" s="3007" t="str">
        <f>面积表!D81</f>
        <v>1203</v>
      </c>
      <c r="B89" s="2953">
        <f>面积表!I81</f>
        <v>152</v>
      </c>
      <c r="C89" s="24">
        <f t="shared" si="6"/>
        <v>1</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f t="shared" si="14"/>
        <v>42243</v>
      </c>
      <c r="S89" s="361">
        <f t="shared" si="15"/>
        <v>642</v>
      </c>
    </row>
    <row r="90" spans="1:19">
      <c r="A90" s="3007" t="str">
        <f>面积表!D82</f>
        <v>1204</v>
      </c>
      <c r="B90" s="2953">
        <f>面积表!I82</f>
        <v>152</v>
      </c>
      <c r="C90" s="24">
        <f t="shared" ref="C90:C153" si="16">IF(B90="",1,(LOOKUP(B90,$3:$3,$4:$4)-LOOKUP($B$24,$3:$3,$4:$4)+100)/100)</f>
        <v>1</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f t="shared" ref="R90:R153" si="24">IF(B90="",0,ROUND($R$24*C90*E90*G90*I90*K90*M90*O90*Q90,0))</f>
        <v>42243</v>
      </c>
      <c r="S90" s="361">
        <f t="shared" si="15"/>
        <v>642</v>
      </c>
    </row>
    <row r="91" spans="1:19">
      <c r="A91" s="3007" t="str">
        <f>面积表!D83</f>
        <v>1205</v>
      </c>
      <c r="B91" s="2953">
        <f>面积表!I83</f>
        <v>152</v>
      </c>
      <c r="C91" s="24">
        <f t="shared" si="16"/>
        <v>1</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f t="shared" si="24"/>
        <v>42243</v>
      </c>
      <c r="S91" s="361">
        <f t="shared" si="15"/>
        <v>642</v>
      </c>
    </row>
    <row r="92" spans="1:19">
      <c r="A92" s="3007" t="str">
        <f>面积表!D84</f>
        <v>1206</v>
      </c>
      <c r="B92" s="2953">
        <f>面积表!I84</f>
        <v>208.31</v>
      </c>
      <c r="C92" s="24">
        <f t="shared" si="16"/>
        <v>1</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f t="shared" si="24"/>
        <v>42243</v>
      </c>
      <c r="S92" s="361">
        <f t="shared" si="15"/>
        <v>880</v>
      </c>
    </row>
    <row r="93" spans="1:19">
      <c r="A93" s="3007" t="str">
        <f>面积表!D85</f>
        <v>1207</v>
      </c>
      <c r="B93" s="2953">
        <f>面积表!I85</f>
        <v>222.93</v>
      </c>
      <c r="C93" s="24">
        <f t="shared" si="16"/>
        <v>1</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f t="shared" si="24"/>
        <v>42243</v>
      </c>
      <c r="S93" s="361">
        <f t="shared" si="15"/>
        <v>942</v>
      </c>
    </row>
    <row r="94" spans="1:19">
      <c r="A94" s="3007" t="str">
        <f>面积表!D86</f>
        <v>1208</v>
      </c>
      <c r="B94" s="2953">
        <f>面积表!I86</f>
        <v>152.03</v>
      </c>
      <c r="C94" s="24">
        <f t="shared" si="16"/>
        <v>1</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f t="shared" si="24"/>
        <v>42243</v>
      </c>
      <c r="S94" s="361">
        <f t="shared" si="15"/>
        <v>642</v>
      </c>
    </row>
    <row r="95" spans="1:19">
      <c r="A95" s="3007" t="str">
        <f>面积表!D87</f>
        <v>1209</v>
      </c>
      <c r="B95" s="2953">
        <f>面积表!I87</f>
        <v>116.9</v>
      </c>
      <c r="C95" s="24">
        <f t="shared" si="16"/>
        <v>1</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f t="shared" si="24"/>
        <v>42243</v>
      </c>
      <c r="S95" s="361">
        <f t="shared" si="15"/>
        <v>494</v>
      </c>
    </row>
    <row r="96" spans="1:19">
      <c r="A96" s="3007" t="str">
        <f>面积表!D88</f>
        <v>1301</v>
      </c>
      <c r="B96" s="2953">
        <f>面积表!I88</f>
        <v>160.65</v>
      </c>
      <c r="C96" s="24">
        <f t="shared" si="16"/>
        <v>1</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f t="shared" si="24"/>
        <v>42243</v>
      </c>
      <c r="S96" s="361">
        <f t="shared" si="15"/>
        <v>679</v>
      </c>
    </row>
    <row r="97" spans="1:19">
      <c r="A97" s="3007" t="str">
        <f>面积表!D89</f>
        <v>1302</v>
      </c>
      <c r="B97" s="2953">
        <f>面积表!I89</f>
        <v>152</v>
      </c>
      <c r="C97" s="24">
        <f t="shared" si="16"/>
        <v>1</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f t="shared" si="24"/>
        <v>42243</v>
      </c>
      <c r="S97" s="361">
        <f t="shared" si="15"/>
        <v>642</v>
      </c>
    </row>
    <row r="98" spans="1:19">
      <c r="A98" s="3007" t="str">
        <f>面积表!D90</f>
        <v>1303</v>
      </c>
      <c r="B98" s="2953">
        <f>面积表!I90</f>
        <v>152</v>
      </c>
      <c r="C98" s="24">
        <f t="shared" si="16"/>
        <v>1</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f t="shared" si="24"/>
        <v>42243</v>
      </c>
      <c r="S98" s="361">
        <f t="shared" si="15"/>
        <v>642</v>
      </c>
    </row>
    <row r="99" spans="1:19">
      <c r="A99" s="3007" t="str">
        <f>面积表!D91</f>
        <v>1304</v>
      </c>
      <c r="B99" s="2953">
        <f>面积表!I91</f>
        <v>152</v>
      </c>
      <c r="C99" s="24">
        <f t="shared" si="16"/>
        <v>1</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f t="shared" si="24"/>
        <v>42243</v>
      </c>
      <c r="S99" s="361">
        <f t="shared" si="15"/>
        <v>642</v>
      </c>
    </row>
    <row r="100" spans="1:19">
      <c r="A100" s="3007" t="str">
        <f>面积表!D92</f>
        <v>1305</v>
      </c>
      <c r="B100" s="2953">
        <f>面积表!I92</f>
        <v>152</v>
      </c>
      <c r="C100" s="24">
        <f t="shared" si="16"/>
        <v>1</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f t="shared" si="24"/>
        <v>42243</v>
      </c>
      <c r="S100" s="361">
        <f t="shared" si="15"/>
        <v>642</v>
      </c>
    </row>
    <row r="101" spans="1:19">
      <c r="A101" s="3007" t="str">
        <f>面积表!D93</f>
        <v>1306</v>
      </c>
      <c r="B101" s="2953">
        <f>面积表!I93</f>
        <v>208.31</v>
      </c>
      <c r="C101" s="24">
        <f t="shared" si="16"/>
        <v>1</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f t="shared" si="24"/>
        <v>42243</v>
      </c>
      <c r="S101" s="361">
        <f t="shared" si="15"/>
        <v>880</v>
      </c>
    </row>
    <row r="102" spans="1:19">
      <c r="A102" s="3007" t="str">
        <f>面积表!D94</f>
        <v>1307</v>
      </c>
      <c r="B102" s="2953">
        <f>面积表!I94</f>
        <v>222.93</v>
      </c>
      <c r="C102" s="24">
        <f t="shared" si="16"/>
        <v>1</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f t="shared" si="24"/>
        <v>42243</v>
      </c>
      <c r="S102" s="361">
        <f t="shared" si="15"/>
        <v>942</v>
      </c>
    </row>
    <row r="103" spans="1:19">
      <c r="A103" s="3007" t="str">
        <f>面积表!D95</f>
        <v>1308</v>
      </c>
      <c r="B103" s="2953">
        <f>面积表!I95</f>
        <v>152.03</v>
      </c>
      <c r="C103" s="24">
        <f t="shared" si="16"/>
        <v>1</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f t="shared" si="24"/>
        <v>42243</v>
      </c>
      <c r="S103" s="361">
        <f t="shared" si="15"/>
        <v>642</v>
      </c>
    </row>
    <row r="104" spans="1:19">
      <c r="A104" s="3007" t="str">
        <f>面积表!D96</f>
        <v>1309</v>
      </c>
      <c r="B104" s="2953">
        <f>面积表!I96</f>
        <v>116.9</v>
      </c>
      <c r="C104" s="24">
        <f t="shared" si="16"/>
        <v>1</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f t="shared" si="24"/>
        <v>42243</v>
      </c>
      <c r="S104" s="361">
        <f t="shared" si="15"/>
        <v>494</v>
      </c>
    </row>
    <row r="105" spans="1:19">
      <c r="A105" s="3007" t="str">
        <f>面积表!D97</f>
        <v>1401</v>
      </c>
      <c r="B105" s="2953">
        <f>面积表!I97</f>
        <v>160.65</v>
      </c>
      <c r="C105" s="24">
        <f t="shared" si="16"/>
        <v>1</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f t="shared" si="24"/>
        <v>42243</v>
      </c>
      <c r="S105" s="361">
        <f t="shared" si="15"/>
        <v>679</v>
      </c>
    </row>
    <row r="106" spans="1:19">
      <c r="A106" s="3007" t="str">
        <f>面积表!D98</f>
        <v>1402</v>
      </c>
      <c r="B106" s="2953">
        <f>面积表!I98</f>
        <v>152</v>
      </c>
      <c r="C106" s="24">
        <f t="shared" si="16"/>
        <v>1</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f t="shared" si="24"/>
        <v>42243</v>
      </c>
      <c r="S106" s="361">
        <f t="shared" si="15"/>
        <v>642</v>
      </c>
    </row>
    <row r="107" spans="1:19">
      <c r="A107" s="3007" t="str">
        <f>面积表!D99</f>
        <v>1403</v>
      </c>
      <c r="B107" s="2953">
        <f>面积表!I99</f>
        <v>152</v>
      </c>
      <c r="C107" s="24">
        <f t="shared" si="16"/>
        <v>1</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f t="shared" si="24"/>
        <v>42243</v>
      </c>
      <c r="S107" s="361">
        <f t="shared" si="15"/>
        <v>642</v>
      </c>
    </row>
    <row r="108" spans="1:19">
      <c r="A108" s="3007" t="str">
        <f>面积表!D100</f>
        <v>1404</v>
      </c>
      <c r="B108" s="2953">
        <f>面积表!I100</f>
        <v>152</v>
      </c>
      <c r="C108" s="24">
        <f t="shared" si="16"/>
        <v>1</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f t="shared" si="24"/>
        <v>42243</v>
      </c>
      <c r="S108" s="361">
        <f t="shared" si="15"/>
        <v>642</v>
      </c>
    </row>
    <row r="109" spans="1:19">
      <c r="A109" s="3007" t="str">
        <f>面积表!D101</f>
        <v>1405</v>
      </c>
      <c r="B109" s="2953">
        <f>面积表!I101</f>
        <v>152</v>
      </c>
      <c r="C109" s="24">
        <f t="shared" si="16"/>
        <v>1</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f t="shared" si="24"/>
        <v>42243</v>
      </c>
      <c r="S109" s="361">
        <f t="shared" si="15"/>
        <v>642</v>
      </c>
    </row>
    <row r="110" spans="1:19">
      <c r="A110" s="3007" t="str">
        <f>面积表!D102</f>
        <v>1406</v>
      </c>
      <c r="B110" s="2953">
        <f>面积表!I102</f>
        <v>208.31</v>
      </c>
      <c r="C110" s="24">
        <f t="shared" si="16"/>
        <v>1</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f t="shared" si="24"/>
        <v>42243</v>
      </c>
      <c r="S110" s="361">
        <f t="shared" si="15"/>
        <v>880</v>
      </c>
    </row>
    <row r="111" spans="1:19">
      <c r="A111" s="3007" t="str">
        <f>面积表!D103</f>
        <v>1407</v>
      </c>
      <c r="B111" s="2953">
        <f>面积表!I103</f>
        <v>222.93</v>
      </c>
      <c r="C111" s="24">
        <f t="shared" si="16"/>
        <v>1</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f t="shared" si="24"/>
        <v>42243</v>
      </c>
      <c r="S111" s="361">
        <f t="shared" si="15"/>
        <v>942</v>
      </c>
    </row>
    <row r="112" spans="1:19">
      <c r="A112" s="3007" t="str">
        <f>面积表!D104</f>
        <v>1408</v>
      </c>
      <c r="B112" s="2953">
        <f>面积表!I104</f>
        <v>152.03</v>
      </c>
      <c r="C112" s="24">
        <f t="shared" si="16"/>
        <v>1</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f t="shared" si="24"/>
        <v>42243</v>
      </c>
      <c r="S112" s="361">
        <f t="shared" si="15"/>
        <v>642</v>
      </c>
    </row>
    <row r="113" spans="1:19">
      <c r="A113" s="3007" t="str">
        <f>面积表!D105</f>
        <v>1409</v>
      </c>
      <c r="B113" s="2953">
        <f>面积表!I105</f>
        <v>116.9</v>
      </c>
      <c r="C113" s="24">
        <f t="shared" si="16"/>
        <v>1</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f t="shared" si="24"/>
        <v>42243</v>
      </c>
      <c r="S113" s="361">
        <f t="shared" si="15"/>
        <v>494</v>
      </c>
    </row>
    <row r="114" spans="1:19">
      <c r="A114" s="3007" t="str">
        <f>面积表!D106</f>
        <v>1501</v>
      </c>
      <c r="B114" s="2953">
        <f>面积表!I106</f>
        <v>160.65</v>
      </c>
      <c r="C114" s="24">
        <f t="shared" si="16"/>
        <v>1</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f t="shared" si="24"/>
        <v>42243</v>
      </c>
      <c r="S114" s="361">
        <f t="shared" si="15"/>
        <v>679</v>
      </c>
    </row>
    <row r="115" spans="1:19">
      <c r="A115" s="3007" t="str">
        <f>面积表!D107</f>
        <v>1502</v>
      </c>
      <c r="B115" s="2953">
        <f>面积表!I107</f>
        <v>152</v>
      </c>
      <c r="C115" s="24">
        <f t="shared" si="16"/>
        <v>1</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f t="shared" si="24"/>
        <v>42243</v>
      </c>
      <c r="S115" s="361">
        <f t="shared" si="15"/>
        <v>642</v>
      </c>
    </row>
    <row r="116" spans="1:19">
      <c r="A116" s="3007" t="str">
        <f>面积表!D108</f>
        <v>1503</v>
      </c>
      <c r="B116" s="2953">
        <f>面积表!I108</f>
        <v>152</v>
      </c>
      <c r="C116" s="24">
        <f t="shared" si="16"/>
        <v>1</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f t="shared" si="24"/>
        <v>42243</v>
      </c>
      <c r="S116" s="361">
        <f t="shared" si="15"/>
        <v>642</v>
      </c>
    </row>
    <row r="117" spans="1:19">
      <c r="A117" s="3007" t="str">
        <f>面积表!D109</f>
        <v>1504</v>
      </c>
      <c r="B117" s="2953">
        <f>面积表!I109</f>
        <v>152</v>
      </c>
      <c r="C117" s="24">
        <f t="shared" si="16"/>
        <v>1</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f t="shared" si="24"/>
        <v>42243</v>
      </c>
      <c r="S117" s="361">
        <f t="shared" si="15"/>
        <v>642</v>
      </c>
    </row>
    <row r="118" spans="1:19">
      <c r="A118" s="3007" t="str">
        <f>面积表!D110</f>
        <v>1505</v>
      </c>
      <c r="B118" s="2953">
        <f>面积表!I110</f>
        <v>152</v>
      </c>
      <c r="C118" s="24">
        <f t="shared" si="16"/>
        <v>1</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f t="shared" si="24"/>
        <v>42243</v>
      </c>
      <c r="S118" s="361">
        <f t="shared" si="15"/>
        <v>642</v>
      </c>
    </row>
    <row r="119" spans="1:19">
      <c r="A119" s="3007" t="str">
        <f>面积表!D111</f>
        <v>1506</v>
      </c>
      <c r="B119" s="2953">
        <f>面积表!I111</f>
        <v>208.31</v>
      </c>
      <c r="C119" s="24">
        <f t="shared" si="16"/>
        <v>1</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f t="shared" si="24"/>
        <v>42243</v>
      </c>
      <c r="S119" s="361">
        <f t="shared" si="15"/>
        <v>880</v>
      </c>
    </row>
    <row r="120" spans="1:19">
      <c r="A120" s="3007" t="str">
        <f>面积表!D112</f>
        <v>1507</v>
      </c>
      <c r="B120" s="2953">
        <f>面积表!I112</f>
        <v>222.93</v>
      </c>
      <c r="C120" s="24">
        <f t="shared" si="16"/>
        <v>1</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f t="shared" si="24"/>
        <v>42243</v>
      </c>
      <c r="S120" s="361">
        <f t="shared" si="15"/>
        <v>942</v>
      </c>
    </row>
    <row r="121" spans="1:19">
      <c r="A121" s="3007" t="str">
        <f>面积表!D113</f>
        <v>1508</v>
      </c>
      <c r="B121" s="2953">
        <f>面积表!I113</f>
        <v>152.03</v>
      </c>
      <c r="C121" s="24">
        <f t="shared" si="16"/>
        <v>1</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f t="shared" si="24"/>
        <v>42243</v>
      </c>
      <c r="S121" s="361">
        <f t="shared" si="15"/>
        <v>642</v>
      </c>
    </row>
    <row r="122" spans="1:19">
      <c r="A122" s="3007" t="str">
        <f>面积表!D114</f>
        <v>1509</v>
      </c>
      <c r="B122" s="2953">
        <f>面积表!I114</f>
        <v>116.9</v>
      </c>
      <c r="C122" s="24">
        <f t="shared" si="16"/>
        <v>1</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f t="shared" si="24"/>
        <v>42243</v>
      </c>
      <c r="S122" s="361">
        <f t="shared" si="15"/>
        <v>494</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xr:uid="{00000000-0002-0000-2500-000000000000}">
      <formula1>估价方法</formula1>
    </dataValidation>
    <dataValidation type="list" allowBlank="1" showInputMessage="1" showErrorMessage="1" sqref="D20" xr:uid="{00000000-0002-0000-2500-000001000000}">
      <formula1>"需扣减承租人权益,——"</formula1>
    </dataValidation>
    <dataValidation type="list" allowBlank="1" showInputMessage="1" showErrorMessage="1" sqref="P24:P524" xr:uid="{00000000-0002-0000-2500-000002000000}">
      <formula1>一修多修正项8</formula1>
    </dataValidation>
    <dataValidation type="list" allowBlank="1" showInputMessage="1" showErrorMessage="1" sqref="N24:N524" xr:uid="{00000000-0002-0000-2500-000003000000}">
      <formula1>一修多修正项7</formula1>
    </dataValidation>
    <dataValidation type="list" allowBlank="1" showInputMessage="1" showErrorMessage="1" sqref="L24:L524" xr:uid="{00000000-0002-0000-2500-000004000000}">
      <formula1>一修多修正项6</formula1>
    </dataValidation>
    <dataValidation type="list" allowBlank="1" showInputMessage="1" showErrorMessage="1" sqref="J24:J524" xr:uid="{00000000-0002-0000-2500-000005000000}">
      <formula1>一修多修正项5</formula1>
    </dataValidation>
    <dataValidation type="list" allowBlank="1" showInputMessage="1" showErrorMessage="1" sqref="H24:H524" xr:uid="{00000000-0002-0000-2500-000006000000}">
      <formula1>一修多修正项4</formula1>
    </dataValidation>
    <dataValidation type="list" allowBlank="1" showInputMessage="1" showErrorMessage="1" sqref="F24:F524" xr:uid="{00000000-0002-0000-2500-000007000000}">
      <formula1>一修多修正项3</formula1>
    </dataValidation>
    <dataValidation type="list" allowBlank="1" showInputMessage="1" showErrorMessage="1" sqref="D24:D524" xr:uid="{00000000-0002-0000-2500-000008000000}">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83"/>
  <sheetViews>
    <sheetView topLeftCell="A16"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3677</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3407"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400" t="s">
        <v>1406</v>
      </c>
      <c r="E14" s="3398"/>
      <c r="F14" s="364"/>
      <c r="G14" s="1831"/>
      <c r="H14" s="1183" t="s">
        <v>1032</v>
      </c>
      <c r="I14" s="347" t="s">
        <v>1407</v>
      </c>
      <c r="J14" s="24" t="e">
        <f ca="1">C29</f>
        <v>#N/A</v>
      </c>
      <c r="K14" s="3406"/>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402"/>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405"/>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t="e">
        <f ca="1">ROUND(J14*M22,1)</f>
        <v>#N/A</v>
      </c>
      <c r="K22" s="3399"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9"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402"/>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9"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9" t="s">
        <v>1442</v>
      </c>
      <c r="E37" s="347" t="s">
        <v>1443</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40.200000000000003" thickBot="1">
      <c r="A48" s="1342" t="s">
        <v>1125</v>
      </c>
      <c r="B48" s="345" t="s">
        <v>1389</v>
      </c>
      <c r="C48" s="3404"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8"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8"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8"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24.6" thickBot="1">
      <c r="A54" s="1387"/>
      <c r="B54" s="1805" t="s">
        <v>1376</v>
      </c>
      <c r="C54" s="1160"/>
      <c r="D54" s="1804"/>
      <c r="E54" s="3403"/>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8" thickBot="1">
      <c r="A55" s="1315" t="s">
        <v>1072</v>
      </c>
      <c r="B55" s="1807" t="s">
        <v>1401</v>
      </c>
      <c r="C55" s="1316"/>
      <c r="D55" s="1804"/>
      <c r="E55" s="3403"/>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6"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6"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6"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2"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8"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8"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8"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8"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2"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24.6"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2"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8"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8" thickBot="1">
      <c r="A70" s="1155"/>
      <c r="B70" s="1156"/>
      <c r="C70" s="355"/>
      <c r="D70" s="1167"/>
      <c r="E70" s="1151" t="s">
        <v>1465</v>
      </c>
      <c r="F70" s="1257"/>
      <c r="O70" s="1874" t="s">
        <v>1046</v>
      </c>
      <c r="P70" s="1913" t="s">
        <v>1573</v>
      </c>
      <c r="Q70" s="1866" t="e">
        <f ca="1">C13</f>
        <v>#N/A</v>
      </c>
      <c r="R70" s="1866" t="s">
        <v>1517</v>
      </c>
    </row>
    <row r="71" spans="1:18" s="1822" customFormat="1" ht="13.8"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#N/A</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8"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xr:uid="{00000000-0002-0000-2600-000000000000}">
      <formula1>"在建（套用方法）,土地（套用方法）,——"</formula1>
    </dataValidation>
    <dataValidation type="list" allowBlank="1" showInputMessage="1" showErrorMessage="1" sqref="M10 F10 F53" xr:uid="{00000000-0002-0000-2600-000001000000}">
      <formula1>"押一,押二,押三,自定义"</formula1>
    </dataValidation>
    <dataValidation type="list" allowBlank="1" showInputMessage="1" showErrorMessage="1" sqref="L55" xr:uid="{00000000-0002-0000-2600-000002000000}">
      <formula1>"比较法,基准地价,收益还原"</formula1>
    </dataValidation>
    <dataValidation type="list" allowBlank="1" showInputMessage="1" showErrorMessage="1" sqref="J56" xr:uid="{00000000-0002-0000-2600-000003000000}">
      <formula1>判定</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47" xr:uid="{00000000-0002-0000-2600-000005000000}">
      <formula1>"钢,钢混,砖混"</formula1>
    </dataValidation>
    <dataValidation type="list" allowBlank="1" showInputMessage="1" showErrorMessage="1" sqref="C1" xr:uid="{00000000-0002-0000-2600-000006000000}">
      <formula1>项目类型</formula1>
    </dataValidation>
    <dataValidation type="list" allowBlank="1" showInputMessage="1" showErrorMessage="1" sqref="D33 D61" xr:uid="{00000000-0002-0000-2600-000007000000}">
      <formula1>"按租金收入计税,按房产原值计税,按票据"</formula1>
    </dataValidation>
    <dataValidation type="list" allowBlank="1" showInputMessage="1" showErrorMessage="1" sqref="K19" xr:uid="{00000000-0002-0000-26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9" customWidth="1"/>
    <col min="2" max="2" width="37.21875" style="1939" customWidth="1"/>
    <col min="3" max="3" width="11.33203125" style="1939" customWidth="1"/>
    <col min="4" max="4" width="31.77734375" style="1939" customWidth="1"/>
    <col min="5" max="5" width="0.44140625" style="1939" customWidth="1"/>
    <col min="6" max="7" width="13" style="1939" customWidth="1"/>
    <col min="8" max="16384" width="9" style="1939"/>
  </cols>
  <sheetData>
    <row r="1" spans="1:5" ht="17.399999999999999">
      <c r="A1" s="1937" t="s">
        <v>1609</v>
      </c>
      <c r="B1" s="1938"/>
      <c r="C1" s="1938"/>
      <c r="D1" s="1938"/>
      <c r="E1" s="1938"/>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940"/>
      <c r="B4" s="3477" t="s">
        <v>1618</v>
      </c>
      <c r="C4" s="3477"/>
      <c r="D4" s="3477"/>
      <c r="E4" s="1940"/>
    </row>
    <row r="5" spans="1:5" ht="16.2" thickTop="1">
      <c r="A5" s="1938"/>
      <c r="B5" s="3475" t="s">
        <v>1610</v>
      </c>
      <c r="C5" s="1941" t="s">
        <v>1611</v>
      </c>
      <c r="D5" s="1030">
        <f ca="1">结果表!H101</f>
        <v>167491</v>
      </c>
      <c r="E5" s="1938"/>
    </row>
    <row r="6" spans="1:5" ht="31.2">
      <c r="A6" s="1938"/>
      <c r="B6" s="3475"/>
      <c r="C6" s="1941" t="s">
        <v>1612</v>
      </c>
      <c r="D6" s="1030" t="str">
        <f ca="1">NUMBERSTRING(INT(D5*10000),2)&amp;"元整"</f>
        <v>壹拾陆亿柒仟肆佰玖拾壹万元整</v>
      </c>
      <c r="E6" s="1938"/>
    </row>
    <row r="7" spans="1:5" ht="15.6">
      <c r="A7" s="1938"/>
      <c r="B7" s="3480"/>
      <c r="C7" s="1942" t="s">
        <v>1613</v>
      </c>
      <c r="D7" s="1031">
        <f ca="1">结果表!H102</f>
        <v>39723</v>
      </c>
      <c r="E7" s="1938"/>
    </row>
    <row r="8" spans="1:5" ht="15.6">
      <c r="A8" s="1938"/>
      <c r="B8" s="3481" t="str">
        <f>结果表!E103</f>
        <v>2.估价师知悉的法定优先受偿款</v>
      </c>
      <c r="C8" s="1943" t="s">
        <v>1614</v>
      </c>
      <c r="D8" s="1031">
        <f>结果表!H103</f>
        <v>0</v>
      </c>
      <c r="E8" s="1938"/>
    </row>
    <row r="9" spans="1:5" ht="15.6">
      <c r="A9" s="1938"/>
      <c r="B9" s="3483"/>
      <c r="C9" s="1941" t="s">
        <v>1612</v>
      </c>
      <c r="D9" s="1030" t="str">
        <f>NUMBERSTRING(INT(D8*10000),2)&amp;"元整"</f>
        <v>零元整</v>
      </c>
      <c r="E9" s="1938"/>
    </row>
    <row r="10" spans="1:5" ht="15.6">
      <c r="A10" s="1938"/>
      <c r="B10" s="1944" t="s">
        <v>1617</v>
      </c>
      <c r="C10" s="1945" t="s">
        <v>1615</v>
      </c>
      <c r="D10" s="1032">
        <f>结果表!H104</f>
        <v>0</v>
      </c>
      <c r="E10" s="1938"/>
    </row>
    <row r="11" spans="1:5" ht="15.6">
      <c r="A11" s="1938"/>
      <c r="B11" s="1944" t="s">
        <v>1619</v>
      </c>
      <c r="C11" s="1945" t="s">
        <v>1620</v>
      </c>
      <c r="D11" s="1032">
        <f>结果表!H105</f>
        <v>0</v>
      </c>
      <c r="E11" s="1938"/>
    </row>
    <row r="12" spans="1:5" ht="15.6">
      <c r="A12" s="1938"/>
      <c r="B12" s="1944" t="s">
        <v>1621</v>
      </c>
      <c r="C12" s="1945" t="s">
        <v>1620</v>
      </c>
      <c r="D12" s="1032">
        <f>结果表!H106</f>
        <v>0</v>
      </c>
      <c r="E12" s="1938"/>
    </row>
    <row r="13" spans="1:5" ht="15.6">
      <c r="A13" s="1938"/>
      <c r="B13" s="3474" t="str">
        <f>结果表!E107</f>
        <v>3.房地产抵押价值</v>
      </c>
      <c r="C13" s="1946" t="s">
        <v>1611</v>
      </c>
      <c r="D13" s="1033">
        <f ca="1">结果表!H107</f>
        <v>167491</v>
      </c>
      <c r="E13" s="1938"/>
    </row>
    <row r="14" spans="1:5" ht="31.2">
      <c r="A14" s="1938"/>
      <c r="B14" s="3475"/>
      <c r="C14" s="1941" t="s">
        <v>1612</v>
      </c>
      <c r="D14" s="1030" t="str">
        <f ca="1">NUMBERSTRING(INT(D13*10000),2)&amp;"元整"</f>
        <v>壹拾陆亿柒仟肆佰玖拾壹万元整</v>
      </c>
      <c r="E14" s="1938"/>
    </row>
    <row r="15" spans="1:5" ht="15.6">
      <c r="A15" s="1938"/>
      <c r="B15" s="3480"/>
      <c r="C15" s="1942" t="s">
        <v>1622</v>
      </c>
      <c r="D15" s="1042">
        <f ca="1">结果表!H108</f>
        <v>39723</v>
      </c>
      <c r="E15" s="1938"/>
    </row>
    <row r="16" spans="1:5" ht="15.6">
      <c r="A16" s="1938"/>
      <c r="B16" s="3481" t="str">
        <f>结果表!E109</f>
        <v>——</v>
      </c>
      <c r="C16" s="1946" t="s">
        <v>1623</v>
      </c>
      <c r="D16" s="1947" t="str">
        <f>结果表!H109</f>
        <v>——</v>
      </c>
      <c r="E16" s="1938"/>
    </row>
    <row r="17" spans="1:5" ht="15.6">
      <c r="A17" s="1938"/>
      <c r="B17" s="3482"/>
      <c r="C17" s="1941" t="s">
        <v>1624</v>
      </c>
      <c r="D17" s="1030" t="e">
        <f>NUMBERSTRING(INT(D16*10000),2)&amp;"元整"</f>
        <v>#VALUE!</v>
      </c>
      <c r="E17" s="1938"/>
    </row>
    <row r="18" spans="1:5" ht="15.6">
      <c r="A18" s="1938"/>
      <c r="B18" s="3483"/>
      <c r="C18" s="1942" t="s">
        <v>1613</v>
      </c>
      <c r="D18" s="1042" t="str">
        <f>结果表!H110</f>
        <v>——</v>
      </c>
      <c r="E18" s="1938"/>
    </row>
    <row r="19" spans="1:5" ht="15.6">
      <c r="A19" s="1938"/>
      <c r="B19" s="3474" t="str">
        <f>结果表!E111</f>
        <v>——</v>
      </c>
      <c r="C19" s="1946" t="s">
        <v>1611</v>
      </c>
      <c r="D19" s="1031" t="str">
        <f>结果表!H111</f>
        <v>——</v>
      </c>
      <c r="E19" s="1938"/>
    </row>
    <row r="20" spans="1:5" ht="15.6">
      <c r="A20" s="1938"/>
      <c r="B20" s="3475"/>
      <c r="C20" s="1941" t="s">
        <v>1624</v>
      </c>
      <c r="D20" s="1030" t="e">
        <f>NUMBERSTRING(INT(D19*10000),2)&amp;"元整"</f>
        <v>#VALUE!</v>
      </c>
      <c r="E20" s="1938"/>
    </row>
    <row r="21" spans="1:5" ht="16.2" thickBot="1">
      <c r="A21" s="1938"/>
      <c r="B21" s="3476"/>
      <c r="C21" s="1948" t="s">
        <v>1622</v>
      </c>
      <c r="D21" s="1043" t="str">
        <f>结果表!H112</f>
        <v>——</v>
      </c>
      <c r="E21" s="1938"/>
    </row>
    <row r="22" spans="1:5" ht="14.4" thickTop="1">
      <c r="A22" s="1938"/>
      <c r="B22" s="1949" t="s">
        <v>1625</v>
      </c>
      <c r="C22" s="1938"/>
      <c r="D22" s="1938"/>
      <c r="E22" s="1938"/>
    </row>
    <row r="23" spans="1:5">
      <c r="A23" s="1938"/>
      <c r="B23" s="1938"/>
      <c r="C23" s="1938"/>
      <c r="D23" s="1938"/>
      <c r="E23" s="1938"/>
    </row>
    <row r="24" spans="1:5" ht="17.399999999999999">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tabColor rgb="FF92D050"/>
  </sheetPr>
  <dimension ref="A1:AK83"/>
  <sheetViews>
    <sheetView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3678</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1280"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1780" t="s">
        <v>1406</v>
      </c>
      <c r="E14" s="1774"/>
      <c r="F14" s="364"/>
      <c r="G14" s="1831"/>
      <c r="H14" s="1183" t="s">
        <v>1032</v>
      </c>
      <c r="I14" s="347" t="s">
        <v>1407</v>
      </c>
      <c r="J14" s="24" t="e">
        <f ca="1">C29</f>
        <v>#N/A</v>
      </c>
      <c r="K14" s="15"/>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1320"/>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1798"/>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t="e">
        <f ca="1">ROUND(J14*M22,1)</f>
        <v>#N/A</v>
      </c>
      <c r="K22" s="177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1778"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132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177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1778" t="s">
        <v>1442</v>
      </c>
      <c r="E37" s="347" t="s">
        <v>1443</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40.200000000000003" thickBot="1">
      <c r="A48" s="1342" t="s">
        <v>1125</v>
      </c>
      <c r="B48" s="345" t="s">
        <v>1389</v>
      </c>
      <c r="C48" s="1797"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8"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8"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8"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24.6" thickBot="1">
      <c r="A54" s="1387"/>
      <c r="B54" s="1805" t="s">
        <v>1376</v>
      </c>
      <c r="C54" s="1160"/>
      <c r="D54" s="1804"/>
      <c r="E54" s="1812"/>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8" thickBot="1">
      <c r="A55" s="1315" t="s">
        <v>1072</v>
      </c>
      <c r="B55" s="1807" t="s">
        <v>1401</v>
      </c>
      <c r="C55" s="1316"/>
      <c r="D55" s="1804"/>
      <c r="E55" s="1812"/>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6"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6"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6"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2"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8"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8"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8"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8"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2"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24.6"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2"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8"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8" thickBot="1">
      <c r="A70" s="1155"/>
      <c r="B70" s="1156"/>
      <c r="C70" s="355"/>
      <c r="D70" s="1167"/>
      <c r="E70" s="1151" t="s">
        <v>1465</v>
      </c>
      <c r="F70" s="1257"/>
      <c r="O70" s="1874" t="s">
        <v>1046</v>
      </c>
      <c r="P70" s="1913" t="s">
        <v>1573</v>
      </c>
      <c r="Q70" s="1866" t="e">
        <f ca="1">C13</f>
        <v>#N/A</v>
      </c>
      <c r="R70" s="1866" t="s">
        <v>1517</v>
      </c>
    </row>
    <row r="71" spans="1:18" s="1822" customFormat="1" ht="13.8"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#N/A</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8"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xr:uid="{00000000-0002-0000-2700-000000000000}">
      <formula1>"按租金收入计税,按房产原值计税"</formula1>
    </dataValidation>
    <dataValidation type="list" allowBlank="1" showInputMessage="1" showErrorMessage="1" sqref="D33 D61" xr:uid="{00000000-0002-0000-2700-000001000000}">
      <formula1>"按租金收入计税,按房产原值计税,按票据"</formula1>
    </dataValidation>
    <dataValidation type="list" allowBlank="1" showInputMessage="1" showErrorMessage="1" sqref="C1" xr:uid="{00000000-0002-0000-2700-000002000000}">
      <formula1>项目类型</formula1>
    </dataValidation>
    <dataValidation type="list" allowBlank="1" showInputMessage="1" showErrorMessage="1" sqref="J47" xr:uid="{00000000-0002-0000-2700-000003000000}">
      <formula1>"钢,钢混,砖混"</formula1>
    </dataValidation>
    <dataValidation type="list" allowBlank="1" showInputMessage="1" showErrorMessage="1" sqref="J48" xr:uid="{00000000-0002-0000-2700-000004000000}">
      <formula1>"非生产用房,生产用房,受腐蚀的生产用房"</formula1>
    </dataValidation>
    <dataValidation type="list" allowBlank="1" showInputMessage="1" showErrorMessage="1" sqref="J56" xr:uid="{00000000-0002-0000-2700-000005000000}">
      <formula1>判定</formula1>
    </dataValidation>
    <dataValidation type="list" allowBlank="1" showInputMessage="1" showErrorMessage="1" sqref="L55" xr:uid="{00000000-0002-0000-2700-000006000000}">
      <formula1>"比较法,基准地价,收益还原"</formula1>
    </dataValidation>
    <dataValidation type="list" allowBlank="1" showInputMessage="1" showErrorMessage="1" sqref="M10 F10 F53" xr:uid="{00000000-0002-0000-2700-000007000000}">
      <formula1>"押一,押二,押三,自定义"</formula1>
    </dataValidation>
    <dataValidation type="list" allowBlank="1" showInputMessage="1" showErrorMessage="1" sqref="D1" xr:uid="{00000000-0002-0000-2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59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42164.249999999993</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4.4">
      <c r="A4" s="400" t="s">
        <v>2523</v>
      </c>
      <c r="B4" s="401"/>
      <c r="C4" s="3735" t="s">
        <v>2524</v>
      </c>
      <c r="D4" s="3736"/>
      <c r="E4" s="3737" t="s">
        <v>2525</v>
      </c>
      <c r="F4" s="3738"/>
      <c r="G4" s="3735" t="s">
        <v>2526</v>
      </c>
      <c r="H4" s="3736"/>
      <c r="I4" s="3735" t="s">
        <v>2527</v>
      </c>
      <c r="J4" s="3736"/>
      <c r="K4" s="2569" t="s">
        <v>2528</v>
      </c>
      <c r="L4" s="1113"/>
      <c r="M4" s="1114"/>
      <c r="N4" s="1114"/>
      <c r="O4" s="1114"/>
      <c r="P4" s="3739" t="s">
        <v>2529</v>
      </c>
      <c r="Q4" s="3740"/>
      <c r="R4" s="3722" t="s">
        <v>2525</v>
      </c>
      <c r="S4" s="3723"/>
      <c r="T4" s="3722" t="s">
        <v>2526</v>
      </c>
      <c r="U4" s="3723"/>
      <c r="V4" s="3719" t="s">
        <v>2527</v>
      </c>
      <c r="W4" s="3719"/>
      <c r="X4" s="1793"/>
      <c r="Y4" s="3722" t="s">
        <v>2529</v>
      </c>
      <c r="Z4" s="3723"/>
      <c r="AA4" s="3716" t="s">
        <v>2525</v>
      </c>
      <c r="AB4" s="3716" t="s">
        <v>2526</v>
      </c>
      <c r="AC4" s="3716" t="s">
        <v>2527</v>
      </c>
    </row>
    <row r="5" spans="1:29">
      <c r="A5" s="403"/>
      <c r="B5" s="404"/>
      <c r="C5" s="3791" t="s">
        <v>2530</v>
      </c>
      <c r="D5" s="3792"/>
      <c r="E5" s="3789" t="s">
        <v>2531</v>
      </c>
      <c r="F5" s="3790"/>
      <c r="G5" s="3791" t="s">
        <v>2532</v>
      </c>
      <c r="H5" s="3792"/>
      <c r="I5" s="3791" t="s">
        <v>2533</v>
      </c>
      <c r="J5" s="3792"/>
      <c r="K5" s="2570"/>
      <c r="L5" s="1113"/>
      <c r="M5" s="1114"/>
      <c r="N5" s="1114"/>
      <c r="O5" s="1114"/>
      <c r="P5" s="3741"/>
      <c r="Q5" s="3742"/>
      <c r="R5" s="3724"/>
      <c r="S5" s="3725"/>
      <c r="T5" s="3724"/>
      <c r="U5" s="3725"/>
      <c r="V5" s="3719"/>
      <c r="W5" s="3719"/>
      <c r="X5" s="1793"/>
      <c r="Y5" s="3724"/>
      <c r="Z5" s="3725"/>
      <c r="AA5" s="3717"/>
      <c r="AB5" s="3717"/>
      <c r="AC5" s="3717"/>
    </row>
    <row r="6" spans="1:29" ht="15" thickBot="1">
      <c r="A6" s="405"/>
      <c r="B6" s="406"/>
      <c r="C6" s="3730" t="s">
        <v>2534</v>
      </c>
      <c r="D6" s="3731"/>
      <c r="E6" s="3732" t="s">
        <v>2534</v>
      </c>
      <c r="F6" s="3733"/>
      <c r="G6" s="3730" t="s">
        <v>2534</v>
      </c>
      <c r="H6" s="3731"/>
      <c r="I6" s="3730" t="s">
        <v>2534</v>
      </c>
      <c r="J6" s="3731"/>
      <c r="K6" s="2570" t="s">
        <v>2535</v>
      </c>
      <c r="L6" s="1113"/>
      <c r="M6" s="1114"/>
      <c r="N6" s="1114"/>
      <c r="O6" s="1114"/>
      <c r="P6" s="3743"/>
      <c r="Q6" s="3744"/>
      <c r="R6" s="3724"/>
      <c r="S6" s="3725"/>
      <c r="T6" s="3745"/>
      <c r="U6" s="3746"/>
      <c r="V6" s="3719"/>
      <c r="W6" s="3719"/>
      <c r="X6" s="1793"/>
      <c r="Y6" s="3745"/>
      <c r="Z6" s="3746"/>
      <c r="AA6" s="3718"/>
      <c r="AB6" s="3718"/>
      <c r="AC6" s="3718"/>
    </row>
    <row r="7" spans="1:29" s="117" customFormat="1" ht="15" thickBot="1">
      <c r="A7" s="407" t="s">
        <v>2536</v>
      </c>
      <c r="B7" s="408"/>
      <c r="C7" s="409">
        <f>'数据-取费表'!B2</f>
        <v>43836</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720" t="s">
        <v>2537</v>
      </c>
      <c r="Q7" s="3747"/>
      <c r="R7" s="766" t="s">
        <v>23</v>
      </c>
      <c r="S7" s="767">
        <f t="shared" ref="S7:S15" si="0">F7</f>
        <v>0</v>
      </c>
      <c r="T7" s="766" t="s">
        <v>23</v>
      </c>
      <c r="U7" s="767">
        <f t="shared" ref="U7:U15" si="1">H7</f>
        <v>0</v>
      </c>
      <c r="V7" s="766" t="s">
        <v>23</v>
      </c>
      <c r="W7" s="767">
        <f t="shared" ref="W7:W15" si="2">J7</f>
        <v>0</v>
      </c>
      <c r="X7" s="768"/>
      <c r="Y7" s="3720" t="s">
        <v>2537</v>
      </c>
      <c r="Z7" s="3721"/>
      <c r="AA7" s="769" t="e">
        <f>D7/F7</f>
        <v>#DIV/0!</v>
      </c>
      <c r="AB7" s="769" t="e">
        <f>D7/H7</f>
        <v>#DIV/0!</v>
      </c>
      <c r="AC7" s="769" t="e">
        <f>D7/J7</f>
        <v>#DIV/0!</v>
      </c>
    </row>
    <row r="8" spans="1:29" s="117" customFormat="1" ht="1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720" t="s">
        <v>2540</v>
      </c>
      <c r="Q8" s="3721"/>
      <c r="R8" s="766" t="s">
        <v>23</v>
      </c>
      <c r="S8" s="767">
        <f t="shared" si="0"/>
        <v>0</v>
      </c>
      <c r="T8" s="766" t="s">
        <v>23</v>
      </c>
      <c r="U8" s="767">
        <f t="shared" si="1"/>
        <v>0</v>
      </c>
      <c r="V8" s="766" t="s">
        <v>23</v>
      </c>
      <c r="W8" s="767">
        <f t="shared" si="2"/>
        <v>0</v>
      </c>
      <c r="X8" s="768"/>
      <c r="Y8" s="3720" t="s">
        <v>2540</v>
      </c>
      <c r="Z8" s="3721"/>
      <c r="AA8" s="769" t="e">
        <f t="shared" ref="AA8:AA19" si="3">D8/F8</f>
        <v>#DIV/0!</v>
      </c>
      <c r="AB8" s="769" t="e">
        <f t="shared" ref="AB8:AB19" si="4">D8/H8</f>
        <v>#DIV/0!</v>
      </c>
      <c r="AC8" s="769" t="e">
        <f t="shared" ref="AC8:AC19" si="5">D8/J8</f>
        <v>#DIV/0!</v>
      </c>
    </row>
    <row r="9" spans="1:29" s="117" customFormat="1" ht="14.4">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734"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769">
        <f t="shared" si="5"/>
        <v>1</v>
      </c>
    </row>
    <row r="10" spans="1:29" s="426" customFormat="1" ht="28.8">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734"/>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734"/>
      <c r="Q11" s="1775" t="str">
        <f t="shared" si="6"/>
        <v>容积率</v>
      </c>
      <c r="R11" s="766" t="s">
        <v>21</v>
      </c>
      <c r="S11" s="767" t="e">
        <f t="shared" si="0"/>
        <v>#N/A</v>
      </c>
      <c r="T11" s="766" t="s">
        <v>21</v>
      </c>
      <c r="U11" s="767" t="e">
        <f t="shared" si="1"/>
        <v>#N/A</v>
      </c>
      <c r="V11" s="766" t="s">
        <v>21</v>
      </c>
      <c r="W11" s="767" t="e">
        <f t="shared" si="2"/>
        <v>#N/A</v>
      </c>
      <c r="X11" s="768"/>
      <c r="Y11" s="3521"/>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734"/>
      <c r="Q12" s="1775">
        <f t="shared" si="6"/>
        <v>111</v>
      </c>
      <c r="R12" s="766" t="s">
        <v>21</v>
      </c>
      <c r="S12" s="767">
        <f t="shared" si="0"/>
        <v>100</v>
      </c>
      <c r="T12" s="766" t="s">
        <v>21</v>
      </c>
      <c r="U12" s="767">
        <f t="shared" si="1"/>
        <v>100</v>
      </c>
      <c r="V12" s="766" t="s">
        <v>21</v>
      </c>
      <c r="W12" s="767">
        <f t="shared" si="2"/>
        <v>100</v>
      </c>
      <c r="X12" s="768"/>
      <c r="Y12" s="3521"/>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734"/>
      <c r="Q13" s="1775">
        <f t="shared" si="6"/>
        <v>111</v>
      </c>
      <c r="R13" s="766" t="s">
        <v>21</v>
      </c>
      <c r="S13" s="767">
        <f t="shared" si="0"/>
        <v>100</v>
      </c>
      <c r="T13" s="766" t="s">
        <v>21</v>
      </c>
      <c r="U13" s="767">
        <f t="shared" si="1"/>
        <v>100</v>
      </c>
      <c r="V13" s="766" t="s">
        <v>21</v>
      </c>
      <c r="W13" s="767">
        <f t="shared" si="2"/>
        <v>100</v>
      </c>
      <c r="X13" s="768"/>
      <c r="Y13" s="3521"/>
      <c r="Z13" s="55">
        <f t="shared" si="7"/>
        <v>111</v>
      </c>
      <c r="AA13" s="769">
        <f t="shared" si="3"/>
        <v>1</v>
      </c>
      <c r="AB13" s="769">
        <f t="shared" si="4"/>
        <v>1</v>
      </c>
      <c r="AC13" s="769">
        <f t="shared" si="5"/>
        <v>1</v>
      </c>
    </row>
    <row r="14" spans="1:29" ht="15.6"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734"/>
      <c r="Q14" s="1775">
        <f t="shared" si="6"/>
        <v>111</v>
      </c>
      <c r="R14" s="766" t="s">
        <v>21</v>
      </c>
      <c r="S14" s="767">
        <f t="shared" si="0"/>
        <v>100</v>
      </c>
      <c r="T14" s="766" t="s">
        <v>21</v>
      </c>
      <c r="U14" s="767">
        <f t="shared" si="1"/>
        <v>100</v>
      </c>
      <c r="V14" s="766" t="s">
        <v>21</v>
      </c>
      <c r="W14" s="767">
        <f t="shared" si="2"/>
        <v>100</v>
      </c>
      <c r="X14" s="768"/>
      <c r="Y14" s="3521"/>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748" t="s">
        <v>2548</v>
      </c>
      <c r="Q15" s="1790" t="str">
        <f t="shared" si="6"/>
        <v>居住社区成熟度</v>
      </c>
      <c r="R15" s="770" t="s">
        <v>21</v>
      </c>
      <c r="S15" s="771">
        <f t="shared" si="0"/>
        <v>100</v>
      </c>
      <c r="T15" s="770" t="s">
        <v>21</v>
      </c>
      <c r="U15" s="771">
        <f t="shared" si="1"/>
        <v>100</v>
      </c>
      <c r="V15" s="770" t="s">
        <v>21</v>
      </c>
      <c r="W15" s="771">
        <f t="shared" si="2"/>
        <v>100</v>
      </c>
      <c r="X15" s="1793"/>
      <c r="Y15" s="3750"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749"/>
      <c r="Q16" s="1790"/>
      <c r="R16" s="770"/>
      <c r="S16" s="771"/>
      <c r="T16" s="770"/>
      <c r="U16" s="771"/>
      <c r="V16" s="770"/>
      <c r="W16" s="771"/>
      <c r="X16" s="1793"/>
      <c r="Y16" s="3751"/>
      <c r="Z16" s="1794"/>
      <c r="AA16" s="1791">
        <v>1</v>
      </c>
      <c r="AB16" s="1791">
        <v>1</v>
      </c>
      <c r="AC16" s="1791">
        <v>1</v>
      </c>
    </row>
    <row r="17" spans="1:29" ht="110.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749"/>
      <c r="Q17" s="1790" t="str">
        <f>B17</f>
        <v>交通便捷度</v>
      </c>
      <c r="R17" s="770" t="s">
        <v>21</v>
      </c>
      <c r="S17" s="771">
        <f>F17</f>
        <v>100</v>
      </c>
      <c r="T17" s="770" t="s">
        <v>21</v>
      </c>
      <c r="U17" s="771">
        <f>H17</f>
        <v>100</v>
      </c>
      <c r="V17" s="770" t="s">
        <v>21</v>
      </c>
      <c r="W17" s="771">
        <f>J17</f>
        <v>100</v>
      </c>
      <c r="X17" s="1793"/>
      <c r="Y17" s="3751"/>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749"/>
      <c r="Q18" s="1790"/>
      <c r="R18" s="770"/>
      <c r="S18" s="771"/>
      <c r="T18" s="770"/>
      <c r="U18" s="771"/>
      <c r="V18" s="770"/>
      <c r="W18" s="771"/>
      <c r="X18" s="1793"/>
      <c r="Y18" s="3751"/>
      <c r="Z18" s="1794"/>
      <c r="AA18" s="1791">
        <v>1</v>
      </c>
      <c r="AB18" s="1791">
        <v>1</v>
      </c>
      <c r="AC18" s="1791">
        <v>1</v>
      </c>
    </row>
    <row r="19" spans="1:29" ht="41.4">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749"/>
      <c r="Q19" s="1790" t="str">
        <f>B19</f>
        <v>公共配套设施</v>
      </c>
      <c r="R19" s="770" t="s">
        <v>21</v>
      </c>
      <c r="S19" s="771">
        <f>F19</f>
        <v>100</v>
      </c>
      <c r="T19" s="770" t="s">
        <v>21</v>
      </c>
      <c r="U19" s="771">
        <f>H19</f>
        <v>100</v>
      </c>
      <c r="V19" s="770" t="s">
        <v>21</v>
      </c>
      <c r="W19" s="771">
        <f>J19</f>
        <v>100</v>
      </c>
      <c r="X19" s="1793"/>
      <c r="Y19" s="3751"/>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749"/>
      <c r="Q20" s="1790"/>
      <c r="R20" s="770"/>
      <c r="S20" s="771"/>
      <c r="T20" s="770"/>
      <c r="U20" s="771"/>
      <c r="V20" s="770"/>
      <c r="W20" s="771"/>
      <c r="X20" s="1793"/>
      <c r="Y20" s="3751"/>
      <c r="Z20" s="1794"/>
      <c r="AA20" s="1791">
        <v>1</v>
      </c>
      <c r="AB20" s="1791">
        <v>1</v>
      </c>
      <c r="AC20" s="1791">
        <v>1</v>
      </c>
    </row>
    <row r="21" spans="1:29" ht="41.4">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749"/>
      <c r="Q21" s="1790" t="str">
        <f>B21</f>
        <v>基础设施水平</v>
      </c>
      <c r="R21" s="770" t="s">
        <v>17</v>
      </c>
      <c r="S21" s="771">
        <f>F21</f>
        <v>100</v>
      </c>
      <c r="T21" s="770" t="s">
        <v>17</v>
      </c>
      <c r="U21" s="771">
        <f>H21</f>
        <v>100</v>
      </c>
      <c r="V21" s="770" t="s">
        <v>17</v>
      </c>
      <c r="W21" s="771">
        <f>J21</f>
        <v>100</v>
      </c>
      <c r="X21" s="1793"/>
      <c r="Y21" s="3751"/>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749"/>
      <c r="Q22" s="1790"/>
      <c r="R22" s="770"/>
      <c r="S22" s="771"/>
      <c r="T22" s="770"/>
      <c r="U22" s="771"/>
      <c r="V22" s="770"/>
      <c r="W22" s="771"/>
      <c r="X22" s="1793"/>
      <c r="Y22" s="3751"/>
      <c r="Z22" s="1794"/>
      <c r="AA22" s="1791">
        <v>1</v>
      </c>
      <c r="AB22" s="1791">
        <v>1</v>
      </c>
      <c r="AC22" s="1791">
        <v>1</v>
      </c>
    </row>
    <row r="23" spans="1:29" ht="82.8">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749"/>
      <c r="Q23" s="1790" t="str">
        <f>B23</f>
        <v>自然及人文环境</v>
      </c>
      <c r="R23" s="770" t="s">
        <v>21</v>
      </c>
      <c r="S23" s="771">
        <f>F23</f>
        <v>100</v>
      </c>
      <c r="T23" s="770" t="s">
        <v>21</v>
      </c>
      <c r="U23" s="771">
        <f>H23</f>
        <v>100</v>
      </c>
      <c r="V23" s="770" t="s">
        <v>21</v>
      </c>
      <c r="W23" s="771">
        <f>J23</f>
        <v>100</v>
      </c>
      <c r="X23" s="1793"/>
      <c r="Y23" s="3751"/>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749"/>
      <c r="Q24" s="1790"/>
      <c r="R24" s="770"/>
      <c r="S24" s="771"/>
      <c r="T24" s="770"/>
      <c r="U24" s="771"/>
      <c r="V24" s="770"/>
      <c r="W24" s="771"/>
      <c r="X24" s="1793"/>
      <c r="Y24" s="3751"/>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749"/>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751"/>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749"/>
      <c r="Q26" s="1790" t="str">
        <f t="shared" si="11"/>
        <v>朝向</v>
      </c>
      <c r="R26" s="770" t="s">
        <v>21</v>
      </c>
      <c r="S26" s="771">
        <f t="shared" si="12"/>
        <v>100</v>
      </c>
      <c r="T26" s="770" t="s">
        <v>21</v>
      </c>
      <c r="U26" s="771">
        <f t="shared" si="13"/>
        <v>100</v>
      </c>
      <c r="V26" s="770" t="s">
        <v>21</v>
      </c>
      <c r="W26" s="771">
        <f t="shared" si="14"/>
        <v>100</v>
      </c>
      <c r="X26" s="1793"/>
      <c r="Y26" s="3751"/>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749"/>
      <c r="Q27" s="1775">
        <f t="shared" si="11"/>
        <v>111</v>
      </c>
      <c r="R27" s="766" t="s">
        <v>21</v>
      </c>
      <c r="S27" s="767">
        <f t="shared" si="12"/>
        <v>100</v>
      </c>
      <c r="T27" s="766" t="s">
        <v>21</v>
      </c>
      <c r="U27" s="767">
        <f t="shared" si="13"/>
        <v>100</v>
      </c>
      <c r="V27" s="766" t="s">
        <v>21</v>
      </c>
      <c r="W27" s="767">
        <f t="shared" si="14"/>
        <v>100</v>
      </c>
      <c r="X27" s="768"/>
      <c r="Y27" s="3751"/>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749"/>
      <c r="Q28" s="1790">
        <f t="shared" si="11"/>
        <v>111</v>
      </c>
      <c r="R28" s="770" t="s">
        <v>21</v>
      </c>
      <c r="S28" s="771">
        <f t="shared" si="12"/>
        <v>100</v>
      </c>
      <c r="T28" s="770" t="s">
        <v>21</v>
      </c>
      <c r="U28" s="771">
        <f t="shared" si="13"/>
        <v>100</v>
      </c>
      <c r="V28" s="770" t="s">
        <v>21</v>
      </c>
      <c r="W28" s="771">
        <f t="shared" si="14"/>
        <v>100</v>
      </c>
      <c r="X28" s="1793"/>
      <c r="Y28" s="3751"/>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749"/>
      <c r="Q29" s="1790">
        <f t="shared" si="11"/>
        <v>111</v>
      </c>
      <c r="R29" s="770" t="s">
        <v>21</v>
      </c>
      <c r="S29" s="771">
        <f t="shared" si="12"/>
        <v>100</v>
      </c>
      <c r="T29" s="770" t="s">
        <v>21</v>
      </c>
      <c r="U29" s="771">
        <f t="shared" si="13"/>
        <v>100</v>
      </c>
      <c r="V29" s="770" t="s">
        <v>21</v>
      </c>
      <c r="W29" s="771">
        <f t="shared" si="14"/>
        <v>100</v>
      </c>
      <c r="X29" s="1793"/>
      <c r="Y29" s="3751"/>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749"/>
      <c r="Q30" s="1790">
        <f t="shared" si="11"/>
        <v>111</v>
      </c>
      <c r="R30" s="770" t="s">
        <v>21</v>
      </c>
      <c r="S30" s="771">
        <f t="shared" si="12"/>
        <v>100</v>
      </c>
      <c r="T30" s="770" t="s">
        <v>21</v>
      </c>
      <c r="U30" s="771">
        <f t="shared" si="13"/>
        <v>100</v>
      </c>
      <c r="V30" s="770" t="s">
        <v>21</v>
      </c>
      <c r="W30" s="771">
        <f t="shared" si="14"/>
        <v>100</v>
      </c>
      <c r="X30" s="1793"/>
      <c r="Y30" s="3751"/>
      <c r="Z30" s="1794">
        <f t="shared" si="18"/>
        <v>111</v>
      </c>
      <c r="AA30" s="1791">
        <f t="shared" si="15"/>
        <v>1</v>
      </c>
      <c r="AB30" s="1791">
        <f t="shared" si="16"/>
        <v>1</v>
      </c>
      <c r="AC30" s="1791">
        <f t="shared" si="17"/>
        <v>1</v>
      </c>
    </row>
    <row r="31" spans="1:29" ht="15.6"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749"/>
      <c r="Q31" s="1790">
        <f t="shared" si="11"/>
        <v>111</v>
      </c>
      <c r="R31" s="770" t="s">
        <v>21</v>
      </c>
      <c r="S31" s="771">
        <f t="shared" si="12"/>
        <v>100</v>
      </c>
      <c r="T31" s="770" t="s">
        <v>21</v>
      </c>
      <c r="U31" s="771">
        <f t="shared" si="13"/>
        <v>100</v>
      </c>
      <c r="V31" s="770" t="s">
        <v>21</v>
      </c>
      <c r="W31" s="771">
        <f t="shared" si="14"/>
        <v>100</v>
      </c>
      <c r="X31" s="1793"/>
      <c r="Y31" s="3751"/>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752" t="s">
        <v>2553</v>
      </c>
      <c r="Q32" s="1790" t="str">
        <f t="shared" si="11"/>
        <v>建筑类型</v>
      </c>
      <c r="R32" s="770" t="s">
        <v>21</v>
      </c>
      <c r="S32" s="771">
        <f t="shared" si="12"/>
        <v>100</v>
      </c>
      <c r="T32" s="770" t="s">
        <v>21</v>
      </c>
      <c r="U32" s="771">
        <f t="shared" si="13"/>
        <v>100</v>
      </c>
      <c r="V32" s="770" t="s">
        <v>21</v>
      </c>
      <c r="W32" s="771">
        <f t="shared" si="14"/>
        <v>100</v>
      </c>
      <c r="X32" s="1793"/>
      <c r="Y32" s="3755"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753"/>
      <c r="Q33" s="772" t="str">
        <f t="shared" si="11"/>
        <v>项目建筑规模</v>
      </c>
      <c r="R33" s="773" t="s">
        <v>21</v>
      </c>
      <c r="S33" s="774" t="e">
        <f t="shared" si="12"/>
        <v>#N/A</v>
      </c>
      <c r="T33" s="773" t="s">
        <v>21</v>
      </c>
      <c r="U33" s="774" t="e">
        <f t="shared" si="13"/>
        <v>#N/A</v>
      </c>
      <c r="V33" s="773" t="s">
        <v>21</v>
      </c>
      <c r="W33" s="774" t="e">
        <f t="shared" si="14"/>
        <v>#N/A</v>
      </c>
      <c r="X33" s="775"/>
      <c r="Y33" s="3755"/>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753"/>
      <c r="Q34" s="1790" t="str">
        <f t="shared" si="11"/>
        <v>建筑结构</v>
      </c>
      <c r="R34" s="770" t="s">
        <v>21</v>
      </c>
      <c r="S34" s="771">
        <f t="shared" si="12"/>
        <v>100</v>
      </c>
      <c r="T34" s="770" t="s">
        <v>21</v>
      </c>
      <c r="U34" s="771">
        <f t="shared" si="13"/>
        <v>100</v>
      </c>
      <c r="V34" s="770" t="s">
        <v>21</v>
      </c>
      <c r="W34" s="771">
        <f t="shared" si="14"/>
        <v>100</v>
      </c>
      <c r="X34" s="1793"/>
      <c r="Y34" s="3755"/>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753"/>
      <c r="Q35" s="1790" t="str">
        <f t="shared" si="11"/>
        <v>建筑品质</v>
      </c>
      <c r="R35" s="770" t="s">
        <v>21</v>
      </c>
      <c r="S35" s="771">
        <f t="shared" si="12"/>
        <v>100</v>
      </c>
      <c r="T35" s="770" t="s">
        <v>21</v>
      </c>
      <c r="U35" s="771">
        <f t="shared" si="13"/>
        <v>100</v>
      </c>
      <c r="V35" s="770" t="s">
        <v>21</v>
      </c>
      <c r="W35" s="771">
        <f t="shared" si="14"/>
        <v>100</v>
      </c>
      <c r="X35" s="1793"/>
      <c r="Y35" s="3755"/>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753"/>
      <c r="Q36" s="1790" t="str">
        <f t="shared" si="11"/>
        <v>公共部分装修</v>
      </c>
      <c r="R36" s="770" t="s">
        <v>21</v>
      </c>
      <c r="S36" s="771">
        <f t="shared" si="12"/>
        <v>100</v>
      </c>
      <c r="T36" s="770" t="s">
        <v>21</v>
      </c>
      <c r="U36" s="771">
        <f t="shared" si="13"/>
        <v>100</v>
      </c>
      <c r="V36" s="770" t="s">
        <v>21</v>
      </c>
      <c r="W36" s="771">
        <f t="shared" si="14"/>
        <v>100</v>
      </c>
      <c r="X36" s="1793"/>
      <c r="Y36" s="3755"/>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753"/>
      <c r="Q37" s="1775" t="str">
        <f t="shared" si="11"/>
        <v>成新度</v>
      </c>
      <c r="R37" s="766" t="s">
        <v>21</v>
      </c>
      <c r="S37" s="767" t="e">
        <f t="shared" si="12"/>
        <v>#N/A</v>
      </c>
      <c r="T37" s="766" t="s">
        <v>21</v>
      </c>
      <c r="U37" s="767" t="e">
        <f t="shared" si="13"/>
        <v>#N/A</v>
      </c>
      <c r="V37" s="766" t="s">
        <v>21</v>
      </c>
      <c r="W37" s="767" t="e">
        <f t="shared" si="14"/>
        <v>#N/A</v>
      </c>
      <c r="X37" s="768"/>
      <c r="Y37" s="3755"/>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753" t="s">
        <v>2553</v>
      </c>
      <c r="Q38" s="1790" t="str">
        <f t="shared" si="11"/>
        <v>物业管理</v>
      </c>
      <c r="R38" s="770" t="s">
        <v>21</v>
      </c>
      <c r="S38" s="771">
        <f t="shared" si="12"/>
        <v>100</v>
      </c>
      <c r="T38" s="770" t="s">
        <v>21</v>
      </c>
      <c r="U38" s="771">
        <f t="shared" si="13"/>
        <v>100</v>
      </c>
      <c r="V38" s="770" t="s">
        <v>21</v>
      </c>
      <c r="W38" s="771">
        <f t="shared" si="14"/>
        <v>100</v>
      </c>
      <c r="X38" s="1793"/>
      <c r="Y38" s="3755"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753"/>
      <c r="Q39" s="1790" t="str">
        <f t="shared" si="11"/>
        <v>市政基础设施</v>
      </c>
      <c r="R39" s="770" t="s">
        <v>21</v>
      </c>
      <c r="S39" s="771">
        <f t="shared" si="12"/>
        <v>100</v>
      </c>
      <c r="T39" s="770" t="s">
        <v>21</v>
      </c>
      <c r="U39" s="771">
        <f t="shared" si="13"/>
        <v>100</v>
      </c>
      <c r="V39" s="770" t="s">
        <v>21</v>
      </c>
      <c r="W39" s="771">
        <f t="shared" si="14"/>
        <v>100</v>
      </c>
      <c r="X39" s="1793"/>
      <c r="Y39" s="3755"/>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753"/>
      <c r="Q40" s="1790" t="str">
        <f t="shared" si="11"/>
        <v>房型</v>
      </c>
      <c r="R40" s="770" t="s">
        <v>21</v>
      </c>
      <c r="S40" s="771">
        <f t="shared" si="12"/>
        <v>100</v>
      </c>
      <c r="T40" s="770" t="s">
        <v>21</v>
      </c>
      <c r="U40" s="771">
        <f t="shared" si="13"/>
        <v>100</v>
      </c>
      <c r="V40" s="770" t="s">
        <v>21</v>
      </c>
      <c r="W40" s="771">
        <f t="shared" si="14"/>
        <v>100</v>
      </c>
      <c r="X40" s="1793"/>
      <c r="Y40" s="3755"/>
      <c r="Z40" s="1794" t="str">
        <f t="shared" si="18"/>
        <v>房型</v>
      </c>
      <c r="AA40" s="1791">
        <f t="shared" si="15"/>
        <v>1</v>
      </c>
      <c r="AB40" s="1791">
        <f t="shared" si="16"/>
        <v>1</v>
      </c>
      <c r="AC40" s="1791">
        <f t="shared" si="17"/>
        <v>1</v>
      </c>
    </row>
    <row r="41" spans="1:29" s="470" customFormat="1" ht="28.8">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753"/>
      <c r="Q41" s="772" t="str">
        <f t="shared" si="11"/>
        <v>单套/主力户型建筑面积</v>
      </c>
      <c r="R41" s="773" t="s">
        <v>21</v>
      </c>
      <c r="S41" s="774">
        <f t="shared" si="12"/>
        <v>100</v>
      </c>
      <c r="T41" s="773" t="s">
        <v>21</v>
      </c>
      <c r="U41" s="774">
        <f t="shared" si="13"/>
        <v>100</v>
      </c>
      <c r="V41" s="773" t="s">
        <v>21</v>
      </c>
      <c r="W41" s="774">
        <f t="shared" si="14"/>
        <v>100</v>
      </c>
      <c r="X41" s="775"/>
      <c r="Y41" s="3755"/>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753"/>
      <c r="Q42" s="1790" t="str">
        <f t="shared" si="11"/>
        <v>内部装修</v>
      </c>
      <c r="R42" s="770" t="s">
        <v>21</v>
      </c>
      <c r="S42" s="771">
        <f t="shared" si="12"/>
        <v>100</v>
      </c>
      <c r="T42" s="770" t="s">
        <v>21</v>
      </c>
      <c r="U42" s="771">
        <f t="shared" si="13"/>
        <v>100</v>
      </c>
      <c r="V42" s="770" t="s">
        <v>21</v>
      </c>
      <c r="W42" s="771">
        <f t="shared" si="14"/>
        <v>100</v>
      </c>
      <c r="X42" s="1793"/>
      <c r="Y42" s="3755"/>
      <c r="Z42" s="1794" t="str">
        <f t="shared" si="18"/>
        <v>内部装修</v>
      </c>
      <c r="AA42" s="1791">
        <f t="shared" si="15"/>
        <v>1</v>
      </c>
      <c r="AB42" s="1791">
        <f t="shared" si="16"/>
        <v>1</v>
      </c>
      <c r="AC42" s="1791">
        <f t="shared" si="17"/>
        <v>1</v>
      </c>
    </row>
    <row r="43" spans="1:29" ht="28.8">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753"/>
      <c r="Q43" s="1790" t="str">
        <f t="shared" si="11"/>
        <v>内部装修维护情况</v>
      </c>
      <c r="R43" s="770" t="s">
        <v>21</v>
      </c>
      <c r="S43" s="771">
        <f t="shared" si="12"/>
        <v>100</v>
      </c>
      <c r="T43" s="770" t="s">
        <v>21</v>
      </c>
      <c r="U43" s="771">
        <f t="shared" si="13"/>
        <v>100</v>
      </c>
      <c r="V43" s="770" t="s">
        <v>21</v>
      </c>
      <c r="W43" s="771">
        <f t="shared" si="14"/>
        <v>100</v>
      </c>
      <c r="X43" s="1793"/>
      <c r="Y43" s="3755"/>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753"/>
      <c r="Q44" s="1775">
        <f t="shared" si="11"/>
        <v>111</v>
      </c>
      <c r="R44" s="766" t="s">
        <v>21</v>
      </c>
      <c r="S44" s="767">
        <f t="shared" si="12"/>
        <v>100</v>
      </c>
      <c r="T44" s="766" t="s">
        <v>21</v>
      </c>
      <c r="U44" s="767">
        <f t="shared" si="13"/>
        <v>100</v>
      </c>
      <c r="V44" s="766" t="s">
        <v>21</v>
      </c>
      <c r="W44" s="767">
        <f t="shared" si="14"/>
        <v>100</v>
      </c>
      <c r="X44" s="768"/>
      <c r="Y44" s="3755"/>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753"/>
      <c r="Q45" s="1790">
        <f t="shared" si="11"/>
        <v>111</v>
      </c>
      <c r="R45" s="770" t="s">
        <v>21</v>
      </c>
      <c r="S45" s="771">
        <f t="shared" si="12"/>
        <v>100</v>
      </c>
      <c r="T45" s="770" t="s">
        <v>21</v>
      </c>
      <c r="U45" s="771">
        <f t="shared" si="13"/>
        <v>100</v>
      </c>
      <c r="V45" s="770" t="s">
        <v>21</v>
      </c>
      <c r="W45" s="771">
        <f t="shared" si="14"/>
        <v>100</v>
      </c>
      <c r="X45" s="1793"/>
      <c r="Y45" s="3755"/>
      <c r="Z45" s="1794">
        <f t="shared" si="18"/>
        <v>111</v>
      </c>
      <c r="AA45" s="1791">
        <f t="shared" si="15"/>
        <v>1</v>
      </c>
      <c r="AB45" s="1791">
        <f t="shared" si="16"/>
        <v>1</v>
      </c>
      <c r="AC45" s="1791">
        <f t="shared" si="17"/>
        <v>1</v>
      </c>
    </row>
    <row r="46" spans="1:29" ht="15.6"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754"/>
      <c r="Q46" s="1790">
        <f t="shared" si="11"/>
        <v>111</v>
      </c>
      <c r="R46" s="770" t="s">
        <v>20</v>
      </c>
      <c r="S46" s="771">
        <f t="shared" si="12"/>
        <v>100</v>
      </c>
      <c r="T46" s="770" t="s">
        <v>20</v>
      </c>
      <c r="U46" s="771">
        <f t="shared" si="13"/>
        <v>100</v>
      </c>
      <c r="V46" s="770" t="s">
        <v>20</v>
      </c>
      <c r="W46" s="771">
        <f t="shared" si="14"/>
        <v>100</v>
      </c>
      <c r="X46" s="1793"/>
      <c r="Y46" s="3756"/>
      <c r="Z46" s="1794">
        <f t="shared" si="18"/>
        <v>111</v>
      </c>
      <c r="AA46" s="1791">
        <f t="shared" si="15"/>
        <v>1</v>
      </c>
      <c r="AB46" s="1791">
        <f t="shared" si="16"/>
        <v>1</v>
      </c>
      <c r="AC46" s="1791">
        <f t="shared" si="17"/>
        <v>1</v>
      </c>
    </row>
    <row r="47" spans="1:29" ht="14.4">
      <c r="A47" s="478" t="s">
        <v>2565</v>
      </c>
      <c r="B47" s="479"/>
      <c r="C47" s="1388" t="s">
        <v>19</v>
      </c>
      <c r="D47" s="1389"/>
      <c r="E47" s="1390"/>
      <c r="F47" s="1391"/>
      <c r="G47" s="1392"/>
      <c r="H47" s="1393"/>
      <c r="I47" s="1390"/>
      <c r="J47" s="1393"/>
      <c r="K47" s="2594"/>
      <c r="L47" s="1126"/>
      <c r="M47" s="1127"/>
      <c r="N47" s="1114"/>
      <c r="O47" s="1127"/>
      <c r="P47" s="3757" t="str">
        <f>A47</f>
        <v>成交单价（元/平方米）</v>
      </c>
      <c r="Q47" s="3757"/>
      <c r="R47" s="3758">
        <f>E47</f>
        <v>0</v>
      </c>
      <c r="S47" s="3758"/>
      <c r="T47" s="3758">
        <f>G47</f>
        <v>0</v>
      </c>
      <c r="U47" s="3758"/>
      <c r="V47" s="3758">
        <f>I47</f>
        <v>0</v>
      </c>
      <c r="W47" s="3758"/>
      <c r="X47" s="755"/>
      <c r="Y47" s="777"/>
      <c r="Z47" s="755"/>
      <c r="AA47" s="755"/>
      <c r="AB47" s="755"/>
      <c r="AC47" s="755"/>
    </row>
    <row r="48" spans="1:29" ht="1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757" t="str">
        <f>A48</f>
        <v>比较价值（元/平方米）</v>
      </c>
      <c r="Q48" s="3757"/>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755"/>
      <c r="Y48" s="755"/>
      <c r="Z48" s="755"/>
      <c r="AA48" s="755"/>
      <c r="AB48" s="755"/>
      <c r="AC48" s="755"/>
    </row>
    <row r="49" spans="1:29" ht="15" thickBot="1">
      <c r="A49" s="491" t="s">
        <v>2567</v>
      </c>
      <c r="B49" s="492"/>
      <c r="C49" s="1397" t="e">
        <f>R49</f>
        <v>#DIV/0!</v>
      </c>
      <c r="D49" s="1398"/>
      <c r="E49" s="1398"/>
      <c r="F49" s="1398"/>
      <c r="G49" s="1398"/>
      <c r="H49" s="1398"/>
      <c r="I49" s="1398"/>
      <c r="J49" s="1398"/>
      <c r="K49" s="2596"/>
      <c r="L49" s="1126"/>
      <c r="M49" s="1127"/>
      <c r="N49" s="1127"/>
      <c r="O49" s="1127"/>
      <c r="P49" s="3759" t="str">
        <f>A49</f>
        <v>估价对象XX用房的比较价值（楼面单价，元/平方米）</v>
      </c>
      <c r="Q49" s="3760"/>
      <c r="R49" s="3761" t="e">
        <f>IF(F1="售价",ROUND(AVERAGE(R48:V48),0),ROUND(AVERAGE(R48:V48),1))</f>
        <v>#DIV/0!</v>
      </c>
      <c r="S49" s="3761"/>
      <c r="T49" s="3761"/>
      <c r="U49" s="3761"/>
      <c r="V49" s="3761"/>
      <c r="W49" s="3761"/>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2.2" thickBot="1">
      <c r="A57" s="759" t="s">
        <v>2571</v>
      </c>
      <c r="B57" s="755"/>
      <c r="C57" s="760"/>
      <c r="D57" s="760"/>
      <c r="E57" s="760"/>
      <c r="F57" s="761"/>
      <c r="G57" s="761"/>
      <c r="H57" s="760"/>
      <c r="I57" s="760"/>
      <c r="J57" s="760"/>
      <c r="K57" s="1143"/>
      <c r="L57" s="1144"/>
      <c r="M57" s="1142"/>
      <c r="N57" s="1142"/>
      <c r="O57" s="1142"/>
      <c r="P57" s="2599"/>
      <c r="Q57" s="503"/>
    </row>
    <row r="58" spans="1:29" s="507" customFormat="1" ht="14.4">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c r="A59" s="508"/>
      <c r="B59" s="2600"/>
      <c r="C59" s="1553">
        <v>100</v>
      </c>
      <c r="D59" s="510"/>
      <c r="E59" s="511"/>
      <c r="F59" s="511"/>
      <c r="G59" s="511"/>
      <c r="H59" s="511"/>
      <c r="I59" s="511"/>
      <c r="J59" s="511"/>
      <c r="K59" s="511"/>
      <c r="L59" s="511"/>
      <c r="M59" s="512"/>
      <c r="N59" s="511"/>
      <c r="O59" s="512"/>
      <c r="P59" s="2601"/>
    </row>
    <row r="60" spans="1:29" s="117" customFormat="1" ht="15" thickBot="1">
      <c r="A60" s="514" t="s">
        <v>2573</v>
      </c>
      <c r="B60" s="515"/>
      <c r="C60" s="516"/>
      <c r="D60" s="517"/>
      <c r="E60" s="517"/>
      <c r="F60" s="517"/>
      <c r="G60" s="517"/>
      <c r="H60" s="517"/>
      <c r="I60" s="517"/>
      <c r="J60" s="517"/>
      <c r="K60" s="517"/>
      <c r="L60" s="517"/>
      <c r="M60" s="518"/>
      <c r="N60" s="517"/>
      <c r="O60" s="518"/>
      <c r="P60" s="2601"/>
      <c r="Q60" s="503"/>
    </row>
    <row r="61" spans="1:29" s="117" customFormat="1" ht="14.4">
      <c r="A61" s="520" t="s">
        <v>2574</v>
      </c>
      <c r="B61" s="509"/>
      <c r="C61" s="521" t="s">
        <v>2575</v>
      </c>
      <c r="D61" s="522"/>
      <c r="E61" s="522"/>
      <c r="F61" s="522"/>
      <c r="G61" s="522"/>
      <c r="H61" s="522"/>
      <c r="I61" s="522"/>
      <c r="J61" s="522"/>
      <c r="K61" s="522"/>
      <c r="L61" s="523"/>
      <c r="M61" s="524"/>
      <c r="N61" s="1134"/>
      <c r="O61" s="1134"/>
      <c r="P61" s="2602"/>
      <c r="Q61" s="503"/>
    </row>
    <row r="62" spans="1:29" s="117" customFormat="1" ht="14.4" thickBot="1">
      <c r="A62" s="520"/>
      <c r="B62" s="509"/>
      <c r="C62" s="510">
        <v>100</v>
      </c>
      <c r="D62" s="511"/>
      <c r="E62" s="511"/>
      <c r="F62" s="511"/>
      <c r="G62" s="511"/>
      <c r="H62" s="511"/>
      <c r="I62" s="511"/>
      <c r="J62" s="511"/>
      <c r="K62" s="511"/>
      <c r="L62" s="511"/>
      <c r="M62" s="513"/>
      <c r="N62" s="1134"/>
      <c r="O62" s="1134"/>
      <c r="P62" s="2601"/>
      <c r="Q62" s="503"/>
    </row>
    <row r="63" spans="1:29" ht="14.4">
      <c r="A63" s="526" t="s">
        <v>2576</v>
      </c>
      <c r="B63" s="527" t="s">
        <v>2542</v>
      </c>
      <c r="C63" s="528">
        <f>C9</f>
        <v>0</v>
      </c>
      <c r="D63" s="529"/>
      <c r="E63" s="529"/>
      <c r="F63" s="529"/>
      <c r="G63" s="529"/>
      <c r="H63" s="529"/>
      <c r="I63" s="529"/>
      <c r="J63" s="529"/>
      <c r="K63" s="530"/>
      <c r="L63" s="531"/>
      <c r="M63" s="532"/>
      <c r="N63" s="1135"/>
      <c r="O63" s="1135"/>
      <c r="P63" s="2603"/>
      <c r="Q63" s="503"/>
    </row>
    <row r="64" spans="1:29" ht="14.4" thickBot="1">
      <c r="A64" s="533"/>
      <c r="B64" s="534"/>
      <c r="C64" s="535">
        <v>100</v>
      </c>
      <c r="D64" s="535"/>
      <c r="E64" s="535"/>
      <c r="F64" s="535"/>
      <c r="G64" s="535"/>
      <c r="H64" s="535"/>
      <c r="I64" s="535"/>
      <c r="J64" s="535"/>
      <c r="K64" s="535"/>
      <c r="L64" s="535"/>
      <c r="M64" s="536"/>
      <c r="N64" s="1136"/>
      <c r="O64" s="1136"/>
      <c r="P64" s="2603"/>
      <c r="Q64" s="503"/>
    </row>
    <row r="65" spans="1:17" ht="29.4"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c r="A68" s="533"/>
      <c r="B68" s="547"/>
      <c r="C68" s="548"/>
      <c r="D68" s="548"/>
      <c r="E68" s="548"/>
      <c r="F68" s="548"/>
      <c r="G68" s="548"/>
      <c r="H68" s="548"/>
      <c r="I68" s="548"/>
      <c r="J68" s="548"/>
      <c r="K68" s="549"/>
      <c r="L68" s="550"/>
      <c r="M68" s="551"/>
      <c r="N68" s="1135"/>
      <c r="O68" s="1135"/>
      <c r="P68" s="260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4.4" thickTop="1">
      <c r="A70" s="552"/>
      <c r="B70" s="537">
        <f>B12</f>
        <v>111</v>
      </c>
      <c r="C70" s="553"/>
      <c r="D70" s="553"/>
      <c r="E70" s="553"/>
      <c r="F70" s="553"/>
      <c r="G70" s="553"/>
      <c r="H70" s="554"/>
      <c r="I70" s="554"/>
      <c r="J70" s="554"/>
      <c r="K70" s="554"/>
      <c r="L70" s="555"/>
      <c r="M70" s="556"/>
      <c r="N70" s="1137"/>
      <c r="O70" s="1137"/>
      <c r="P70" s="2604"/>
      <c r="Q70" s="558"/>
    </row>
    <row r="71" spans="1:17" s="470" customFormat="1" ht="14.4" thickBot="1">
      <c r="A71" s="552"/>
      <c r="B71" s="542"/>
      <c r="C71" s="559"/>
      <c r="D71" s="535"/>
      <c r="E71" s="535"/>
      <c r="F71" s="535"/>
      <c r="G71" s="535"/>
      <c r="H71" s="535"/>
      <c r="I71" s="535"/>
      <c r="J71" s="535"/>
      <c r="K71" s="535"/>
      <c r="L71" s="535"/>
      <c r="M71" s="536"/>
      <c r="N71" s="1136"/>
      <c r="O71" s="1136"/>
      <c r="P71" s="2604"/>
      <c r="Q71" s="558"/>
    </row>
    <row r="72" spans="1:17" s="470" customFormat="1" ht="14.4" thickTop="1">
      <c r="A72" s="552"/>
      <c r="B72" s="537">
        <f>B13</f>
        <v>111</v>
      </c>
      <c r="C72" s="553"/>
      <c r="D72" s="553"/>
      <c r="E72" s="553"/>
      <c r="F72" s="553"/>
      <c r="G72" s="553"/>
      <c r="H72" s="554"/>
      <c r="I72" s="554"/>
      <c r="J72" s="554"/>
      <c r="K72" s="554"/>
      <c r="L72" s="555"/>
      <c r="M72" s="556"/>
      <c r="N72" s="1137"/>
      <c r="O72" s="1137"/>
      <c r="P72" s="2605"/>
      <c r="Q72" s="560"/>
    </row>
    <row r="73" spans="1:17" s="470" customFormat="1" ht="14.4" thickBot="1">
      <c r="A73" s="552"/>
      <c r="B73" s="542"/>
      <c r="C73" s="559"/>
      <c r="D73" s="559"/>
      <c r="E73" s="559"/>
      <c r="F73" s="559"/>
      <c r="G73" s="559"/>
      <c r="H73" s="561"/>
      <c r="I73" s="561"/>
      <c r="J73" s="561"/>
      <c r="K73" s="561"/>
      <c r="L73" s="561"/>
      <c r="M73" s="562"/>
      <c r="N73" s="1137"/>
      <c r="O73" s="1137"/>
      <c r="P73" s="2604"/>
      <c r="Q73" s="558"/>
    </row>
    <row r="74" spans="1:17" s="470" customFormat="1" ht="14.4" thickTop="1">
      <c r="A74" s="552"/>
      <c r="B74" s="545">
        <f>B14</f>
        <v>111</v>
      </c>
      <c r="C74" s="553"/>
      <c r="D74" s="553"/>
      <c r="E74" s="553"/>
      <c r="F74" s="553"/>
      <c r="G74" s="522"/>
      <c r="H74" s="563"/>
      <c r="I74" s="563"/>
      <c r="J74" s="563"/>
      <c r="K74" s="563"/>
      <c r="L74" s="564"/>
      <c r="M74" s="565"/>
      <c r="N74" s="1137"/>
      <c r="O74" s="1137"/>
      <c r="P74" s="2606"/>
      <c r="Q74" s="558"/>
    </row>
    <row r="75" spans="1:17" s="470" customFormat="1" ht="14.4" thickBot="1">
      <c r="A75" s="567"/>
      <c r="B75" s="568"/>
      <c r="C75" s="569"/>
      <c r="D75" s="569"/>
      <c r="E75" s="569"/>
      <c r="F75" s="569"/>
      <c r="G75" s="569"/>
      <c r="H75" s="570"/>
      <c r="I75" s="570"/>
      <c r="J75" s="570"/>
      <c r="K75" s="570"/>
      <c r="L75" s="570"/>
      <c r="M75" s="571"/>
      <c r="N75" s="1137"/>
      <c r="O75" s="1137"/>
      <c r="P75" s="2604"/>
      <c r="Q75" s="558"/>
    </row>
    <row r="76" spans="1:17" ht="14.4">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 thickTop="1">
      <c r="A86" s="578"/>
      <c r="B86" s="537" t="s">
        <v>2598</v>
      </c>
      <c r="C86" s="553"/>
      <c r="D86" s="553"/>
      <c r="E86" s="553"/>
      <c r="F86" s="553"/>
      <c r="G86" s="553"/>
      <c r="H86" s="553"/>
      <c r="I86" s="553"/>
      <c r="J86" s="553"/>
      <c r="K86" s="553"/>
      <c r="L86" s="579"/>
      <c r="M86" s="580"/>
      <c r="N86" s="1134"/>
      <c r="O86" s="1134"/>
      <c r="P86" s="2603"/>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 thickTop="1">
      <c r="A88" s="578"/>
      <c r="B88" s="537" t="s">
        <v>2599</v>
      </c>
      <c r="C88" s="553"/>
      <c r="D88" s="553"/>
      <c r="E88" s="553"/>
      <c r="F88" s="2608"/>
      <c r="G88" s="553"/>
      <c r="H88" s="553"/>
      <c r="I88" s="553"/>
      <c r="J88" s="553"/>
      <c r="K88" s="553"/>
      <c r="L88" s="553"/>
      <c r="M88" s="580"/>
      <c r="N88" s="1134"/>
      <c r="O88" s="1134"/>
      <c r="P88" s="2603"/>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4.4" thickTop="1">
      <c r="A90" s="552"/>
      <c r="B90" s="537">
        <f>B27</f>
        <v>111</v>
      </c>
      <c r="C90" s="553"/>
      <c r="D90" s="553"/>
      <c r="E90" s="553"/>
      <c r="F90" s="553"/>
      <c r="G90" s="553"/>
      <c r="H90" s="554"/>
      <c r="I90" s="554"/>
      <c r="J90" s="554"/>
      <c r="K90" s="554"/>
      <c r="L90" s="555"/>
      <c r="M90" s="556"/>
      <c r="N90" s="1137"/>
      <c r="O90" s="1137"/>
      <c r="P90" s="2604"/>
      <c r="Q90" s="558"/>
    </row>
    <row r="91" spans="1:17" s="470" customFormat="1" ht="14.4" thickBot="1">
      <c r="A91" s="552"/>
      <c r="B91" s="542"/>
      <c r="C91" s="559"/>
      <c r="D91" s="559"/>
      <c r="E91" s="559"/>
      <c r="F91" s="559"/>
      <c r="G91" s="559"/>
      <c r="H91" s="561"/>
      <c r="I91" s="561"/>
      <c r="J91" s="561"/>
      <c r="K91" s="561"/>
      <c r="L91" s="561"/>
      <c r="M91" s="562"/>
      <c r="N91" s="1137"/>
      <c r="O91" s="1137"/>
      <c r="P91" s="2604"/>
      <c r="Q91" s="558"/>
    </row>
    <row r="92" spans="1:17" ht="14.4" thickTop="1">
      <c r="A92" s="533"/>
      <c r="B92" s="537">
        <f>B28</f>
        <v>111</v>
      </c>
      <c r="C92" s="553"/>
      <c r="D92" s="553"/>
      <c r="E92" s="553"/>
      <c r="F92" s="553"/>
      <c r="G92" s="582"/>
      <c r="H92" s="582"/>
      <c r="I92" s="582"/>
      <c r="J92" s="582"/>
      <c r="K92" s="583"/>
      <c r="L92" s="584"/>
      <c r="M92" s="585"/>
      <c r="N92" s="1135"/>
      <c r="O92" s="1135"/>
      <c r="P92" s="2603"/>
      <c r="Q92" s="503"/>
    </row>
    <row r="93" spans="1:17" ht="14.4" thickBot="1">
      <c r="A93" s="533"/>
      <c r="B93" s="542"/>
      <c r="C93" s="559"/>
      <c r="D93" s="535"/>
      <c r="E93" s="535"/>
      <c r="F93" s="535"/>
      <c r="G93" s="535"/>
      <c r="H93" s="535"/>
      <c r="I93" s="535"/>
      <c r="J93" s="535"/>
      <c r="K93" s="535"/>
      <c r="L93" s="535"/>
      <c r="M93" s="536"/>
      <c r="N93" s="1136"/>
      <c r="O93" s="1136"/>
      <c r="P93" s="2603"/>
      <c r="Q93" s="503"/>
    </row>
    <row r="94" spans="1:17" ht="14.4" thickTop="1">
      <c r="A94" s="533"/>
      <c r="B94" s="537">
        <f>B29</f>
        <v>111</v>
      </c>
      <c r="C94" s="553"/>
      <c r="D94" s="553"/>
      <c r="E94" s="553"/>
      <c r="F94" s="553"/>
      <c r="G94" s="582"/>
      <c r="H94" s="582"/>
      <c r="I94" s="582"/>
      <c r="J94" s="582"/>
      <c r="K94" s="583"/>
      <c r="L94" s="584"/>
      <c r="M94" s="585"/>
      <c r="N94" s="1135"/>
      <c r="O94" s="1135"/>
      <c r="P94" s="2603"/>
      <c r="Q94" s="503"/>
    </row>
    <row r="95" spans="1:17" ht="14.4" thickBot="1">
      <c r="A95" s="533"/>
      <c r="B95" s="542"/>
      <c r="C95" s="559"/>
      <c r="D95" s="559"/>
      <c r="E95" s="559"/>
      <c r="F95" s="559"/>
      <c r="G95" s="535"/>
      <c r="H95" s="535"/>
      <c r="I95" s="535"/>
      <c r="J95" s="535"/>
      <c r="K95" s="535"/>
      <c r="L95" s="535"/>
      <c r="M95" s="536"/>
      <c r="N95" s="1136"/>
      <c r="O95" s="1136"/>
      <c r="P95" s="2603"/>
      <c r="Q95" s="503"/>
    </row>
    <row r="96" spans="1:17" ht="14.4" thickTop="1">
      <c r="A96" s="533"/>
      <c r="B96" s="537">
        <f>B30</f>
        <v>111</v>
      </c>
      <c r="C96" s="553"/>
      <c r="D96" s="553"/>
      <c r="E96" s="553"/>
      <c r="F96" s="553"/>
      <c r="G96" s="582"/>
      <c r="H96" s="582"/>
      <c r="I96" s="582"/>
      <c r="J96" s="582"/>
      <c r="K96" s="583"/>
      <c r="L96" s="584"/>
      <c r="M96" s="585"/>
      <c r="N96" s="1135"/>
      <c r="O96" s="1135"/>
      <c r="P96" s="2603"/>
      <c r="Q96" s="503"/>
    </row>
    <row r="97" spans="1:17" ht="14.4" thickBot="1">
      <c r="A97" s="533"/>
      <c r="B97" s="542"/>
      <c r="C97" s="569"/>
      <c r="D97" s="569"/>
      <c r="E97" s="569"/>
      <c r="F97" s="569"/>
      <c r="G97" s="535"/>
      <c r="H97" s="535"/>
      <c r="I97" s="535"/>
      <c r="J97" s="535"/>
      <c r="K97" s="535"/>
      <c r="L97" s="535"/>
      <c r="M97" s="536"/>
      <c r="N97" s="1136"/>
      <c r="O97" s="1136"/>
      <c r="P97" s="2603"/>
      <c r="Q97" s="503"/>
    </row>
    <row r="98" spans="1:17" ht="14.4" thickTop="1">
      <c r="A98" s="533"/>
      <c r="B98" s="545">
        <f>B31</f>
        <v>111</v>
      </c>
      <c r="C98" s="586"/>
      <c r="D98" s="586"/>
      <c r="E98" s="586"/>
      <c r="F98" s="586"/>
      <c r="G98" s="586"/>
      <c r="H98" s="586"/>
      <c r="I98" s="586"/>
      <c r="J98" s="586"/>
      <c r="K98" s="587"/>
      <c r="L98" s="588"/>
      <c r="M98" s="589"/>
      <c r="N98" s="1135"/>
      <c r="O98" s="1135"/>
      <c r="P98" s="2603"/>
      <c r="Q98" s="503"/>
    </row>
    <row r="99" spans="1:17" ht="14.4" thickBot="1">
      <c r="A99" s="2609"/>
      <c r="B99" s="568"/>
      <c r="C99" s="590"/>
      <c r="D99" s="590"/>
      <c r="E99" s="590"/>
      <c r="F99" s="590"/>
      <c r="G99" s="590"/>
      <c r="H99" s="590"/>
      <c r="I99" s="590"/>
      <c r="J99" s="590"/>
      <c r="K99" s="590"/>
      <c r="L99" s="590"/>
      <c r="M99" s="591"/>
      <c r="N99" s="1136"/>
      <c r="O99" s="1136"/>
      <c r="P99" s="2603"/>
      <c r="Q99" s="503"/>
    </row>
    <row r="100" spans="1:17" ht="14.4">
      <c r="A100" s="526" t="s">
        <v>2551</v>
      </c>
      <c r="B100" s="527" t="s">
        <v>2600</v>
      </c>
      <c r="C100" s="529"/>
      <c r="D100" s="529"/>
      <c r="E100" s="529"/>
      <c r="F100" s="529"/>
      <c r="G100" s="529"/>
      <c r="H100" s="529"/>
      <c r="I100" s="529"/>
      <c r="J100" s="529"/>
      <c r="K100" s="530"/>
      <c r="L100" s="531"/>
      <c r="M100" s="532"/>
      <c r="N100" s="1135"/>
      <c r="O100" s="1135"/>
      <c r="P100" s="2603"/>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4.4"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9.4"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4.4"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29.4"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4.4"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4.4" thickBot="1">
      <c r="A127" s="552"/>
      <c r="B127" s="542"/>
      <c r="C127" s="559"/>
      <c r="D127" s="535"/>
      <c r="E127" s="535"/>
      <c r="F127" s="535"/>
      <c r="G127" s="559"/>
      <c r="H127" s="561"/>
      <c r="I127" s="561"/>
      <c r="J127" s="561"/>
      <c r="K127" s="561"/>
      <c r="L127" s="561"/>
      <c r="M127" s="562"/>
      <c r="N127" s="1137"/>
      <c r="O127" s="1137"/>
      <c r="P127" s="2604"/>
      <c r="Q127" s="558"/>
    </row>
    <row r="128" spans="1:17" ht="14.4" thickTop="1">
      <c r="A128" s="598"/>
      <c r="B128" s="537">
        <f>B45</f>
        <v>111</v>
      </c>
      <c r="C128" s="553"/>
      <c r="D128" s="553"/>
      <c r="E128" s="553"/>
      <c r="F128" s="553"/>
      <c r="G128" s="582"/>
      <c r="H128" s="582"/>
      <c r="I128" s="582"/>
      <c r="J128" s="582"/>
      <c r="K128" s="583"/>
      <c r="L128" s="584"/>
      <c r="M128" s="585"/>
      <c r="N128" s="1135"/>
      <c r="O128" s="1135"/>
      <c r="P128" s="2603"/>
      <c r="Q128" s="503"/>
    </row>
    <row r="129" spans="1:17" ht="14.4" thickBot="1">
      <c r="A129" s="533"/>
      <c r="B129" s="542"/>
      <c r="C129" s="559"/>
      <c r="D129" s="559"/>
      <c r="E129" s="559"/>
      <c r="F129" s="559"/>
      <c r="G129" s="535"/>
      <c r="H129" s="535"/>
      <c r="I129" s="535"/>
      <c r="J129" s="535"/>
      <c r="K129" s="535"/>
      <c r="L129" s="535"/>
      <c r="M129" s="536"/>
      <c r="N129" s="1136"/>
      <c r="O129" s="1136"/>
      <c r="P129" s="2603"/>
      <c r="Q129" s="503"/>
    </row>
    <row r="130" spans="1:17" ht="14.4" thickTop="1">
      <c r="A130" s="598"/>
      <c r="B130" s="545">
        <f>B46</f>
        <v>111</v>
      </c>
      <c r="C130" s="553"/>
      <c r="D130" s="553"/>
      <c r="E130" s="553"/>
      <c r="F130" s="553"/>
      <c r="G130" s="586"/>
      <c r="H130" s="586"/>
      <c r="I130" s="586"/>
      <c r="J130" s="586"/>
      <c r="K130" s="522"/>
      <c r="L130" s="523"/>
      <c r="M130" s="589"/>
      <c r="N130" s="1135"/>
      <c r="O130" s="1135"/>
      <c r="P130" s="2603"/>
      <c r="Q130" s="503"/>
    </row>
    <row r="131" spans="1:17" ht="14.4"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6.2"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ht="14.4">
      <c r="B147" s="2610" t="s">
        <v>2628</v>
      </c>
    </row>
    <row r="148" spans="2:11" ht="14.4">
      <c r="B148" s="261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E20 I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42164.249999999993</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4.4">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7" t="s">
        <v>2636</v>
      </c>
      <c r="AC4" s="3716" t="s">
        <v>2637</v>
      </c>
    </row>
    <row r="5" spans="1:29">
      <c r="A5" s="403"/>
      <c r="B5" s="404"/>
      <c r="C5" s="3791" t="s">
        <v>2530</v>
      </c>
      <c r="D5" s="3792"/>
      <c r="E5" s="3789" t="s">
        <v>2531</v>
      </c>
      <c r="F5" s="3790"/>
      <c r="G5" s="3791" t="s">
        <v>2532</v>
      </c>
      <c r="H5" s="3792"/>
      <c r="I5" s="3791" t="s">
        <v>2533</v>
      </c>
      <c r="J5" s="3792"/>
      <c r="K5" s="609"/>
      <c r="L5" s="1113"/>
      <c r="M5" s="1114"/>
      <c r="N5" s="1114"/>
      <c r="O5" s="1114"/>
      <c r="P5" s="3741"/>
      <c r="Q5" s="3742"/>
      <c r="R5" s="3724"/>
      <c r="S5" s="3725"/>
      <c r="T5" s="3724"/>
      <c r="U5" s="3725"/>
      <c r="V5" s="3719"/>
      <c r="W5" s="3719"/>
      <c r="X5" s="1793"/>
      <c r="Y5" s="3724"/>
      <c r="Z5" s="3725"/>
      <c r="AA5" s="3717"/>
      <c r="AB5" s="3717"/>
      <c r="AC5" s="3717"/>
    </row>
    <row r="6" spans="1:29" ht="15" thickBot="1">
      <c r="A6" s="405"/>
      <c r="B6" s="406"/>
      <c r="C6" s="3730" t="s">
        <v>2534</v>
      </c>
      <c r="D6" s="3731"/>
      <c r="E6" s="3732" t="s">
        <v>2534</v>
      </c>
      <c r="F6" s="3733"/>
      <c r="G6" s="3730" t="s">
        <v>2534</v>
      </c>
      <c r="H6" s="3731"/>
      <c r="I6" s="3730" t="s">
        <v>2534</v>
      </c>
      <c r="J6" s="3731"/>
      <c r="K6" s="609" t="s">
        <v>2535</v>
      </c>
      <c r="L6" s="1113"/>
      <c r="M6" s="1114"/>
      <c r="N6" s="1114"/>
      <c r="O6" s="1114"/>
      <c r="P6" s="3743"/>
      <c r="Q6" s="3744"/>
      <c r="R6" s="3724"/>
      <c r="S6" s="3725"/>
      <c r="T6" s="3745"/>
      <c r="U6" s="3746"/>
      <c r="V6" s="3719"/>
      <c r="W6" s="3719"/>
      <c r="X6" s="1793"/>
      <c r="Y6" s="3745"/>
      <c r="Z6" s="3746"/>
      <c r="AA6" s="3718"/>
      <c r="AB6" s="3718"/>
      <c r="AC6" s="3718"/>
    </row>
    <row r="7" spans="1:29" s="117" customFormat="1" ht="15" thickBot="1">
      <c r="A7" s="407" t="s">
        <v>2536</v>
      </c>
      <c r="B7" s="408"/>
      <c r="C7" s="409">
        <f>'数据-取费表'!B2</f>
        <v>43836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720" t="s">
        <v>2537</v>
      </c>
      <c r="Q7" s="3747"/>
      <c r="R7" s="766" t="s">
        <v>17</v>
      </c>
      <c r="S7" s="767">
        <f t="shared" ref="S7:S15" si="0">F7</f>
        <v>0</v>
      </c>
      <c r="T7" s="766" t="s">
        <v>17</v>
      </c>
      <c r="U7" s="767">
        <f t="shared" ref="U7:U15" si="1">H7</f>
        <v>0</v>
      </c>
      <c r="V7" s="766" t="s">
        <v>17</v>
      </c>
      <c r="W7" s="767">
        <f t="shared" ref="W7:W15" si="2">J7</f>
        <v>0</v>
      </c>
      <c r="X7" s="768"/>
      <c r="Y7" s="3720" t="s">
        <v>2537</v>
      </c>
      <c r="Z7" s="3721"/>
      <c r="AA7" s="769" t="e">
        <f>D7/F7</f>
        <v>#DIV/0!</v>
      </c>
      <c r="AB7" s="769" t="e">
        <f>D7/H7</f>
        <v>#DIV/0!</v>
      </c>
      <c r="AC7" s="769" t="e">
        <f>D7/J7</f>
        <v>#DIV/0!</v>
      </c>
    </row>
    <row r="8" spans="1:29" s="117" customFormat="1" ht="1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720" t="s">
        <v>2540</v>
      </c>
      <c r="Q8" s="3721"/>
      <c r="R8" s="766" t="s">
        <v>17</v>
      </c>
      <c r="S8" s="767">
        <f t="shared" si="0"/>
        <v>0</v>
      </c>
      <c r="T8" s="766" t="s">
        <v>17</v>
      </c>
      <c r="U8" s="767">
        <f t="shared" si="1"/>
        <v>0</v>
      </c>
      <c r="V8" s="766" t="s">
        <v>17</v>
      </c>
      <c r="W8" s="767">
        <f t="shared" si="2"/>
        <v>0</v>
      </c>
      <c r="X8" s="768"/>
      <c r="Y8" s="3720" t="s">
        <v>2540</v>
      </c>
      <c r="Z8" s="3721"/>
      <c r="AA8" s="769" t="e">
        <f t="shared" ref="AA8:AA40" si="3">D8/F8</f>
        <v>#DIV/0!</v>
      </c>
      <c r="AB8" s="769" t="e">
        <f t="shared" ref="AB8:AB40" si="4">D8/H8</f>
        <v>#DIV/0!</v>
      </c>
      <c r="AC8" s="769" t="e">
        <f t="shared" ref="AC8:AC40" si="5">D8/J8</f>
        <v>#DIV/0!</v>
      </c>
    </row>
    <row r="9" spans="1:29" s="117" customFormat="1" ht="14.4">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757"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769">
        <f t="shared" si="5"/>
        <v>1</v>
      </c>
    </row>
    <row r="10" spans="1:29" s="426" customFormat="1" ht="28.8">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757"/>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757"/>
      <c r="Q11" s="1775" t="str">
        <f t="shared" si="6"/>
        <v>容积率</v>
      </c>
      <c r="R11" s="766" t="s">
        <v>17</v>
      </c>
      <c r="S11" s="767" t="e">
        <f t="shared" si="0"/>
        <v>#N/A</v>
      </c>
      <c r="T11" s="766" t="s">
        <v>17</v>
      </c>
      <c r="U11" s="767" t="e">
        <f t="shared" si="1"/>
        <v>#N/A</v>
      </c>
      <c r="V11" s="766" t="s">
        <v>17</v>
      </c>
      <c r="W11" s="767" t="e">
        <f t="shared" si="2"/>
        <v>#N/A</v>
      </c>
      <c r="X11" s="768"/>
      <c r="Y11" s="3521"/>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757"/>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757"/>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5.6"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757"/>
      <c r="Q14" s="1775">
        <f t="shared" si="6"/>
        <v>111</v>
      </c>
      <c r="R14" s="766" t="s">
        <v>17</v>
      </c>
      <c r="S14" s="767">
        <f t="shared" si="0"/>
        <v>100</v>
      </c>
      <c r="T14" s="766" t="s">
        <v>17</v>
      </c>
      <c r="U14" s="767">
        <f t="shared" si="1"/>
        <v>100</v>
      </c>
      <c r="V14" s="766" t="s">
        <v>17</v>
      </c>
      <c r="W14" s="767">
        <f t="shared" si="2"/>
        <v>100</v>
      </c>
      <c r="X14" s="768"/>
      <c r="Y14" s="3521"/>
      <c r="Z14" s="55">
        <f t="shared" si="7"/>
        <v>111</v>
      </c>
      <c r="AA14" s="769">
        <f t="shared" si="3"/>
        <v>1</v>
      </c>
      <c r="AB14" s="769">
        <f t="shared" si="4"/>
        <v>1</v>
      </c>
      <c r="AC14" s="769">
        <f t="shared" si="5"/>
        <v>1</v>
      </c>
    </row>
    <row r="15" spans="1:29" ht="69">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750" t="s">
        <v>2548</v>
      </c>
      <c r="Q15" s="1790" t="str">
        <f t="shared" si="6"/>
        <v>产业集聚程度</v>
      </c>
      <c r="R15" s="770" t="s">
        <v>17</v>
      </c>
      <c r="S15" s="771">
        <f t="shared" si="0"/>
        <v>100</v>
      </c>
      <c r="T15" s="770" t="s">
        <v>17</v>
      </c>
      <c r="U15" s="771">
        <f t="shared" si="1"/>
        <v>100</v>
      </c>
      <c r="V15" s="770" t="s">
        <v>17</v>
      </c>
      <c r="W15" s="771">
        <f t="shared" si="2"/>
        <v>100</v>
      </c>
      <c r="X15" s="1793"/>
      <c r="Y15" s="3750"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751"/>
      <c r="Q16" s="1790"/>
      <c r="R16" s="770"/>
      <c r="S16" s="771"/>
      <c r="T16" s="770"/>
      <c r="U16" s="771"/>
      <c r="V16" s="770"/>
      <c r="W16" s="771"/>
      <c r="X16" s="1793"/>
      <c r="Y16" s="3751"/>
      <c r="Z16" s="1794"/>
      <c r="AA16" s="1791">
        <v>1</v>
      </c>
      <c r="AB16" s="1791">
        <v>1</v>
      </c>
      <c r="AC16" s="1791">
        <v>1</v>
      </c>
    </row>
    <row r="17" spans="1:29" ht="96.6">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751"/>
      <c r="Q17" s="1790" t="str">
        <f>B17</f>
        <v>交通便捷度</v>
      </c>
      <c r="R17" s="770" t="s">
        <v>17</v>
      </c>
      <c r="S17" s="771">
        <f>F17</f>
        <v>100</v>
      </c>
      <c r="T17" s="770" t="s">
        <v>17</v>
      </c>
      <c r="U17" s="771">
        <f>H17</f>
        <v>100</v>
      </c>
      <c r="V17" s="770" t="s">
        <v>17</v>
      </c>
      <c r="W17" s="771">
        <f>J17</f>
        <v>100</v>
      </c>
      <c r="X17" s="1793"/>
      <c r="Y17" s="3751"/>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751"/>
      <c r="Q18" s="1790"/>
      <c r="R18" s="770"/>
      <c r="S18" s="771"/>
      <c r="T18" s="770"/>
      <c r="U18" s="771"/>
      <c r="V18" s="770"/>
      <c r="W18" s="771"/>
      <c r="X18" s="1793"/>
      <c r="Y18" s="3751"/>
      <c r="Z18" s="1794"/>
      <c r="AA18" s="1791">
        <v>1</v>
      </c>
      <c r="AB18" s="1791">
        <v>1</v>
      </c>
      <c r="AC18" s="1791">
        <v>1</v>
      </c>
    </row>
    <row r="19" spans="1:29" ht="41.4">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751"/>
      <c r="Q19" s="1790" t="str">
        <f>B19</f>
        <v>公共配套设施</v>
      </c>
      <c r="R19" s="770" t="s">
        <v>17</v>
      </c>
      <c r="S19" s="771">
        <f>F19</f>
        <v>100</v>
      </c>
      <c r="T19" s="770" t="s">
        <v>17</v>
      </c>
      <c r="U19" s="771">
        <f>H19</f>
        <v>100</v>
      </c>
      <c r="V19" s="770" t="s">
        <v>17</v>
      </c>
      <c r="W19" s="771">
        <f>J19</f>
        <v>100</v>
      </c>
      <c r="X19" s="1793"/>
      <c r="Y19" s="3751"/>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751"/>
      <c r="Q20" s="1790"/>
      <c r="R20" s="770"/>
      <c r="S20" s="771"/>
      <c r="T20" s="770"/>
      <c r="U20" s="771"/>
      <c r="V20" s="770"/>
      <c r="W20" s="771"/>
      <c r="X20" s="1793"/>
      <c r="Y20" s="3751"/>
      <c r="Z20" s="1794"/>
      <c r="AA20" s="1791">
        <v>1</v>
      </c>
      <c r="AB20" s="1791">
        <v>1</v>
      </c>
      <c r="AC20" s="1791">
        <v>1</v>
      </c>
    </row>
    <row r="21" spans="1:29" ht="41.4">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751"/>
      <c r="Q21" s="1790" t="str">
        <f>B21</f>
        <v>基础设施水平</v>
      </c>
      <c r="R21" s="770" t="s">
        <v>17</v>
      </c>
      <c r="S21" s="771">
        <f>F21</f>
        <v>100</v>
      </c>
      <c r="T21" s="770" t="s">
        <v>17</v>
      </c>
      <c r="U21" s="771">
        <f>H21</f>
        <v>100</v>
      </c>
      <c r="V21" s="770" t="s">
        <v>17</v>
      </c>
      <c r="W21" s="771">
        <f>J21</f>
        <v>100</v>
      </c>
      <c r="X21" s="1793"/>
      <c r="Y21" s="3751"/>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751"/>
      <c r="Q22" s="1790"/>
      <c r="R22" s="770"/>
      <c r="S22" s="771"/>
      <c r="T22" s="770"/>
      <c r="U22" s="771"/>
      <c r="V22" s="770"/>
      <c r="W22" s="771"/>
      <c r="X22" s="1793"/>
      <c r="Y22" s="3751"/>
      <c r="Z22" s="1794"/>
      <c r="AA22" s="1791">
        <v>1</v>
      </c>
      <c r="AB22" s="1791">
        <v>1</v>
      </c>
      <c r="AC22" s="1791">
        <v>1</v>
      </c>
    </row>
    <row r="23" spans="1:29" ht="82.8">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751"/>
      <c r="Q23" s="1790" t="str">
        <f>B23</f>
        <v>环境质量</v>
      </c>
      <c r="R23" s="770" t="s">
        <v>17</v>
      </c>
      <c r="S23" s="771">
        <f>F23</f>
        <v>100</v>
      </c>
      <c r="T23" s="770" t="s">
        <v>17</v>
      </c>
      <c r="U23" s="771">
        <f>H23</f>
        <v>100</v>
      </c>
      <c r="V23" s="770" t="s">
        <v>17</v>
      </c>
      <c r="W23" s="771">
        <f>J23</f>
        <v>100</v>
      </c>
      <c r="X23" s="1793"/>
      <c r="Y23" s="3751"/>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751"/>
      <c r="Q24" s="1790"/>
      <c r="R24" s="770"/>
      <c r="S24" s="771"/>
      <c r="T24" s="770"/>
      <c r="U24" s="771"/>
      <c r="V24" s="770"/>
      <c r="W24" s="771"/>
      <c r="X24" s="1793"/>
      <c r="Y24" s="3751"/>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751"/>
      <c r="Q25" s="1790">
        <f>B25</f>
        <v>111</v>
      </c>
      <c r="R25" s="770" t="s">
        <v>17</v>
      </c>
      <c r="S25" s="771">
        <f>F25</f>
        <v>100</v>
      </c>
      <c r="T25" s="770" t="s">
        <v>17</v>
      </c>
      <c r="U25" s="771">
        <f>H25</f>
        <v>100</v>
      </c>
      <c r="V25" s="770" t="s">
        <v>17</v>
      </c>
      <c r="W25" s="771">
        <f>J25</f>
        <v>100</v>
      </c>
      <c r="X25" s="1793"/>
      <c r="Y25" s="3751"/>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751"/>
      <c r="Q26" s="1790">
        <f t="shared" ref="Q26:Q40" si="11">B26</f>
        <v>111</v>
      </c>
      <c r="R26" s="770" t="s">
        <v>17</v>
      </c>
      <c r="S26" s="771">
        <f>F26</f>
        <v>100</v>
      </c>
      <c r="T26" s="770" t="s">
        <v>17</v>
      </c>
      <c r="U26" s="771">
        <f>H26</f>
        <v>100</v>
      </c>
      <c r="V26" s="770" t="s">
        <v>17</v>
      </c>
      <c r="W26" s="771">
        <f>J26</f>
        <v>100</v>
      </c>
      <c r="X26" s="1793"/>
      <c r="Y26" s="3751"/>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751"/>
      <c r="Q27" s="1775">
        <f t="shared" si="11"/>
        <v>111</v>
      </c>
      <c r="R27" s="766" t="s">
        <v>17</v>
      </c>
      <c r="S27" s="767">
        <f>F27</f>
        <v>100</v>
      </c>
      <c r="T27" s="766" t="s">
        <v>17</v>
      </c>
      <c r="U27" s="767">
        <f>H27</f>
        <v>100</v>
      </c>
      <c r="V27" s="766" t="s">
        <v>17</v>
      </c>
      <c r="W27" s="767">
        <f>J27</f>
        <v>100</v>
      </c>
      <c r="X27" s="768"/>
      <c r="Y27" s="3751"/>
      <c r="Z27" s="55">
        <f>Q27</f>
        <v>111</v>
      </c>
      <c r="AA27" s="1791">
        <f>D27/F27</f>
        <v>1</v>
      </c>
      <c r="AB27" s="1791">
        <f>D27/H27</f>
        <v>1</v>
      </c>
      <c r="AC27" s="1791">
        <f>D27/J27</f>
        <v>1</v>
      </c>
    </row>
    <row r="28" spans="1:29" ht="15.6"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751"/>
      <c r="Q28" s="1790">
        <f t="shared" si="11"/>
        <v>111</v>
      </c>
      <c r="R28" s="770" t="s">
        <v>17</v>
      </c>
      <c r="S28" s="771">
        <f t="shared" ref="S28:S40" si="12">F28</f>
        <v>100</v>
      </c>
      <c r="T28" s="770" t="s">
        <v>17</v>
      </c>
      <c r="U28" s="771">
        <f t="shared" ref="U28:U40" si="13">H28</f>
        <v>100</v>
      </c>
      <c r="V28" s="770" t="s">
        <v>17</v>
      </c>
      <c r="W28" s="771">
        <f t="shared" ref="W28:W40" si="14">J28</f>
        <v>100</v>
      </c>
      <c r="X28" s="1793"/>
      <c r="Y28" s="3751"/>
      <c r="Z28" s="1794">
        <f t="shared" ref="Z28:Z40" si="15">Q28</f>
        <v>111</v>
      </c>
      <c r="AA28" s="1791">
        <f t="shared" si="3"/>
        <v>1</v>
      </c>
      <c r="AB28" s="1791">
        <f t="shared" si="4"/>
        <v>1</v>
      </c>
      <c r="AC28" s="1791">
        <f t="shared" si="5"/>
        <v>1</v>
      </c>
    </row>
    <row r="29" spans="1:29" ht="30">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93" t="s">
        <v>2553</v>
      </c>
      <c r="Q29" s="1790" t="str">
        <f t="shared" si="11"/>
        <v>建筑类型</v>
      </c>
      <c r="R29" s="770" t="s">
        <v>17</v>
      </c>
      <c r="S29" s="771">
        <f t="shared" si="12"/>
        <v>100</v>
      </c>
      <c r="T29" s="770" t="s">
        <v>17</v>
      </c>
      <c r="U29" s="771">
        <f t="shared" si="13"/>
        <v>100</v>
      </c>
      <c r="V29" s="770" t="s">
        <v>17</v>
      </c>
      <c r="W29" s="771">
        <f t="shared" si="14"/>
        <v>100</v>
      </c>
      <c r="X29" s="1793"/>
      <c r="Y29" s="3755"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755"/>
      <c r="Q30" s="772" t="str">
        <f t="shared" si="11"/>
        <v>项目建筑规模</v>
      </c>
      <c r="R30" s="773" t="s">
        <v>17</v>
      </c>
      <c r="S30" s="774" t="e">
        <f t="shared" si="12"/>
        <v>#N/A</v>
      </c>
      <c r="T30" s="773" t="s">
        <v>17</v>
      </c>
      <c r="U30" s="774" t="e">
        <f t="shared" si="13"/>
        <v>#N/A</v>
      </c>
      <c r="V30" s="773" t="s">
        <v>17</v>
      </c>
      <c r="W30" s="774" t="e">
        <f t="shared" si="14"/>
        <v>#N/A</v>
      </c>
      <c r="X30" s="775"/>
      <c r="Y30" s="3755"/>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755"/>
      <c r="Q31" s="1790" t="str">
        <f t="shared" si="11"/>
        <v>建筑结构</v>
      </c>
      <c r="R31" s="770" t="s">
        <v>17</v>
      </c>
      <c r="S31" s="771">
        <f t="shared" si="12"/>
        <v>100</v>
      </c>
      <c r="T31" s="770" t="s">
        <v>17</v>
      </c>
      <c r="U31" s="771">
        <f t="shared" si="13"/>
        <v>100</v>
      </c>
      <c r="V31" s="770" t="s">
        <v>17</v>
      </c>
      <c r="W31" s="771">
        <f t="shared" si="14"/>
        <v>100</v>
      </c>
      <c r="X31" s="1793"/>
      <c r="Y31" s="3755"/>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755"/>
      <c r="Q32" s="1790" t="str">
        <f t="shared" si="11"/>
        <v>公共部分装修</v>
      </c>
      <c r="R32" s="770" t="s">
        <v>17</v>
      </c>
      <c r="S32" s="771">
        <f t="shared" si="12"/>
        <v>100</v>
      </c>
      <c r="T32" s="770" t="s">
        <v>17</v>
      </c>
      <c r="U32" s="771">
        <f t="shared" si="13"/>
        <v>100</v>
      </c>
      <c r="V32" s="770" t="s">
        <v>17</v>
      </c>
      <c r="W32" s="771">
        <f t="shared" si="14"/>
        <v>100</v>
      </c>
      <c r="X32" s="1793"/>
      <c r="Y32" s="3755"/>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755"/>
      <c r="Q33" s="1790" t="str">
        <f t="shared" si="11"/>
        <v>成新度</v>
      </c>
      <c r="R33" s="770" t="s">
        <v>17</v>
      </c>
      <c r="S33" s="771" t="e">
        <f t="shared" si="12"/>
        <v>#N/A</v>
      </c>
      <c r="T33" s="770" t="s">
        <v>17</v>
      </c>
      <c r="U33" s="771" t="e">
        <f t="shared" si="13"/>
        <v>#N/A</v>
      </c>
      <c r="V33" s="770" t="s">
        <v>17</v>
      </c>
      <c r="W33" s="771" t="e">
        <f t="shared" si="14"/>
        <v>#N/A</v>
      </c>
      <c r="X33" s="1793"/>
      <c r="Y33" s="3755"/>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755"/>
      <c r="Q34" s="1775" t="str">
        <f t="shared" si="11"/>
        <v>物业管理</v>
      </c>
      <c r="R34" s="766" t="s">
        <v>17</v>
      </c>
      <c r="S34" s="767">
        <f t="shared" si="12"/>
        <v>100</v>
      </c>
      <c r="T34" s="766" t="s">
        <v>17</v>
      </c>
      <c r="U34" s="767">
        <f t="shared" si="13"/>
        <v>100</v>
      </c>
      <c r="V34" s="766" t="s">
        <v>17</v>
      </c>
      <c r="W34" s="767">
        <f t="shared" si="14"/>
        <v>100</v>
      </c>
      <c r="X34" s="768"/>
      <c r="Y34" s="3755"/>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755" t="s">
        <v>2553</v>
      </c>
      <c r="Q35" s="1790" t="str">
        <f t="shared" si="11"/>
        <v>市政基础设施</v>
      </c>
      <c r="R35" s="770" t="s">
        <v>17</v>
      </c>
      <c r="S35" s="771">
        <f t="shared" si="12"/>
        <v>100</v>
      </c>
      <c r="T35" s="770" t="s">
        <v>17</v>
      </c>
      <c r="U35" s="771">
        <f t="shared" si="13"/>
        <v>100</v>
      </c>
      <c r="V35" s="770" t="s">
        <v>17</v>
      </c>
      <c r="W35" s="771">
        <f t="shared" si="14"/>
        <v>100</v>
      </c>
      <c r="X35" s="1793"/>
      <c r="Y35" s="3755"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755"/>
      <c r="Q36" s="1790" t="str">
        <f t="shared" si="11"/>
        <v>内部装修</v>
      </c>
      <c r="R36" s="770" t="s">
        <v>17</v>
      </c>
      <c r="S36" s="771">
        <f t="shared" si="12"/>
        <v>100</v>
      </c>
      <c r="T36" s="770" t="s">
        <v>17</v>
      </c>
      <c r="U36" s="771">
        <f t="shared" si="13"/>
        <v>100</v>
      </c>
      <c r="V36" s="770" t="s">
        <v>17</v>
      </c>
      <c r="W36" s="771">
        <f t="shared" si="14"/>
        <v>100</v>
      </c>
      <c r="X36" s="1793"/>
      <c r="Y36" s="3755"/>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755"/>
      <c r="Q37" s="1790" t="str">
        <f t="shared" si="11"/>
        <v>内部装修状况</v>
      </c>
      <c r="R37" s="770" t="s">
        <v>17</v>
      </c>
      <c r="S37" s="771">
        <f t="shared" si="12"/>
        <v>100</v>
      </c>
      <c r="T37" s="770" t="s">
        <v>17</v>
      </c>
      <c r="U37" s="771">
        <f t="shared" si="13"/>
        <v>100</v>
      </c>
      <c r="V37" s="770" t="s">
        <v>17</v>
      </c>
      <c r="W37" s="771">
        <f t="shared" si="14"/>
        <v>100</v>
      </c>
      <c r="X37" s="1793"/>
      <c r="Y37" s="3755"/>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755"/>
      <c r="Q38" s="772">
        <f t="shared" si="11"/>
        <v>111</v>
      </c>
      <c r="R38" s="773" t="s">
        <v>17</v>
      </c>
      <c r="S38" s="774">
        <f t="shared" si="12"/>
        <v>100</v>
      </c>
      <c r="T38" s="773" t="s">
        <v>17</v>
      </c>
      <c r="U38" s="774">
        <f t="shared" si="13"/>
        <v>100</v>
      </c>
      <c r="V38" s="773" t="s">
        <v>17</v>
      </c>
      <c r="W38" s="774">
        <f t="shared" si="14"/>
        <v>100</v>
      </c>
      <c r="X38" s="775"/>
      <c r="Y38" s="3755"/>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755"/>
      <c r="Q39" s="1790">
        <f t="shared" si="11"/>
        <v>111</v>
      </c>
      <c r="R39" s="770" t="s">
        <v>17</v>
      </c>
      <c r="S39" s="771">
        <f t="shared" si="12"/>
        <v>100</v>
      </c>
      <c r="T39" s="770" t="s">
        <v>17</v>
      </c>
      <c r="U39" s="771">
        <f t="shared" si="13"/>
        <v>100</v>
      </c>
      <c r="V39" s="770" t="s">
        <v>17</v>
      </c>
      <c r="W39" s="771">
        <f t="shared" si="14"/>
        <v>100</v>
      </c>
      <c r="X39" s="1793"/>
      <c r="Y39" s="3755"/>
      <c r="Z39" s="1794">
        <f t="shared" si="15"/>
        <v>111</v>
      </c>
      <c r="AA39" s="1791">
        <f t="shared" si="3"/>
        <v>1</v>
      </c>
      <c r="AB39" s="1791">
        <f t="shared" si="4"/>
        <v>1</v>
      </c>
      <c r="AC39" s="1791">
        <f t="shared" si="5"/>
        <v>1</v>
      </c>
    </row>
    <row r="40" spans="1:29" ht="15.6"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756"/>
      <c r="Q40" s="1790">
        <f t="shared" si="11"/>
        <v>111</v>
      </c>
      <c r="R40" s="770" t="s">
        <v>17</v>
      </c>
      <c r="S40" s="771">
        <f t="shared" si="12"/>
        <v>100</v>
      </c>
      <c r="T40" s="770" t="s">
        <v>17</v>
      </c>
      <c r="U40" s="771">
        <f t="shared" si="13"/>
        <v>100</v>
      </c>
      <c r="V40" s="770" t="s">
        <v>17</v>
      </c>
      <c r="W40" s="771">
        <f t="shared" si="14"/>
        <v>100</v>
      </c>
      <c r="X40" s="1793"/>
      <c r="Y40" s="3756"/>
      <c r="Z40" s="1794">
        <f t="shared" si="15"/>
        <v>111</v>
      </c>
      <c r="AA40" s="1791">
        <f t="shared" si="3"/>
        <v>1</v>
      </c>
      <c r="AB40" s="1791">
        <f t="shared" si="4"/>
        <v>1</v>
      </c>
      <c r="AC40" s="1791">
        <f t="shared" si="5"/>
        <v>1</v>
      </c>
    </row>
    <row r="41" spans="1:29" ht="14.4">
      <c r="A41" s="478" t="s">
        <v>2565</v>
      </c>
      <c r="B41" s="479"/>
      <c r="C41" s="1388" t="s">
        <v>1</v>
      </c>
      <c r="D41" s="1389"/>
      <c r="E41" s="1390"/>
      <c r="F41" s="1391"/>
      <c r="G41" s="1392"/>
      <c r="H41" s="1393"/>
      <c r="I41" s="1390"/>
      <c r="J41" s="1393"/>
      <c r="K41" s="779"/>
      <c r="L41" s="1126"/>
      <c r="M41" s="1127"/>
      <c r="N41" s="1114"/>
      <c r="O41" s="1127"/>
      <c r="P41" s="3757" t="str">
        <f>A41</f>
        <v>成交单价（元/平方米）</v>
      </c>
      <c r="Q41" s="3757"/>
      <c r="R41" s="3758">
        <f>E41</f>
        <v>0</v>
      </c>
      <c r="S41" s="3758"/>
      <c r="T41" s="3758">
        <f>G41</f>
        <v>0</v>
      </c>
      <c r="U41" s="3758"/>
      <c r="V41" s="3758">
        <f>I41</f>
        <v>0</v>
      </c>
      <c r="W41" s="3758"/>
      <c r="X41" s="755"/>
      <c r="Y41" s="777"/>
      <c r="Z41" s="755"/>
      <c r="AA41" s="755"/>
      <c r="AB41" s="755"/>
      <c r="AC41" s="755"/>
    </row>
    <row r="42" spans="1:29" ht="1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757" t="str">
        <f>A42</f>
        <v>比较价值（元/平方米）</v>
      </c>
      <c r="Q42" s="3757"/>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755"/>
      <c r="Y42" s="755"/>
      <c r="Z42" s="755"/>
      <c r="AA42" s="755"/>
      <c r="AB42" s="755"/>
      <c r="AC42" s="755"/>
    </row>
    <row r="43" spans="1:29" ht="15" thickBot="1">
      <c r="A43" s="491" t="s">
        <v>2658</v>
      </c>
      <c r="B43" s="492"/>
      <c r="C43" s="1398" t="e">
        <f>R43</f>
        <v>#DIV/0!</v>
      </c>
      <c r="D43" s="1398"/>
      <c r="E43" s="1398"/>
      <c r="F43" s="1398"/>
      <c r="G43" s="1398"/>
      <c r="H43" s="1398"/>
      <c r="I43" s="1398"/>
      <c r="J43" s="1398"/>
      <c r="K43" s="781"/>
      <c r="L43" s="1126"/>
      <c r="M43" s="1127"/>
      <c r="N43" s="1127"/>
      <c r="O43" s="1127"/>
      <c r="P43" s="3759" t="str">
        <f>A43</f>
        <v>估价对象XX用房的比较价值（楼面单价，元/平方米）</v>
      </c>
      <c r="Q43" s="3760"/>
      <c r="R43" s="3761" t="e">
        <f>IF(F1="售价",ROUND(AVERAGE(R42:V42),0),ROUND(AVERAGE(R42:V42),1))</f>
        <v>#DIV/0!</v>
      </c>
      <c r="S43" s="3761"/>
      <c r="T43" s="3761"/>
      <c r="U43" s="3761"/>
      <c r="V43" s="3761"/>
      <c r="W43" s="3761"/>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2.2" thickBot="1">
      <c r="A51" s="759" t="s">
        <v>2662</v>
      </c>
      <c r="B51" s="755"/>
      <c r="C51" s="760"/>
      <c r="D51" s="760"/>
      <c r="E51" s="760"/>
      <c r="F51" s="761"/>
      <c r="G51" s="761"/>
      <c r="H51" s="760"/>
      <c r="I51" s="760"/>
      <c r="J51" s="760"/>
      <c r="K51" s="1143"/>
      <c r="L51" s="1144"/>
      <c r="M51" s="1142"/>
      <c r="N51" s="1142"/>
      <c r="O51" s="1142"/>
      <c r="P51" s="502"/>
      <c r="Q51" s="503"/>
    </row>
    <row r="52" spans="1:17" s="507" customFormat="1" ht="14.4">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c r="A53" s="508"/>
      <c r="B53" s="509"/>
      <c r="C53" s="1553">
        <v>100</v>
      </c>
      <c r="D53" s="511"/>
      <c r="E53" s="511"/>
      <c r="F53" s="511"/>
      <c r="G53" s="511"/>
      <c r="H53" s="511"/>
      <c r="I53" s="511"/>
      <c r="J53" s="511"/>
      <c r="K53" s="511"/>
      <c r="L53" s="511"/>
      <c r="M53" s="512"/>
      <c r="N53" s="511"/>
      <c r="O53" s="513"/>
      <c r="P53" s="503"/>
    </row>
    <row r="54" spans="1:17" s="117" customFormat="1" ht="15" thickBot="1">
      <c r="A54" s="514" t="s">
        <v>2573</v>
      </c>
      <c r="B54" s="515"/>
      <c r="C54" s="516"/>
      <c r="D54" s="517"/>
      <c r="E54" s="517"/>
      <c r="F54" s="517"/>
      <c r="G54" s="517"/>
      <c r="H54" s="517"/>
      <c r="I54" s="517"/>
      <c r="J54" s="517"/>
      <c r="K54" s="517"/>
      <c r="L54" s="517"/>
      <c r="M54" s="518"/>
      <c r="N54" s="517"/>
      <c r="O54" s="519"/>
      <c r="P54" s="503"/>
      <c r="Q54" s="503"/>
    </row>
    <row r="55" spans="1:17" s="117" customFormat="1" ht="14.4">
      <c r="A55" s="520" t="s">
        <v>2538</v>
      </c>
      <c r="B55" s="509"/>
      <c r="C55" s="521" t="s">
        <v>2640</v>
      </c>
      <c r="D55" s="522"/>
      <c r="E55" s="522"/>
      <c r="F55" s="522"/>
      <c r="G55" s="522"/>
      <c r="H55" s="522"/>
      <c r="I55" s="522"/>
      <c r="J55" s="522"/>
      <c r="K55" s="522"/>
      <c r="L55" s="523"/>
      <c r="M55" s="524"/>
      <c r="N55" s="1134"/>
      <c r="O55" s="1134"/>
      <c r="P55" s="525"/>
      <c r="Q55" s="503"/>
    </row>
    <row r="56" spans="1:17" s="117" customFormat="1" ht="14.4" thickBot="1">
      <c r="A56" s="520"/>
      <c r="B56" s="509"/>
      <c r="C56" s="638">
        <v>100</v>
      </c>
      <c r="D56" s="511"/>
      <c r="E56" s="511"/>
      <c r="F56" s="511"/>
      <c r="G56" s="511"/>
      <c r="H56" s="511"/>
      <c r="I56" s="511"/>
      <c r="J56" s="511"/>
      <c r="K56" s="511"/>
      <c r="L56" s="511"/>
      <c r="M56" s="513"/>
      <c r="N56" s="1134"/>
      <c r="O56" s="1134"/>
      <c r="P56" s="503"/>
      <c r="Q56" s="503"/>
    </row>
    <row r="57" spans="1:17" ht="14.4">
      <c r="A57" s="526" t="s">
        <v>2576</v>
      </c>
      <c r="B57" s="527" t="s">
        <v>2542</v>
      </c>
      <c r="C57" s="528">
        <f>C9</f>
        <v>0</v>
      </c>
      <c r="D57" s="529"/>
      <c r="E57" s="529"/>
      <c r="F57" s="529"/>
      <c r="G57" s="529"/>
      <c r="H57" s="529"/>
      <c r="I57" s="529"/>
      <c r="J57" s="529"/>
      <c r="K57" s="530"/>
      <c r="L57" s="531"/>
      <c r="M57" s="532"/>
      <c r="N57" s="1135"/>
      <c r="O57" s="1135"/>
      <c r="P57" s="45"/>
      <c r="Q57" s="503"/>
    </row>
    <row r="58" spans="1:17" ht="14.4" thickBot="1">
      <c r="A58" s="533"/>
      <c r="B58" s="534"/>
      <c r="C58" s="535">
        <v>100</v>
      </c>
      <c r="D58" s="535"/>
      <c r="E58" s="535"/>
      <c r="F58" s="535"/>
      <c r="G58" s="535"/>
      <c r="H58" s="535"/>
      <c r="I58" s="535"/>
      <c r="J58" s="535"/>
      <c r="K58" s="535"/>
      <c r="L58" s="535"/>
      <c r="M58" s="536"/>
      <c r="N58" s="1136"/>
      <c r="O58" s="1136"/>
      <c r="P58" s="45"/>
      <c r="Q58" s="503"/>
    </row>
    <row r="59" spans="1:17" ht="29.4"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c r="A62" s="533"/>
      <c r="B62" s="547"/>
      <c r="C62" s="548"/>
      <c r="D62" s="548"/>
      <c r="E62" s="548"/>
      <c r="F62" s="548"/>
      <c r="G62" s="548"/>
      <c r="H62" s="548"/>
      <c r="I62" s="548"/>
      <c r="J62" s="548"/>
      <c r="K62" s="549"/>
      <c r="L62" s="550"/>
      <c r="M62" s="551"/>
      <c r="N62" s="1135"/>
      <c r="O62" s="113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4.4" thickTop="1">
      <c r="A64" s="552"/>
      <c r="B64" s="537">
        <f>B12</f>
        <v>111</v>
      </c>
      <c r="C64" s="553"/>
      <c r="D64" s="553"/>
      <c r="E64" s="553"/>
      <c r="F64" s="553"/>
      <c r="G64" s="553"/>
      <c r="H64" s="554"/>
      <c r="I64" s="554"/>
      <c r="J64" s="554"/>
      <c r="K64" s="554"/>
      <c r="L64" s="555"/>
      <c r="M64" s="556"/>
      <c r="N64" s="1137"/>
      <c r="O64" s="1137"/>
      <c r="P64" s="557"/>
      <c r="Q64" s="558"/>
    </row>
    <row r="65" spans="1:17" s="470" customFormat="1" ht="14.4" thickBot="1">
      <c r="A65" s="552"/>
      <c r="B65" s="542"/>
      <c r="C65" s="559"/>
      <c r="D65" s="535"/>
      <c r="E65" s="535"/>
      <c r="F65" s="535"/>
      <c r="G65" s="535"/>
      <c r="H65" s="535"/>
      <c r="I65" s="535"/>
      <c r="J65" s="535"/>
      <c r="K65" s="535"/>
      <c r="L65" s="535"/>
      <c r="M65" s="536"/>
      <c r="N65" s="1136"/>
      <c r="O65" s="1136"/>
      <c r="P65" s="557"/>
      <c r="Q65" s="558"/>
    </row>
    <row r="66" spans="1:17" s="470" customFormat="1" ht="14.4" thickTop="1">
      <c r="A66" s="552"/>
      <c r="B66" s="537">
        <f>B13</f>
        <v>111</v>
      </c>
      <c r="C66" s="553"/>
      <c r="D66" s="553"/>
      <c r="E66" s="553"/>
      <c r="F66" s="553"/>
      <c r="G66" s="553"/>
      <c r="H66" s="554"/>
      <c r="I66" s="554"/>
      <c r="J66" s="554"/>
      <c r="K66" s="554"/>
      <c r="L66" s="555"/>
      <c r="M66" s="556"/>
      <c r="N66" s="1137"/>
      <c r="O66" s="1137"/>
      <c r="P66" s="469"/>
      <c r="Q66" s="560"/>
    </row>
    <row r="67" spans="1:17" s="470" customFormat="1" ht="14.4" thickBot="1">
      <c r="A67" s="552"/>
      <c r="B67" s="542"/>
      <c r="C67" s="559"/>
      <c r="D67" s="535"/>
      <c r="E67" s="535"/>
      <c r="F67" s="535"/>
      <c r="G67" s="559"/>
      <c r="H67" s="561"/>
      <c r="I67" s="561"/>
      <c r="J67" s="561"/>
      <c r="K67" s="561"/>
      <c r="L67" s="561"/>
      <c r="M67" s="562"/>
      <c r="N67" s="1137"/>
      <c r="O67" s="1137"/>
      <c r="P67" s="557"/>
      <c r="Q67" s="558"/>
    </row>
    <row r="68" spans="1:17" s="470" customFormat="1" ht="14.4" thickTop="1">
      <c r="A68" s="552"/>
      <c r="B68" s="545">
        <f>B14</f>
        <v>111</v>
      </c>
      <c r="C68" s="522"/>
      <c r="D68" s="522"/>
      <c r="E68" s="522"/>
      <c r="F68" s="522"/>
      <c r="G68" s="522"/>
      <c r="H68" s="563"/>
      <c r="I68" s="563"/>
      <c r="J68" s="563"/>
      <c r="K68" s="563"/>
      <c r="L68" s="564"/>
      <c r="M68" s="565"/>
      <c r="N68" s="1137"/>
      <c r="O68" s="1137"/>
      <c r="P68" s="566"/>
      <c r="Q68" s="558"/>
    </row>
    <row r="69" spans="1:17" s="470" customFormat="1" ht="14.4" thickBot="1">
      <c r="A69" s="567"/>
      <c r="B69" s="568"/>
      <c r="C69" s="569"/>
      <c r="D69" s="569"/>
      <c r="E69" s="569"/>
      <c r="F69" s="569"/>
      <c r="G69" s="569"/>
      <c r="H69" s="570"/>
      <c r="I69" s="570"/>
      <c r="J69" s="570"/>
      <c r="K69" s="570"/>
      <c r="L69" s="570"/>
      <c r="M69" s="571"/>
      <c r="N69" s="1137"/>
      <c r="O69" s="1137"/>
      <c r="P69" s="557"/>
      <c r="Q69" s="558"/>
    </row>
    <row r="70" spans="1:17" ht="14.4">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4.4" thickTop="1">
      <c r="A80" s="578"/>
      <c r="B80" s="537">
        <f>B25</f>
        <v>111</v>
      </c>
      <c r="C80" s="553"/>
      <c r="D80" s="553"/>
      <c r="E80" s="553"/>
      <c r="F80" s="553"/>
      <c r="G80" s="553"/>
      <c r="H80" s="553"/>
      <c r="I80" s="553"/>
      <c r="J80" s="553"/>
      <c r="K80" s="553"/>
      <c r="L80" s="579"/>
      <c r="M80" s="580"/>
      <c r="N80" s="1134"/>
      <c r="O80" s="1134"/>
      <c r="P80" s="45"/>
      <c r="Q80" s="503"/>
    </row>
    <row r="81" spans="1:17" s="117" customFormat="1" ht="14.4" thickBot="1">
      <c r="A81" s="578"/>
      <c r="B81" s="542"/>
      <c r="C81" s="559"/>
      <c r="D81" s="535"/>
      <c r="E81" s="535"/>
      <c r="F81" s="535"/>
      <c r="G81" s="535"/>
      <c r="H81" s="535"/>
      <c r="I81" s="535"/>
      <c r="J81" s="535"/>
      <c r="K81" s="535"/>
      <c r="L81" s="535"/>
      <c r="M81" s="536"/>
      <c r="N81" s="1136"/>
      <c r="O81" s="1136"/>
      <c r="P81" s="45"/>
      <c r="Q81" s="503"/>
    </row>
    <row r="82" spans="1:17" s="117" customFormat="1" ht="14.4" thickTop="1">
      <c r="A82" s="578"/>
      <c r="B82" s="537">
        <f>B26</f>
        <v>111</v>
      </c>
      <c r="C82" s="553"/>
      <c r="D82" s="553"/>
      <c r="E82" s="553"/>
      <c r="F82" s="553"/>
      <c r="G82" s="553"/>
      <c r="H82" s="553"/>
      <c r="I82" s="553"/>
      <c r="J82" s="553"/>
      <c r="K82" s="553"/>
      <c r="L82" s="579"/>
      <c r="M82" s="580"/>
      <c r="N82" s="1134"/>
      <c r="O82" s="1134"/>
      <c r="P82" s="45"/>
      <c r="Q82" s="503"/>
    </row>
    <row r="83" spans="1:17" s="117" customFormat="1" ht="14.4" thickBot="1">
      <c r="A83" s="578"/>
      <c r="B83" s="542"/>
      <c r="C83" s="559"/>
      <c r="D83" s="535"/>
      <c r="E83" s="535"/>
      <c r="F83" s="535"/>
      <c r="G83" s="535"/>
      <c r="H83" s="535"/>
      <c r="I83" s="535"/>
      <c r="J83" s="535"/>
      <c r="K83" s="535"/>
      <c r="L83" s="535"/>
      <c r="M83" s="536"/>
      <c r="N83" s="1136"/>
      <c r="O83" s="1136"/>
      <c r="P83" s="45"/>
      <c r="Q83" s="503"/>
    </row>
    <row r="84" spans="1:17" s="470" customFormat="1" ht="14.4" thickTop="1">
      <c r="A84" s="552"/>
      <c r="B84" s="537">
        <f>B27</f>
        <v>111</v>
      </c>
      <c r="C84" s="553"/>
      <c r="D84" s="553"/>
      <c r="E84" s="553"/>
      <c r="F84" s="553"/>
      <c r="G84" s="553"/>
      <c r="H84" s="553"/>
      <c r="I84" s="553"/>
      <c r="J84" s="553"/>
      <c r="K84" s="553"/>
      <c r="L84" s="579"/>
      <c r="M84" s="580"/>
      <c r="N84" s="1137"/>
      <c r="O84" s="1137"/>
      <c r="P84" s="557"/>
      <c r="Q84" s="558"/>
    </row>
    <row r="85" spans="1:17" s="470" customFormat="1" ht="14.4" thickBot="1">
      <c r="A85" s="552"/>
      <c r="B85" s="542"/>
      <c r="C85" s="559"/>
      <c r="D85" s="535"/>
      <c r="E85" s="535"/>
      <c r="F85" s="535"/>
      <c r="G85" s="535"/>
      <c r="H85" s="535"/>
      <c r="I85" s="535"/>
      <c r="J85" s="535"/>
      <c r="K85" s="535"/>
      <c r="L85" s="535"/>
      <c r="M85" s="536"/>
      <c r="N85" s="1137"/>
      <c r="O85" s="1137"/>
      <c r="P85" s="557"/>
      <c r="Q85" s="558"/>
    </row>
    <row r="86" spans="1:17" ht="14.4" thickTop="1">
      <c r="A86" s="533"/>
      <c r="B86" s="545">
        <f>B28</f>
        <v>111</v>
      </c>
      <c r="C86" s="522"/>
      <c r="D86" s="522"/>
      <c r="E86" s="522"/>
      <c r="F86" s="522"/>
      <c r="G86" s="586"/>
      <c r="H86" s="586"/>
      <c r="I86" s="586"/>
      <c r="J86" s="586"/>
      <c r="K86" s="587"/>
      <c r="L86" s="588"/>
      <c r="M86" s="589"/>
      <c r="N86" s="1135"/>
      <c r="O86" s="1135"/>
      <c r="P86" s="45"/>
      <c r="Q86" s="503"/>
    </row>
    <row r="87" spans="1:17" ht="14.4" thickBot="1">
      <c r="A87" s="2609"/>
      <c r="B87" s="568"/>
      <c r="C87" s="569"/>
      <c r="D87" s="569"/>
      <c r="E87" s="569"/>
      <c r="F87" s="569"/>
      <c r="G87" s="590"/>
      <c r="H87" s="590"/>
      <c r="I87" s="590"/>
      <c r="J87" s="590"/>
      <c r="K87" s="590"/>
      <c r="L87" s="590"/>
      <c r="M87" s="591"/>
      <c r="N87" s="1136"/>
      <c r="O87" s="1136"/>
      <c r="P87" s="45"/>
      <c r="Q87" s="503"/>
    </row>
    <row r="88" spans="1:17" ht="14.4">
      <c r="A88" s="526" t="s">
        <v>2551</v>
      </c>
      <c r="B88" s="527" t="s">
        <v>2600</v>
      </c>
      <c r="C88" s="529"/>
      <c r="D88" s="529"/>
      <c r="E88" s="529"/>
      <c r="F88" s="529"/>
      <c r="G88" s="529"/>
      <c r="H88" s="529"/>
      <c r="I88" s="529"/>
      <c r="J88" s="529"/>
      <c r="K88" s="530"/>
      <c r="L88" s="531"/>
      <c r="M88" s="532"/>
      <c r="N88" s="1135"/>
      <c r="O88" s="113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4.4"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29.4"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4.4"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4.4" thickBot="1">
      <c r="A109" s="552"/>
      <c r="B109" s="534"/>
      <c r="C109" s="559"/>
      <c r="D109" s="535"/>
      <c r="E109" s="535"/>
      <c r="F109" s="535"/>
      <c r="G109" s="559"/>
      <c r="H109" s="561"/>
      <c r="I109" s="561"/>
      <c r="J109" s="561"/>
      <c r="K109" s="561"/>
      <c r="L109" s="561"/>
      <c r="M109" s="562"/>
      <c r="N109" s="1137"/>
      <c r="O109" s="1137"/>
      <c r="P109" s="557"/>
      <c r="Q109" s="558"/>
    </row>
    <row r="110" spans="1:17" ht="14.4" thickTop="1">
      <c r="A110" s="598"/>
      <c r="B110" s="537">
        <f>B39</f>
        <v>111</v>
      </c>
      <c r="C110" s="553"/>
      <c r="D110" s="553"/>
      <c r="E110" s="553"/>
      <c r="F110" s="553"/>
      <c r="G110" s="553"/>
      <c r="H110" s="554"/>
      <c r="I110" s="554"/>
      <c r="J110" s="554"/>
      <c r="K110" s="554"/>
      <c r="L110" s="555"/>
      <c r="M110" s="556"/>
      <c r="N110" s="1135"/>
      <c r="O110" s="1135"/>
      <c r="P110" s="45"/>
      <c r="Q110" s="503"/>
    </row>
    <row r="111" spans="1:17" ht="14.4" thickBot="1">
      <c r="A111" s="533"/>
      <c r="B111" s="542"/>
      <c r="C111" s="559"/>
      <c r="D111" s="535"/>
      <c r="E111" s="535"/>
      <c r="F111" s="535"/>
      <c r="G111" s="559"/>
      <c r="H111" s="561"/>
      <c r="I111" s="561"/>
      <c r="J111" s="561"/>
      <c r="K111" s="561"/>
      <c r="L111" s="561"/>
      <c r="M111" s="562"/>
      <c r="N111" s="1136"/>
      <c r="O111" s="1136"/>
      <c r="P111" s="45"/>
      <c r="Q111" s="503"/>
    </row>
    <row r="112" spans="1:17" ht="14.4" thickTop="1">
      <c r="A112" s="598"/>
      <c r="B112" s="545">
        <f>B40</f>
        <v>111</v>
      </c>
      <c r="C112" s="522"/>
      <c r="D112" s="522"/>
      <c r="E112" s="522"/>
      <c r="F112" s="522"/>
      <c r="G112" s="586"/>
      <c r="H112" s="586"/>
      <c r="I112" s="586"/>
      <c r="J112" s="586"/>
      <c r="K112" s="522"/>
      <c r="L112" s="523"/>
      <c r="M112" s="589"/>
      <c r="N112" s="1135"/>
      <c r="O112" s="1135"/>
      <c r="P112" s="45"/>
      <c r="Q112" s="503"/>
    </row>
    <row r="113" spans="1:17" ht="14.4"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20 G20 E20 I20" xr:uid="{00000000-0002-0000-2900-000002000000}">
      <formula1>公共配套设施</formula1>
    </dataValidation>
    <dataValidation type="list" allowBlank="1" showInputMessage="1" showErrorMessage="1" sqref="E18 G18 I18 C18" xr:uid="{00000000-0002-0000-2900-000003000000}">
      <formula1>交通便捷度</formula1>
    </dataValidation>
    <dataValidation type="list" allowBlank="1" showInputMessage="1" showErrorMessage="1" sqref="E24 G24 I24 C24" xr:uid="{00000000-0002-0000-2900-000004000000}">
      <formula1>环境</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29 E29 G29 I29" xr:uid="{00000000-0002-0000-2900-000007000000}">
      <formula1>工业建筑类型</formula1>
    </dataValidation>
    <dataValidation type="list" allowBlank="1" showInputMessage="1" showErrorMessage="1" sqref="C31 E31 G31 I31" xr:uid="{00000000-0002-0000-2900-000008000000}">
      <formula1>工业建筑结构</formula1>
    </dataValidation>
    <dataValidation type="list" allowBlank="1" showInputMessage="1" showErrorMessage="1" sqref="C32 E32 G32 I32" xr:uid="{00000000-0002-0000-2900-000009000000}">
      <formula1>工业公共部分装修</formula1>
    </dataValidation>
    <dataValidation type="list" allowBlank="1" showInputMessage="1" showErrorMessage="1" sqref="C34 E34 G34 I34" xr:uid="{00000000-0002-0000-2900-00000A000000}">
      <formula1>工业物业管理</formula1>
    </dataValidation>
    <dataValidation type="list" allowBlank="1" showInputMessage="1" showErrorMessage="1" sqref="C35 E35 G35 I35" xr:uid="{00000000-0002-0000-2900-00000B000000}">
      <formula1>工业基础设施水平</formula1>
    </dataValidation>
    <dataValidation type="list" allowBlank="1" showInputMessage="1" showErrorMessage="1" sqref="C36 E36 G36 I36" xr:uid="{00000000-0002-0000-2900-00000C000000}">
      <formula1>工业内部装修</formula1>
    </dataValidation>
    <dataValidation type="list" allowBlank="1" showInputMessage="1" showErrorMessage="1" sqref="C37 E37 G37 I37" xr:uid="{00000000-0002-0000-2900-00000D000000}">
      <formula1>内部装修维护情况</formula1>
    </dataValidation>
    <dataValidation type="list" allowBlank="1" showInputMessage="1" showErrorMessage="1" sqref="C16 E16 G16 I16" xr:uid="{00000000-0002-0000-2900-00000E000000}">
      <formula1>产业集聚程度</formula1>
    </dataValidation>
    <dataValidation type="list" allowBlank="1" showInputMessage="1" showErrorMessage="1" sqref="C22 E22 G22 I22"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C2" xr:uid="{00000000-0002-0000-2900-000011000000}">
      <formula1>"需扣减承租人权益,——"</formula1>
    </dataValidation>
    <dataValidation type="list" allowBlank="1" showInputMessage="1" showErrorMessage="1" sqref="F2" xr:uid="{00000000-0002-0000-2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F13"/>
  <sheetViews>
    <sheetView workbookViewId="0">
      <selection activeCell="G14" sqref="G14"/>
    </sheetView>
  </sheetViews>
  <sheetFormatPr defaultColWidth="9" defaultRowHeight="13.8"/>
  <cols>
    <col min="1" max="1" width="23.6640625" style="1924" customWidth="1"/>
    <col min="2" max="2" width="12" style="1924" customWidth="1"/>
    <col min="3" max="3" width="9" style="1924"/>
    <col min="4" max="4" width="14.109375" style="1924" customWidth="1"/>
    <col min="5" max="5" width="9" style="1924"/>
    <col min="6" max="6" width="12.88671875" style="1924" customWidth="1"/>
    <col min="7" max="16384" width="9" style="1924"/>
  </cols>
  <sheetData>
    <row r="1" spans="1:6" ht="21.6">
      <c r="A1" s="2534" t="s">
        <v>2514</v>
      </c>
      <c r="B1" s="2535"/>
      <c r="C1" s="2535"/>
      <c r="D1" s="2535"/>
      <c r="E1" s="2536"/>
    </row>
    <row r="2" spans="1:6" ht="15.6">
      <c r="A2" s="2537" t="s">
        <v>2315</v>
      </c>
      <c r="B2" s="2538">
        <f ca="1">SUMIF(B6:B13,"&lt;&gt;#ref!",B6:B13)</f>
        <v>1680</v>
      </c>
      <c r="C2" s="2539" t="s">
        <v>2507</v>
      </c>
      <c r="D2" s="2540" t="s">
        <v>2508</v>
      </c>
      <c r="E2" s="2541">
        <f>SUM(E6:E13)</f>
        <v>420.96</v>
      </c>
    </row>
    <row r="3" spans="1:6" ht="15.6">
      <c r="A3" s="2537" t="s">
        <v>1383</v>
      </c>
      <c r="B3" s="2538">
        <f ca="1">ROUND(B2*10000/E2,0)</f>
        <v>39909</v>
      </c>
      <c r="C3" s="2539" t="s">
        <v>2515</v>
      </c>
      <c r="D3" s="2542"/>
      <c r="E3" s="2543"/>
    </row>
    <row r="4" spans="1:6" ht="15.6">
      <c r="A4" s="2544"/>
      <c r="B4" s="2542"/>
      <c r="C4" s="2542"/>
      <c r="D4" s="2542"/>
      <c r="E4" s="2543"/>
    </row>
    <row r="5" spans="1:6" ht="14.4">
      <c r="A5" s="2545" t="s">
        <v>2509</v>
      </c>
      <c r="B5" s="3771" t="s">
        <v>2510</v>
      </c>
      <c r="C5" s="3771"/>
      <c r="D5" s="2546"/>
      <c r="E5" s="2547" t="s">
        <v>2511</v>
      </c>
      <c r="F5" s="2548" t="s">
        <v>2512</v>
      </c>
    </row>
    <row r="6" spans="1:6" ht="14.4">
      <c r="A6" s="2549" t="str">
        <f>'数据-取费表'!AN6</f>
        <v>收益法商租</v>
      </c>
      <c r="B6" s="2548">
        <f>IF(F6="是",'数据-取费表'!AO6,0)</f>
        <v>0</v>
      </c>
      <c r="C6" s="2539" t="s">
        <v>2507</v>
      </c>
      <c r="D6" s="2542"/>
      <c r="E6" s="2550">
        <f>IF(OR(A6=0,F6="否"),0,'数据-取费表'!K6+'数据-取费表'!S6)</f>
        <v>0</v>
      </c>
      <c r="F6" s="2551" t="s">
        <v>3095</v>
      </c>
    </row>
    <row r="7" spans="1:6" ht="14.4">
      <c r="A7" s="2549" t="str">
        <f>'数据-取费表'!AN7</f>
        <v>收益法商自</v>
      </c>
      <c r="B7" s="2548">
        <f>IF(F7="是",'数据-取费表'!AO7,0)</f>
        <v>0</v>
      </c>
      <c r="C7" s="2539" t="s">
        <v>2507</v>
      </c>
      <c r="D7" s="2542"/>
      <c r="E7" s="2550">
        <f>IF(OR(A7=0,F7="否"),0,'数据-取费表'!K7+'数据-取费表'!S7)</f>
        <v>0</v>
      </c>
      <c r="F7" s="2551" t="s">
        <v>3095</v>
      </c>
    </row>
    <row r="8" spans="1:6" ht="14.4">
      <c r="A8" s="2549" t="str">
        <f>'数据-取费表'!AN8</f>
        <v>收益法1号楼</v>
      </c>
      <c r="B8" s="2548">
        <f ca="1">IF(F8="是",'数据-取费表'!AO8,0)</f>
        <v>1469</v>
      </c>
      <c r="C8" s="2539" t="s">
        <v>2507</v>
      </c>
      <c r="D8" s="2542"/>
      <c r="E8" s="2550">
        <f>IF(OR(A8=0,F8="否"),0,'数据-取费表'!K8+'数据-取费表'!S8)</f>
        <v>389</v>
      </c>
      <c r="F8" s="2551" t="s">
        <v>2513</v>
      </c>
    </row>
    <row r="9" spans="1:6" ht="14.4">
      <c r="A9" s="2549" t="str">
        <f>'数据-取费表'!AN9</f>
        <v>收益法2号楼</v>
      </c>
      <c r="B9" s="2548">
        <f ca="1">IF(F9="是",'数据-取费表'!AO9,0)</f>
        <v>211</v>
      </c>
      <c r="C9" s="2539" t="s">
        <v>2507</v>
      </c>
      <c r="D9" s="2542"/>
      <c r="E9" s="2550">
        <f>IF(OR(A9=0,F9="否"),0,'数据-取费表'!K9+'数据-取费表'!S9)</f>
        <v>31.96</v>
      </c>
      <c r="F9" s="2551" t="s">
        <v>2513</v>
      </c>
    </row>
    <row r="10" spans="1:6" ht="14.4">
      <c r="A10" s="2549">
        <f>'数据-取费表'!AN10</f>
        <v>0</v>
      </c>
      <c r="B10" s="2548">
        <f>IF(F10="是",'数据-取费表'!AO10,0)</f>
        <v>0</v>
      </c>
      <c r="C10" s="2539" t="s">
        <v>2507</v>
      </c>
      <c r="D10" s="2542"/>
      <c r="E10" s="2550">
        <f>IF(OR(A10=0,F10="否"),0,'数据-取费表'!K10+'数据-取费表'!S10)</f>
        <v>0</v>
      </c>
      <c r="F10" s="2551" t="s">
        <v>3095</v>
      </c>
    </row>
    <row r="11" spans="1:6" ht="14.4">
      <c r="A11" s="2549">
        <f>'数据-取费表'!AN11</f>
        <v>0</v>
      </c>
      <c r="B11" s="2548">
        <f>IF(F11="是",'数据-取费表'!AO11,0)</f>
        <v>0</v>
      </c>
      <c r="C11" s="2539" t="s">
        <v>2507</v>
      </c>
      <c r="D11" s="2542"/>
      <c r="E11" s="2550">
        <f>IF(OR(A11=0,F11="否"),0,'数据-取费表'!K11+'数据-取费表'!S11)</f>
        <v>0</v>
      </c>
      <c r="F11" s="2551" t="s">
        <v>3095</v>
      </c>
    </row>
    <row r="12" spans="1:6" ht="14.4">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2A00-000000000000}">
      <formula1>判定</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I512"/>
  <sheetViews>
    <sheetView view="pageBreakPreview" zoomScaleNormal="100" zoomScaleSheetLayoutView="100" zoomScalePageLayoutView="80" workbookViewId="0">
      <selection activeCell="G14" sqref="G14"/>
    </sheetView>
  </sheetViews>
  <sheetFormatPr defaultColWidth="12.6640625" defaultRowHeight="21.75" customHeight="1"/>
  <cols>
    <col min="1" max="2" width="12.6640625" style="2395"/>
    <col min="3" max="4" width="12.6640625" style="2395" customWidth="1"/>
    <col min="5" max="9" width="12.6640625" style="2395"/>
    <col min="10" max="11" width="12.6640625" style="790" customWidth="1"/>
    <col min="12" max="12" width="12.6640625" style="790"/>
    <col min="13" max="13" width="14.109375" style="790" bestFit="1" customWidth="1"/>
    <col min="14" max="26" width="12.6640625" style="790"/>
    <col min="27" max="35" width="12.6640625" style="2394"/>
    <col min="36" max="16384" width="12.6640625" style="2395"/>
  </cols>
  <sheetData>
    <row r="1" spans="1:12" ht="21.75" customHeight="1" thickBot="1">
      <c r="A1" s="2200" t="s">
        <v>2105</v>
      </c>
      <c r="B1" s="2389"/>
      <c r="C1" s="2390" t="s">
        <v>48</v>
      </c>
      <c r="D1" s="2389"/>
      <c r="E1" s="2389"/>
      <c r="F1" s="2391" t="s">
        <v>2106</v>
      </c>
      <c r="G1" s="2045" t="s">
        <v>3051</v>
      </c>
      <c r="H1" s="2392" t="str">
        <f>IF(G1="现房","——","估价对象范围")</f>
        <v>——</v>
      </c>
      <c r="I1" s="2393"/>
    </row>
    <row r="2" spans="1:12" ht="21.75" customHeight="1" thickBot="1">
      <c r="A2" s="3648" t="str">
        <f>项目基本情况!S2</f>
        <v>北京市朝阳区广顺北大街16号院1、2、3号楼房地产</v>
      </c>
      <c r="B2" s="3649"/>
      <c r="C2" s="3649"/>
      <c r="D2" s="3649"/>
      <c r="E2" s="3649"/>
      <c r="F2" s="3649"/>
      <c r="G2" s="3649"/>
      <c r="H2" s="3649"/>
      <c r="I2" s="3650"/>
    </row>
    <row r="3" spans="1:12" ht="13.2">
      <c r="A3" s="3651" t="s">
        <v>2107</v>
      </c>
      <c r="B3" s="3652"/>
      <c r="C3" s="3652"/>
      <c r="D3" s="3652"/>
      <c r="E3" s="3652"/>
      <c r="F3" s="3652"/>
      <c r="G3" s="3652"/>
      <c r="H3" s="3652"/>
      <c r="I3" s="3652"/>
    </row>
    <row r="4" spans="1:12" ht="14.4">
      <c r="A4" s="2396" t="s">
        <v>2108</v>
      </c>
      <c r="B4" s="2397" t="s">
        <v>2109</v>
      </c>
      <c r="C4" s="2398" t="s">
        <v>3651</v>
      </c>
      <c r="D4" s="2398" t="s">
        <v>3648</v>
      </c>
      <c r="E4" s="3635" t="s">
        <v>2110</v>
      </c>
      <c r="F4" s="3645"/>
      <c r="G4" s="3645"/>
      <c r="H4" s="3645"/>
      <c r="I4" s="3636"/>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626" t="s">
        <v>2111</v>
      </c>
      <c r="B5" s="3521">
        <v>25</v>
      </c>
      <c r="C5" s="3653"/>
      <c r="D5" s="3641"/>
      <c r="E5" s="140" t="s">
        <v>2112</v>
      </c>
      <c r="F5" s="2400"/>
      <c r="G5" s="2400"/>
      <c r="H5" s="2400"/>
      <c r="I5" s="1811"/>
    </row>
    <row r="6" spans="1:12" ht="13.2">
      <c r="A6" s="3626"/>
      <c r="B6" s="3521"/>
      <c r="C6" s="3655"/>
      <c r="D6" s="3641"/>
      <c r="E6" s="140" t="s">
        <v>2113</v>
      </c>
      <c r="F6" s="2400"/>
      <c r="G6" s="2400"/>
      <c r="H6" s="2400"/>
      <c r="I6" s="1811"/>
    </row>
    <row r="7" spans="1:12" ht="13.2">
      <c r="A7" s="3626"/>
      <c r="B7" s="3521"/>
      <c r="C7" s="3654"/>
      <c r="D7" s="3641"/>
      <c r="E7" s="140" t="s">
        <v>2114</v>
      </c>
      <c r="F7" s="2400"/>
      <c r="G7" s="2400"/>
      <c r="H7" s="2400"/>
      <c r="I7" s="1811"/>
    </row>
    <row r="8" spans="1:12" ht="13.2">
      <c r="A8" s="3626" t="s">
        <v>2115</v>
      </c>
      <c r="B8" s="3521">
        <v>15</v>
      </c>
      <c r="C8" s="3653"/>
      <c r="D8" s="3641"/>
      <c r="E8" s="140" t="s">
        <v>2116</v>
      </c>
      <c r="F8" s="2400"/>
      <c r="G8" s="2400"/>
      <c r="H8" s="2400"/>
      <c r="I8" s="1811"/>
    </row>
    <row r="9" spans="1:12" ht="13.2">
      <c r="A9" s="3626"/>
      <c r="B9" s="3521"/>
      <c r="C9" s="3654"/>
      <c r="D9" s="3641"/>
      <c r="E9" s="140" t="s">
        <v>2117</v>
      </c>
      <c r="F9" s="2400"/>
      <c r="G9" s="2400"/>
      <c r="H9" s="2400"/>
      <c r="I9" s="1811"/>
    </row>
    <row r="10" spans="1:12" ht="13.2">
      <c r="A10" s="3626" t="s">
        <v>2118</v>
      </c>
      <c r="B10" s="3521">
        <v>15</v>
      </c>
      <c r="C10" s="3653"/>
      <c r="D10" s="3641"/>
      <c r="E10" s="140" t="s">
        <v>2119</v>
      </c>
      <c r="F10" s="2400"/>
      <c r="G10" s="2400"/>
      <c r="H10" s="2400"/>
      <c r="I10" s="1811"/>
    </row>
    <row r="11" spans="1:12" ht="13.2">
      <c r="A11" s="3626"/>
      <c r="B11" s="3521"/>
      <c r="C11" s="3654"/>
      <c r="D11" s="3641"/>
      <c r="E11" s="140" t="s">
        <v>2120</v>
      </c>
      <c r="F11" s="2400"/>
      <c r="G11" s="2400"/>
      <c r="H11" s="2400"/>
      <c r="I11" s="1811"/>
    </row>
    <row r="12" spans="1:12" ht="13.2">
      <c r="A12" s="3626" t="s">
        <v>2121</v>
      </c>
      <c r="B12" s="3521">
        <v>15</v>
      </c>
      <c r="C12" s="3653"/>
      <c r="D12" s="3641"/>
      <c r="E12" s="140" t="s">
        <v>2122</v>
      </c>
      <c r="F12" s="2400"/>
      <c r="G12" s="2400"/>
      <c r="H12" s="2400"/>
      <c r="I12" s="1811"/>
    </row>
    <row r="13" spans="1:12" ht="13.2">
      <c r="A13" s="3626"/>
      <c r="B13" s="3521"/>
      <c r="C13" s="3654"/>
      <c r="D13" s="3641"/>
      <c r="E13" s="140" t="s">
        <v>2123</v>
      </c>
      <c r="F13" s="2400"/>
      <c r="G13" s="2400"/>
      <c r="H13" s="2400"/>
      <c r="I13" s="1811"/>
    </row>
    <row r="14" spans="1:12" ht="13.2">
      <c r="A14" s="3626" t="s">
        <v>2124</v>
      </c>
      <c r="B14" s="3521">
        <v>30</v>
      </c>
      <c r="C14" s="3653">
        <v>5</v>
      </c>
      <c r="D14" s="3641">
        <v>5</v>
      </c>
      <c r="E14" s="140" t="s">
        <v>2125</v>
      </c>
      <c r="F14" s="2400"/>
      <c r="G14" s="2400"/>
      <c r="H14" s="2400"/>
      <c r="I14" s="1811"/>
    </row>
    <row r="15" spans="1:12" ht="13.2">
      <c r="A15" s="3626"/>
      <c r="B15" s="3521"/>
      <c r="C15" s="3655"/>
      <c r="D15" s="3641"/>
      <c r="E15" s="140" t="s">
        <v>2126</v>
      </c>
      <c r="F15" s="2400"/>
      <c r="G15" s="2400"/>
      <c r="H15" s="2400"/>
      <c r="I15" s="1811"/>
    </row>
    <row r="16" spans="1:12" ht="13.2">
      <c r="A16" s="3626"/>
      <c r="B16" s="3521"/>
      <c r="C16" s="3654"/>
      <c r="D16" s="3641"/>
      <c r="E16" s="140" t="s">
        <v>2127</v>
      </c>
      <c r="F16" s="2400"/>
      <c r="G16" s="2400"/>
      <c r="H16" s="2400"/>
      <c r="I16" s="1811"/>
    </row>
    <row r="17" spans="1:35" ht="14.4">
      <c r="A17" s="2401" t="s">
        <v>2128</v>
      </c>
      <c r="B17" s="64"/>
      <c r="C17" s="141">
        <f>SUM(C5:C16)</f>
        <v>5</v>
      </c>
      <c r="D17" s="141">
        <f>SUM(D5:D16)</f>
        <v>5</v>
      </c>
      <c r="E17" s="138"/>
      <c r="F17" s="138"/>
      <c r="G17" s="138"/>
      <c r="H17" s="138"/>
      <c r="I17" s="138"/>
      <c r="K17" s="2399"/>
      <c r="L17" s="2402" t="s">
        <v>2129</v>
      </c>
      <c r="M17" s="2402" t="s">
        <v>2130</v>
      </c>
    </row>
    <row r="18" spans="1:35" ht="15" thickBot="1">
      <c r="A18" s="2403" t="s">
        <v>2131</v>
      </c>
      <c r="B18" s="2404"/>
      <c r="C18" s="142">
        <f>ROUND(C17/SUM(C17:D17),2)</f>
        <v>0.5</v>
      </c>
      <c r="D18" s="142">
        <f>1-C18</f>
        <v>0.5</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4.4">
      <c r="A19" s="2405" t="s">
        <v>2133</v>
      </c>
      <c r="B19" s="2406" t="s">
        <v>2134</v>
      </c>
      <c r="C19" s="143">
        <f ca="1">SUMIF(INDIRECT("'"&amp;C4&amp;"'"&amp;"!A:A"),结果表车!B19,INDIRECT("'"&amp;C4&amp;"'"&amp;"!B:B"))</f>
        <v>0</v>
      </c>
      <c r="D19" s="144" t="e">
        <f ca="1">SUMIF(INDIRECT("'"&amp;D4&amp;"'"&amp;"!A:A"),结果表车!B19,INDIRECT("'"&amp;D4&amp;"'"&amp;"!B:B"))</f>
        <v>#N/A</v>
      </c>
      <c r="E19" s="2405" t="s">
        <v>2135</v>
      </c>
      <c r="F19" s="2406" t="s">
        <v>2134</v>
      </c>
      <c r="G19" s="145" t="e">
        <f ca="1">ROUND(C19*$C$18+D19*$D$18,0)</f>
        <v>#N/A</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4.4">
      <c r="A20" s="2408"/>
      <c r="B20" s="1229" t="s">
        <v>2138</v>
      </c>
      <c r="C20" s="146">
        <f ca="1">SUMIF(INDIRECT("'"&amp;C4&amp;"'"&amp;"!A:A"),结果表车!B20,INDIRECT("'"&amp;C4&amp;"'"&amp;"!B:B"))</f>
        <v>9994</v>
      </c>
      <c r="D20" s="147">
        <f ca="1">SUMIF(INDIRECT("'"&amp;D4&amp;"'"&amp;"!A:A"),结果表车!B20,INDIRECT("'"&amp;D4&amp;"'"&amp;"!B:B"))</f>
        <v>0</v>
      </c>
      <c r="E20" s="2408"/>
      <c r="F20" s="1229" t="s">
        <v>2138</v>
      </c>
      <c r="G20" s="148">
        <f ca="1">ROUND(C20*$C$18+D20*$D$18,0)</f>
        <v>4997</v>
      </c>
      <c r="H20" s="970" t="s">
        <v>2139</v>
      </c>
      <c r="I20" s="138"/>
    </row>
    <row r="21" spans="1:35" ht="15" customHeight="1" thickBot="1">
      <c r="A21" s="990"/>
      <c r="B21" s="2409" t="s">
        <v>2140</v>
      </c>
      <c r="C21" s="784" t="e">
        <f ca="1">ROUND(C19*10000/L19,0)</f>
        <v>#DIV/0!</v>
      </c>
      <c r="D21" s="785" t="e">
        <f ca="1">ROUND(D19*10000/L19,0)</f>
        <v>#N/A</v>
      </c>
      <c r="E21" s="990"/>
      <c r="F21" s="2409" t="s">
        <v>2140</v>
      </c>
      <c r="G21" s="149" t="e">
        <f ca="1">ROUND(G19*10000/L19,0)</f>
        <v>#N/A</v>
      </c>
      <c r="H21" s="2410" t="s">
        <v>2139</v>
      </c>
      <c r="I21" s="138"/>
    </row>
    <row r="22" spans="1:35" ht="15" thickBot="1">
      <c r="A22" s="2255" t="s">
        <v>2141</v>
      </c>
      <c r="B22" s="2411"/>
      <c r="C22" s="2412"/>
      <c r="D22" s="786" t="e">
        <f ca="1">IF(C19&lt;D19,D19/C19-1,C19/D19-1)</f>
        <v>#N/A</v>
      </c>
      <c r="E22" s="138"/>
      <c r="F22" s="138"/>
      <c r="G22" s="138"/>
      <c r="H22" s="138"/>
      <c r="I22" s="138"/>
    </row>
    <row r="23" spans="1:35" ht="13.8" thickBot="1">
      <c r="A23" s="2389"/>
      <c r="B23" s="2389"/>
      <c r="C23" s="2389"/>
      <c r="D23" s="2389"/>
      <c r="E23" s="138"/>
      <c r="F23" s="138"/>
      <c r="G23" s="138"/>
      <c r="H23" s="138"/>
      <c r="I23" s="138"/>
    </row>
    <row r="24" spans="1:35" ht="14.4">
      <c r="A24" s="3662" t="s">
        <v>2142</v>
      </c>
      <c r="B24" s="2406" t="s">
        <v>2134</v>
      </c>
      <c r="C24" s="145">
        <f>IF(B30=0,0,D30)</f>
        <v>0</v>
      </c>
      <c r="D24" s="2413"/>
      <c r="E24" s="138"/>
      <c r="F24" s="138"/>
      <c r="G24" s="138"/>
      <c r="H24" s="138"/>
      <c r="I24" s="138"/>
    </row>
    <row r="25" spans="1:35" ht="14.4">
      <c r="A25" s="366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3.8">
      <c r="A27" s="2415"/>
      <c r="B27" s="151">
        <v>0</v>
      </c>
      <c r="C27" s="151">
        <v>0</v>
      </c>
      <c r="D27" s="152">
        <f>ROUND(C27*B27/10000,0)</f>
        <v>0</v>
      </c>
      <c r="E27" s="138"/>
      <c r="F27" s="138"/>
      <c r="G27" s="138"/>
      <c r="H27" s="138"/>
      <c r="I27" s="138"/>
    </row>
    <row r="28" spans="1:35" ht="13.8">
      <c r="A28" s="2415"/>
      <c r="B28" s="151"/>
      <c r="C28" s="151"/>
      <c r="D28" s="152"/>
      <c r="E28" s="138"/>
      <c r="F28" s="138"/>
      <c r="G28" s="138"/>
      <c r="H28" s="138"/>
      <c r="I28" s="138"/>
    </row>
    <row r="29" spans="1:35" ht="13.8">
      <c r="A29" s="2415"/>
      <c r="B29" s="151"/>
      <c r="C29" s="151"/>
      <c r="D29" s="152"/>
      <c r="E29" s="138"/>
      <c r="F29" s="138"/>
      <c r="G29" s="138"/>
      <c r="H29" s="138"/>
      <c r="I29" s="138"/>
    </row>
    <row r="30" spans="1:35" ht="14.4">
      <c r="A30" s="151" t="s">
        <v>2147</v>
      </c>
      <c r="B30" s="151"/>
      <c r="C30" s="151"/>
      <c r="D30" s="151"/>
      <c r="E30" s="2886" t="s">
        <v>3008</v>
      </c>
      <c r="F30" s="138"/>
      <c r="G30" s="138"/>
      <c r="H30" s="138"/>
      <c r="I30" s="138"/>
    </row>
    <row r="31" spans="1:35" s="2417" customFormat="1" ht="14.4"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 thickBot="1">
      <c r="A32" s="2418" t="s">
        <v>2148</v>
      </c>
      <c r="B32" s="2419"/>
      <c r="C32" s="153" t="e">
        <f ca="1">IF(D32="总价",G19-C24,G20-C25)</f>
        <v>#N/A</v>
      </c>
      <c r="D32" s="2420" t="s">
        <v>2149</v>
      </c>
      <c r="E32" s="138"/>
      <c r="F32" s="138"/>
      <c r="G32" s="138"/>
      <c r="H32" s="138"/>
      <c r="I32" s="138"/>
    </row>
    <row r="33" spans="1:15" ht="14.4">
      <c r="A33" s="947" t="s">
        <v>2150</v>
      </c>
      <c r="B33" s="2421"/>
      <c r="C33" s="2422" t="s">
        <v>3670</v>
      </c>
      <c r="D33" s="2423" t="s">
        <v>3648</v>
      </c>
      <c r="E33" s="2424" t="s">
        <v>2151</v>
      </c>
      <c r="F33" s="3008" t="str">
        <f>IF(D32="楼面单价","取值（单价）","取值（总价）")</f>
        <v>取值（总价）</v>
      </c>
      <c r="G33" s="138"/>
      <c r="H33" s="138"/>
      <c r="I33" s="138"/>
    </row>
    <row r="34" spans="1:15" ht="14.4">
      <c r="A34" s="2426"/>
      <c r="B34" s="2427"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8" t="s">
        <v>2153</v>
      </c>
      <c r="F34" s="1716"/>
      <c r="G34" s="138"/>
      <c r="H34" s="138"/>
      <c r="I34" s="138"/>
    </row>
    <row r="35" spans="1:15" ht="15" thickBot="1">
      <c r="A35" s="2429"/>
      <c r="B35" s="2430"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1" t="s">
        <v>2155</v>
      </c>
      <c r="F35" s="163"/>
      <c r="G35" s="138"/>
      <c r="H35" s="138"/>
      <c r="I35" s="138"/>
    </row>
    <row r="36" spans="1:15" ht="15" thickBot="1">
      <c r="A36" s="3642" t="s">
        <v>2156</v>
      </c>
      <c r="B36" s="2432" t="s">
        <v>2157</v>
      </c>
      <c r="C36" s="154"/>
      <c r="D36" s="2433"/>
      <c r="E36" s="2434"/>
      <c r="F36" s="2435"/>
      <c r="G36" s="138"/>
      <c r="H36" s="138"/>
      <c r="I36" s="138"/>
    </row>
    <row r="37" spans="1:15" ht="15" thickBot="1">
      <c r="A37" s="3643"/>
      <c r="B37" s="2241" t="s">
        <v>2158</v>
      </c>
      <c r="C37" s="156"/>
      <c r="D37" s="1373"/>
      <c r="E37" s="1373"/>
      <c r="F37" s="2435"/>
      <c r="G37" s="138"/>
      <c r="H37" s="138"/>
      <c r="I37" s="138"/>
    </row>
    <row r="38" spans="1:15" ht="15" thickBot="1">
      <c r="A38" s="3644"/>
      <c r="B38" s="2436" t="s">
        <v>2159</v>
      </c>
      <c r="C38" s="723"/>
      <c r="D38" s="2437" t="s">
        <v>2160</v>
      </c>
      <c r="E38" s="1373"/>
      <c r="F38" s="2435"/>
      <c r="G38" s="138"/>
      <c r="H38" s="138"/>
      <c r="I38" s="138"/>
    </row>
    <row r="39" spans="1:15" ht="14.4">
      <c r="A39" s="2408" t="s">
        <v>2161</v>
      </c>
      <c r="B39" s="2438" t="s">
        <v>2144</v>
      </c>
      <c r="C39" s="2439" t="s">
        <v>2145</v>
      </c>
      <c r="D39" s="2439" t="s">
        <v>2164</v>
      </c>
      <c r="E39" s="2440" t="s">
        <v>2146</v>
      </c>
      <c r="F39" s="2435"/>
      <c r="G39" s="138"/>
      <c r="H39" s="138"/>
      <c r="I39" s="138"/>
    </row>
    <row r="40" spans="1:15" ht="13.8">
      <c r="A40" s="2441" t="s">
        <v>2166</v>
      </c>
      <c r="B40" s="158"/>
      <c r="C40" s="159"/>
      <c r="D40" s="159"/>
      <c r="E40" s="160"/>
      <c r="F40" s="2435"/>
      <c r="G40" s="138"/>
      <c r="H40" s="138"/>
      <c r="I40" s="138"/>
    </row>
    <row r="41" spans="1:15" ht="13.8">
      <c r="A41" s="2441" t="s">
        <v>2167</v>
      </c>
      <c r="B41" s="158"/>
      <c r="C41" s="159"/>
      <c r="D41" s="159"/>
      <c r="E41" s="160"/>
      <c r="F41" s="2435"/>
      <c r="G41" s="138"/>
      <c r="H41" s="138"/>
      <c r="I41" s="138"/>
    </row>
    <row r="42" spans="1:15" ht="14.4" thickBot="1">
      <c r="A42" s="2442"/>
      <c r="B42" s="161"/>
      <c r="C42" s="162"/>
      <c r="D42" s="162"/>
      <c r="E42" s="163"/>
      <c r="F42" s="2435"/>
      <c r="G42" s="138"/>
      <c r="H42" s="138"/>
      <c r="I42" s="138"/>
    </row>
    <row r="43" spans="1:15" ht="13.2">
      <c r="A43" s="2140"/>
      <c r="B43" s="2140"/>
      <c r="C43" s="2140"/>
      <c r="D43" s="2140"/>
      <c r="E43" s="2140"/>
      <c r="F43" s="2443"/>
      <c r="G43" s="2443"/>
      <c r="H43" s="2443"/>
      <c r="I43" s="2444"/>
    </row>
    <row r="44" spans="1:15" ht="17.399999999999999">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59" t="s">
        <v>2170</v>
      </c>
      <c r="B45" s="3660"/>
      <c r="C45" s="3661"/>
      <c r="D45" s="164" t="e">
        <f ca="1">ROUND(H101*F45,0)</f>
        <v>#N/A</v>
      </c>
      <c r="E45" s="165" t="s">
        <v>2171</v>
      </c>
      <c r="F45" s="166">
        <v>1</v>
      </c>
      <c r="G45" s="167" t="s">
        <v>2172</v>
      </c>
      <c r="H45" s="138"/>
      <c r="I45" s="138"/>
      <c r="J45" s="3587" t="s">
        <v>2173</v>
      </c>
      <c r="K45" s="3587"/>
      <c r="L45" s="3587"/>
      <c r="M45" s="3587"/>
      <c r="N45" s="3587"/>
      <c r="O45" s="3587"/>
    </row>
    <row r="46" spans="1:15" ht="14.25" customHeight="1">
      <c r="A46" s="3656" t="s">
        <v>2174</v>
      </c>
      <c r="B46" s="3657"/>
      <c r="C46" s="3657"/>
      <c r="D46" s="3657"/>
      <c r="E46" s="3657"/>
      <c r="F46" s="3657"/>
      <c r="G46" s="3658"/>
      <c r="H46" s="2451"/>
      <c r="I46" s="168"/>
      <c r="J46" s="3017">
        <v>1</v>
      </c>
      <c r="K46" s="3587" t="s">
        <v>2175</v>
      </c>
      <c r="L46" s="3587"/>
      <c r="M46" s="3588"/>
      <c r="N46" s="3588"/>
      <c r="O46" s="3588"/>
    </row>
    <row r="47" spans="1:15" ht="12" customHeight="1">
      <c r="A47" s="169" t="s">
        <v>2176</v>
      </c>
      <c r="B47" s="170"/>
      <c r="C47" s="171"/>
      <c r="D47" s="172" t="s">
        <v>2177</v>
      </c>
      <c r="E47" s="24" t="s">
        <v>2178</v>
      </c>
      <c r="F47" s="173" t="s">
        <v>2179</v>
      </c>
      <c r="G47" s="174" t="s">
        <v>2180</v>
      </c>
      <c r="H47" s="2451"/>
      <c r="I47" s="168"/>
      <c r="J47" s="3017">
        <v>2</v>
      </c>
      <c r="K47" s="3587" t="s">
        <v>2181</v>
      </c>
      <c r="L47" s="3587"/>
      <c r="M47" s="3589">
        <f>'数据-取费表'!B2</f>
        <v>43836</v>
      </c>
      <c r="N47" s="3589"/>
      <c r="O47" s="3589"/>
    </row>
    <row r="48" spans="1:15" ht="26.4">
      <c r="A48" s="3646" t="s">
        <v>2182</v>
      </c>
      <c r="B48" s="3647"/>
      <c r="C48" s="3647"/>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587" t="s">
        <v>2185</v>
      </c>
      <c r="L48" s="3587"/>
      <c r="M48" s="3590" t="e">
        <f ca="1">H101</f>
        <v>#N/A</v>
      </c>
      <c r="N48" s="3590"/>
      <c r="O48" s="3590"/>
    </row>
    <row r="49" spans="1:35" ht="25.5" customHeight="1">
      <c r="A49" s="176" t="s">
        <v>2186</v>
      </c>
      <c r="B49" s="3629" t="s">
        <v>2187</v>
      </c>
      <c r="C49" s="3629"/>
      <c r="D49" s="177">
        <v>0</v>
      </c>
      <c r="E49" s="23" t="s">
        <v>2188</v>
      </c>
      <c r="F49" s="28" t="s">
        <v>34</v>
      </c>
      <c r="G49" s="3610"/>
      <c r="H49" s="138"/>
      <c r="I49" s="2454"/>
      <c r="J49" s="3017">
        <v>4</v>
      </c>
      <c r="K49" s="3587" t="str">
        <f>IF(项目基本情况!E8="房地产抵押价值","房地产抵押价值","抵押担保权已注销时的房地产抵押价值")</f>
        <v>房地产抵押价值</v>
      </c>
      <c r="L49" s="3587"/>
      <c r="M49" s="3590" t="e">
        <f ca="1">IF(项目基本情况!E8="房地产抵押价值",H107,H109)</f>
        <v>#N/A</v>
      </c>
      <c r="N49" s="3590"/>
      <c r="O49" s="3590"/>
    </row>
    <row r="50" spans="1:35" ht="25.5" customHeight="1">
      <c r="A50" s="178"/>
      <c r="B50" s="3629" t="s">
        <v>2189</v>
      </c>
      <c r="C50" s="3629"/>
      <c r="D50" s="179"/>
      <c r="E50" s="31"/>
      <c r="F50" s="180"/>
      <c r="G50" s="3611"/>
      <c r="H50" s="138"/>
      <c r="I50" s="2454"/>
      <c r="J50" s="3587" t="s">
        <v>2190</v>
      </c>
      <c r="K50" s="3587"/>
      <c r="L50" s="3587"/>
      <c r="M50" s="3587"/>
      <c r="N50" s="3587"/>
      <c r="O50" s="3587"/>
    </row>
    <row r="51" spans="1:35" ht="12" customHeight="1">
      <c r="A51" s="181"/>
      <c r="B51" s="3629" t="s">
        <v>2191</v>
      </c>
      <c r="C51" s="3629"/>
      <c r="D51" s="182"/>
      <c r="E51" s="30"/>
      <c r="F51" s="180"/>
      <c r="G51" s="3612"/>
      <c r="H51" s="138"/>
      <c r="I51" s="2454"/>
      <c r="J51" s="3010" t="s">
        <v>2192</v>
      </c>
      <c r="K51" s="3587" t="s">
        <v>2193</v>
      </c>
      <c r="L51" s="3587"/>
      <c r="M51" s="3010" t="s">
        <v>2194</v>
      </c>
      <c r="N51" s="3010" t="s">
        <v>2195</v>
      </c>
      <c r="O51" s="3010" t="s">
        <v>2196</v>
      </c>
    </row>
    <row r="52" spans="1:35" ht="24" customHeight="1">
      <c r="A52" s="183" t="s">
        <v>2197</v>
      </c>
      <c r="B52" s="3629" t="s">
        <v>2198</v>
      </c>
      <c r="C52" s="3629"/>
      <c r="D52" s="182" t="e">
        <f ca="1">ROUND(D45*'数据-取费表'!B41/(1+'数据-取费表'!C42),0)</f>
        <v>#N/A</v>
      </c>
      <c r="E52" s="11" t="s">
        <v>2199</v>
      </c>
      <c r="F52" s="184">
        <f>'数据-取费表'!B41</f>
        <v>5.6000000000000001E-2</v>
      </c>
      <c r="G52" s="2456"/>
      <c r="H52" s="138"/>
      <c r="I52" s="2454"/>
      <c r="J52" s="3017">
        <v>1</v>
      </c>
      <c r="K52" s="3604" t="s">
        <v>2200</v>
      </c>
      <c r="L52" s="3604"/>
      <c r="M52" s="1731">
        <f>D48</f>
        <v>0</v>
      </c>
      <c r="N52" s="3017" t="str">
        <f>E48</f>
        <v>销售额×税（费）率</v>
      </c>
      <c r="O52" s="1732" t="str">
        <f>F48</f>
        <v>免征</v>
      </c>
    </row>
    <row r="53" spans="1:35" ht="12" customHeight="1">
      <c r="A53" s="183" t="s">
        <v>2201</v>
      </c>
      <c r="B53" s="3630" t="s">
        <v>2202</v>
      </c>
      <c r="C53" s="3631"/>
      <c r="D53" s="182" t="e">
        <f ca="1">ROUND(D45*'数据-取费表'!B41/(1+'数据-取费表'!C42),0)</f>
        <v>#N/A</v>
      </c>
      <c r="E53" s="11" t="s">
        <v>2199</v>
      </c>
      <c r="F53" s="184">
        <f>'数据-取费表'!B41</f>
        <v>5.6000000000000001E-2</v>
      </c>
      <c r="G53" s="2456"/>
      <c r="H53" s="138"/>
      <c r="I53" s="2454"/>
      <c r="J53" s="3017">
        <v>2</v>
      </c>
      <c r="K53" s="3604" t="s">
        <v>2203</v>
      </c>
      <c r="L53" s="3604"/>
      <c r="M53" s="1731" t="e">
        <f t="shared" ref="M53:O54" ca="1" si="0">D55</f>
        <v>#N/A</v>
      </c>
      <c r="N53" s="3017" t="str">
        <f t="shared" si="0"/>
        <v>销售额×税（费）率</v>
      </c>
      <c r="O53" s="1732">
        <f t="shared" si="0"/>
        <v>5.0000000000000001E-4</v>
      </c>
    </row>
    <row r="54" spans="1:35" ht="12" customHeight="1">
      <c r="A54" s="183" t="s">
        <v>2204</v>
      </c>
      <c r="B54" s="3630" t="s">
        <v>2205</v>
      </c>
      <c r="C54" s="3631"/>
      <c r="D54" s="182" t="e">
        <f ca="1">C68</f>
        <v>#N/A</v>
      </c>
      <c r="E54" s="30" t="s">
        <v>2206</v>
      </c>
      <c r="F54" s="184">
        <f>'数据-取费表'!B41</f>
        <v>5.6000000000000001E-2</v>
      </c>
      <c r="G54" s="2456"/>
      <c r="H54" s="2457"/>
      <c r="I54" s="2454"/>
      <c r="J54" s="3017">
        <v>3</v>
      </c>
      <c r="K54" s="3604" t="s">
        <v>2207</v>
      </c>
      <c r="L54" s="3604"/>
      <c r="M54" s="1731" t="e">
        <f t="shared" ca="1" si="0"/>
        <v>#N/A</v>
      </c>
      <c r="N54" s="3017" t="str">
        <f t="shared" si="0"/>
        <v>增值额×税（费）率</v>
      </c>
      <c r="O54" s="1733" t="str">
        <f t="shared" si="0"/>
        <v>——</v>
      </c>
    </row>
    <row r="55" spans="1:35" ht="24" customHeight="1">
      <c r="A55" s="3665" t="s">
        <v>2208</v>
      </c>
      <c r="B55" s="3647"/>
      <c r="C55" s="3647"/>
      <c r="D55" s="185" t="e">
        <f ca="1">IF(H55="个人住宅",0,ROUND(D45*I55,0))</f>
        <v>#N/A</v>
      </c>
      <c r="E55" s="11" t="s">
        <v>2209</v>
      </c>
      <c r="F55" s="184">
        <f>IF(H55="正常",I55,"免征")</f>
        <v>5.0000000000000001E-4</v>
      </c>
      <c r="G55" s="2456"/>
      <c r="H55" s="2453" t="s">
        <v>2210</v>
      </c>
      <c r="I55" s="186">
        <f>'数据-取费表'!B49</f>
        <v>5.0000000000000001E-4</v>
      </c>
      <c r="J55" s="3017" t="str">
        <f>IF(H59="非个人房产","",4)</f>
        <v/>
      </c>
      <c r="K55" s="3604" t="str">
        <f>IF(H59="非个人房产","——","个人所得税")</f>
        <v>——</v>
      </c>
      <c r="L55" s="3604"/>
      <c r="M55" s="1734" t="str">
        <f>D59</f>
        <v>——</v>
      </c>
      <c r="N55" s="3018" t="str">
        <f>E59</f>
        <v>——</v>
      </c>
      <c r="O55" s="1735" t="str">
        <f>F59</f>
        <v>——</v>
      </c>
    </row>
    <row r="56" spans="1:35" ht="25.2">
      <c r="A56" s="3665" t="s">
        <v>2211</v>
      </c>
      <c r="B56" s="3647"/>
      <c r="C56" s="3647"/>
      <c r="D56" s="185" t="e">
        <f ca="1">IF(H56="个人住宅",D57,D58)</f>
        <v>#N/A</v>
      </c>
      <c r="E56" s="11" t="s">
        <v>2212</v>
      </c>
      <c r="F56" s="184" t="str">
        <f>IF(H56="正常",F58,"免征")</f>
        <v>——</v>
      </c>
      <c r="G56" s="2458" t="s">
        <v>2213</v>
      </c>
      <c r="H56" s="2459" t="s">
        <v>2210</v>
      </c>
      <c r="I56" s="2460"/>
      <c r="J56" s="3017" t="str">
        <f>IF(项目基本情况!K6="上海银行",IF(J55="",4,J55+1),"")</f>
        <v/>
      </c>
      <c r="K56" s="3593" t="str">
        <f>IF(项目基本情况!K6="上海银行","其他处置费用","")</f>
        <v/>
      </c>
      <c r="L56" s="3594"/>
      <c r="M56" s="1731" t="str">
        <f>IF(项目基本情况!K6="上海银行",M69,"")</f>
        <v/>
      </c>
      <c r="N56" s="3596" t="str">
        <f>IF(项目基本情况!K6="上海银行","包含处置中涉及的律师、诉讼、拍卖、评估等费用","")</f>
        <v/>
      </c>
      <c r="O56" s="3597"/>
    </row>
    <row r="57" spans="1:35" ht="13.2">
      <c r="A57" s="183" t="s">
        <v>2186</v>
      </c>
      <c r="B57" s="3635" t="s">
        <v>2214</v>
      </c>
      <c r="C57" s="3636"/>
      <c r="D57" s="187">
        <v>0</v>
      </c>
      <c r="E57" s="23" t="s">
        <v>2188</v>
      </c>
      <c r="F57" s="155"/>
      <c r="G57" s="2456"/>
      <c r="H57" s="2460"/>
      <c r="I57" s="2460"/>
      <c r="J57" s="3604">
        <f>IF(AND(J55="",J56=""),4,IF(项目基本情况!K6="上海银行",结果表车!J56+1,结果表车!J55+1))</f>
        <v>4</v>
      </c>
      <c r="K57" s="3604" t="s">
        <v>2215</v>
      </c>
      <c r="L57" s="2461" t="s">
        <v>2216</v>
      </c>
      <c r="M57" s="1736"/>
      <c r="N57" s="1737">
        <f ca="1">SUMIF(M52:M56,"&lt;9e307")</f>
        <v>0</v>
      </c>
      <c r="O57" s="2462"/>
      <c r="P57" s="1730" t="e">
        <f ca="1">N57/M49</f>
        <v>#N/A</v>
      </c>
    </row>
    <row r="58" spans="1:35" ht="25.2">
      <c r="A58" s="183" t="s">
        <v>2197</v>
      </c>
      <c r="B58" s="3635" t="s">
        <v>2217</v>
      </c>
      <c r="C58" s="3645"/>
      <c r="D58" s="185" t="e">
        <f ca="1">IF(H58="转让取得",C81,C97)</f>
        <v>#N/A</v>
      </c>
      <c r="E58" s="11" t="s">
        <v>2212</v>
      </c>
      <c r="F58" s="24" t="s">
        <v>34</v>
      </c>
      <c r="G58" s="2456"/>
      <c r="H58" s="2459" t="s">
        <v>2218</v>
      </c>
      <c r="I58" s="2460"/>
      <c r="J58" s="3604"/>
      <c r="K58" s="3604"/>
      <c r="L58" s="2461" t="s">
        <v>2219</v>
      </c>
      <c r="M58" s="1738"/>
      <c r="N58" s="2463" t="str">
        <f ca="1">NUMBERSTRING(INT(N57*10000),2)&amp;"元整"</f>
        <v>零元整</v>
      </c>
      <c r="O58" s="2464"/>
    </row>
    <row r="59" spans="1:35" ht="24.6"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4" t="s">
        <v>2222</v>
      </c>
      <c r="L59" s="3017" t="s">
        <v>2216</v>
      </c>
      <c r="M59" s="1739"/>
      <c r="N59" s="1740" t="e">
        <f ca="1">M49-N57</f>
        <v>#N/A</v>
      </c>
      <c r="O59" s="2466"/>
    </row>
    <row r="60" spans="1:35" ht="12" customHeight="1">
      <c r="A60" s="2467"/>
      <c r="B60" s="2389"/>
      <c r="C60" s="2389"/>
      <c r="D60" s="2389"/>
      <c r="E60" s="2141"/>
      <c r="F60" s="2460"/>
      <c r="G60" s="2460"/>
      <c r="H60" s="2468"/>
      <c r="I60" s="138"/>
      <c r="J60" s="3607"/>
      <c r="K60" s="3604"/>
      <c r="L60" s="2461" t="s">
        <v>2219</v>
      </c>
      <c r="M60" s="1738"/>
      <c r="N60" s="2463" t="e">
        <f ca="1">NUMBERSTRING(INT(N59*10000),2)&amp;"元整"</f>
        <v>#N/A</v>
      </c>
      <c r="O60" s="2464"/>
    </row>
    <row r="61" spans="1:35" ht="13.8" thickBot="1">
      <c r="A61" s="3664" t="s">
        <v>2223</v>
      </c>
      <c r="B61" s="3664"/>
      <c r="C61" s="3664"/>
      <c r="D61" s="3664"/>
      <c r="E61" s="3664"/>
      <c r="F61" s="2460"/>
      <c r="G61" s="2460"/>
      <c r="H61" s="2468"/>
      <c r="I61" s="138"/>
      <c r="J61" s="3017">
        <f>J59+1</f>
        <v>6</v>
      </c>
      <c r="K61" s="3604" t="s">
        <v>2224</v>
      </c>
      <c r="L61" s="3604"/>
      <c r="M61" s="1741"/>
      <c r="N61" s="1742" t="e">
        <f ca="1">ROUND(N59*10000/'数据-汇总表'!E3,0)</f>
        <v>#N/A</v>
      </c>
      <c r="O61" s="2469"/>
    </row>
    <row r="62" spans="1:35" ht="13.2">
      <c r="A62" s="3624" t="s">
        <v>2225</v>
      </c>
      <c r="B62" s="3625"/>
      <c r="C62" s="3022"/>
      <c r="D62" s="3022" t="s">
        <v>2226</v>
      </c>
      <c r="E62" s="192" t="s">
        <v>2227</v>
      </c>
      <c r="F62" s="2460"/>
      <c r="G62" s="2460"/>
      <c r="H62" s="2468"/>
      <c r="I62" s="138"/>
    </row>
    <row r="63" spans="1:35" ht="13.2">
      <c r="A63" s="203" t="s">
        <v>775</v>
      </c>
      <c r="B63" s="193" t="s">
        <v>2228</v>
      </c>
      <c r="C63" s="194" t="e">
        <f ca="1">ROUND((C64+C65)/(1+'数据-取费表'!C42),0)</f>
        <v>#N/A</v>
      </c>
      <c r="D63" s="195"/>
      <c r="E63" s="196"/>
      <c r="F63" s="2460"/>
      <c r="G63" s="2460"/>
      <c r="H63" s="2468"/>
      <c r="I63" s="138"/>
      <c r="J63" s="3595" t="s">
        <v>2229</v>
      </c>
      <c r="K63" s="3013" t="s">
        <v>2230</v>
      </c>
      <c r="L63" s="1729" t="e">
        <f ca="1">IF(M49&gt;10000,M49*0.5%,IF(AND(M49&gt;1000,M49&lt;=10000),M49*1%,IF(AND(M49&gt;100,M49&lt;=1000),M49*3%,IF(AND(M49&gt;10,M49&lt;=100),M49*5%,M49*8%))))</f>
        <v>#N/A</v>
      </c>
      <c r="M63" s="24" t="e">
        <f ca="1">ROUND(L63,1)</f>
        <v>#N/A</v>
      </c>
      <c r="Z63" s="2394"/>
      <c r="AI63" s="2395"/>
    </row>
    <row r="64" spans="1:35" ht="14.25" customHeight="1">
      <c r="A64" s="197" t="s">
        <v>770</v>
      </c>
      <c r="B64" s="198" t="s">
        <v>2231</v>
      </c>
      <c r="C64" s="199" t="e">
        <f ca="1">D45</f>
        <v>#N/A</v>
      </c>
      <c r="D64" s="200" t="s">
        <v>32</v>
      </c>
      <c r="E64" s="201"/>
      <c r="F64" s="2460"/>
      <c r="G64" s="2460"/>
      <c r="H64" s="2468"/>
      <c r="I64" s="138"/>
      <c r="J64" s="3595"/>
      <c r="K64" s="3013"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4"/>
      <c r="AI64" s="2395"/>
    </row>
    <row r="65" spans="1:35" ht="14.25" customHeight="1">
      <c r="A65" s="197" t="s">
        <v>771</v>
      </c>
      <c r="B65" s="198" t="s">
        <v>2234</v>
      </c>
      <c r="C65" s="202"/>
      <c r="D65" s="200"/>
      <c r="E65" s="201"/>
      <c r="F65" s="2460"/>
      <c r="G65" s="2460"/>
      <c r="H65" s="2468"/>
      <c r="I65" s="138"/>
      <c r="J65" s="3595"/>
      <c r="K65" s="3013" t="s">
        <v>2235</v>
      </c>
      <c r="L65" s="1729" t="e">
        <f ca="1">IF(M49&gt;1000,M49*0.1%,IF(AND(M49&gt;500,M49&lt;=1000),M49*0.5%,IF(AND(M49&gt;50,M49&lt;=500),M49*1%,IF(AND(M49&gt;1,M49&lt;=50),M49*1.5%))))</f>
        <v>#N/A</v>
      </c>
      <c r="M65" s="24" t="e">
        <f t="shared" ca="1" si="1"/>
        <v>#N/A</v>
      </c>
      <c r="N65" s="138" t="s">
        <v>2233</v>
      </c>
      <c r="Z65" s="2394"/>
      <c r="AI65" s="2395"/>
    </row>
    <row r="66" spans="1:35" ht="14.25" customHeight="1">
      <c r="A66" s="203" t="s">
        <v>772</v>
      </c>
      <c r="B66" s="204" t="s">
        <v>2236</v>
      </c>
      <c r="C66" s="205"/>
      <c r="D66" s="206" t="s">
        <v>32</v>
      </c>
      <c r="E66" s="1753" t="s">
        <v>1360</v>
      </c>
      <c r="F66" s="2460"/>
      <c r="G66" s="2460"/>
      <c r="H66" s="2468"/>
      <c r="I66" s="138"/>
      <c r="J66" s="3595"/>
      <c r="K66" s="3013" t="s">
        <v>2237</v>
      </c>
      <c r="L66" s="1729" t="e">
        <f ca="1">M49*0.5%</f>
        <v>#N/A</v>
      </c>
      <c r="M66" s="24" t="e">
        <f ca="1">IF(L66&gt;0.5,0.5,ROUND(L66,0))</f>
        <v>#N/A</v>
      </c>
      <c r="N66" s="138" t="s">
        <v>2238</v>
      </c>
      <c r="Z66" s="2394"/>
      <c r="AI66" s="2395"/>
    </row>
    <row r="67" spans="1:35" ht="14.25" customHeight="1">
      <c r="A67" s="203" t="s">
        <v>773</v>
      </c>
      <c r="B67" s="204" t="s">
        <v>2239</v>
      </c>
      <c r="C67" s="207" t="e">
        <f ca="1">C63-C66</f>
        <v>#N/A</v>
      </c>
      <c r="D67" s="200" t="s">
        <v>32</v>
      </c>
      <c r="E67" s="201"/>
      <c r="F67" s="2460"/>
      <c r="G67" s="2460"/>
      <c r="H67" s="2468"/>
      <c r="I67" s="138"/>
      <c r="J67" s="3595"/>
      <c r="K67" s="3013"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4"/>
      <c r="AI67" s="2395"/>
    </row>
    <row r="68" spans="1:35" ht="14.25" customHeight="1" thickBot="1">
      <c r="A68" s="208" t="s">
        <v>774</v>
      </c>
      <c r="B68" s="209" t="s">
        <v>2241</v>
      </c>
      <c r="C68" s="210" t="e">
        <f ca="1">IF(C67&lt;=0,0,ROUND(C67*D68,0))</f>
        <v>#N/A</v>
      </c>
      <c r="D68" s="211">
        <f>'数据-取费表'!B41</f>
        <v>5.6000000000000001E-2</v>
      </c>
      <c r="E68" s="212"/>
      <c r="F68" s="2460"/>
      <c r="G68" s="2460"/>
      <c r="H68" s="2468"/>
      <c r="I68" s="138"/>
      <c r="J68" s="3595"/>
      <c r="K68" s="3013" t="s">
        <v>2242</v>
      </c>
      <c r="L68" s="1729" t="e">
        <f ca="1">IF(M49&gt;10000,M49*0.5%,IF(AND(M49&gt;5000,M49&lt;=10000),M49*1%,IF(AND(M49&gt;1000,M49&lt;=5000),M49*2%,IF(AND(M49&gt;200,M49&lt;=1000),M49*3%,M49*5%))))</f>
        <v>#N/A</v>
      </c>
      <c r="M68" s="24" t="e">
        <f ca="1">ROUND(L68,1)</f>
        <v>#N/A</v>
      </c>
      <c r="Z68" s="2394"/>
      <c r="AI68" s="2395"/>
    </row>
    <row r="69" spans="1:35" s="2417" customFormat="1" ht="16.5" customHeight="1">
      <c r="A69" s="2471"/>
      <c r="B69" s="2472"/>
      <c r="C69" s="2473"/>
      <c r="D69" s="2474"/>
      <c r="E69" s="2475"/>
      <c r="F69" s="2141"/>
      <c r="G69" s="2141"/>
      <c r="H69" s="2140"/>
      <c r="I69" s="2389"/>
      <c r="J69" s="3595"/>
      <c r="K69" s="3013" t="s">
        <v>2243</v>
      </c>
      <c r="L69" s="2476"/>
      <c r="M69" s="24" t="e">
        <f ca="1">ROUND(SUM(M63:M68),0)</f>
        <v>#N/A</v>
      </c>
      <c r="N69" s="1730" t="e">
        <f ca="1">M69/M49</f>
        <v>#N/A</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4.4" thickBot="1">
      <c r="A70" s="3633" t="s">
        <v>2244</v>
      </c>
      <c r="B70" s="3634"/>
      <c r="C70" s="3634"/>
      <c r="D70" s="3634"/>
      <c r="E70" s="3634"/>
      <c r="F70" s="3634"/>
      <c r="G70" s="3634"/>
      <c r="H70" s="3634"/>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3.8">
      <c r="A71" s="3624" t="s">
        <v>2225</v>
      </c>
      <c r="B71" s="3625"/>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3.8">
      <c r="A72" s="203" t="s">
        <v>775</v>
      </c>
      <c r="B72" s="204" t="s">
        <v>2245</v>
      </c>
      <c r="C72" s="207" t="e">
        <f ca="1">ROUND(D45/(1+'数据-取费表'!C42),0)</f>
        <v>#N/A</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3.8">
      <c r="A73" s="203" t="s">
        <v>772</v>
      </c>
      <c r="B73" s="173" t="s">
        <v>2246</v>
      </c>
      <c r="C73" s="207" t="e">
        <f ca="1">C74+C78</f>
        <v>#N/A</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28.8">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30" t="s">
        <v>2253</v>
      </c>
      <c r="F76" s="3629"/>
      <c r="G76" s="3629"/>
      <c r="H76" s="3632"/>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t="e">
        <f ca="1">ROUND(D45*D78/(1+'数据-取费表'!C42),0)</f>
        <v>#N/A</v>
      </c>
      <c r="D78" s="226">
        <f>'数据-取费表'!B43</f>
        <v>6.000000000000001E-3</v>
      </c>
      <c r="E78" s="3621" t="s">
        <v>2258</v>
      </c>
      <c r="F78" s="3622"/>
      <c r="G78" s="3622"/>
      <c r="H78" s="3623"/>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3.8">
      <c r="A79" s="2486" t="s">
        <v>773</v>
      </c>
      <c r="B79" s="204" t="s">
        <v>2259</v>
      </c>
      <c r="C79" s="207" t="e">
        <f ca="1">C72-C73</f>
        <v>#N/A</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t="e">
        <f ca="1">IF(C79&lt;=0,0,C79/C73)</f>
        <v>#N/A</v>
      </c>
      <c r="D80" s="200" t="s">
        <v>32</v>
      </c>
      <c r="E80" s="3014" t="e">
        <f ca="1">IF(C80&gt;=200%,"增值额超过扣除项目金额200%",IF(C80&gt;=100%,"增值额超过扣除项目金额100%，未超过200%",IF(C80&gt;=50%,"增值额超过扣除项目金额50%，未超过100%",IF(C80&lt;50%,"增值额未超过扣除项目金额50%"))))</f>
        <v>#N/A</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6" thickBot="1">
      <c r="A81" s="2487"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4.4" thickBot="1">
      <c r="A83" s="3633" t="s">
        <v>2262</v>
      </c>
      <c r="B83" s="3634"/>
      <c r="C83" s="3634"/>
      <c r="D83" s="3634"/>
      <c r="E83" s="3634"/>
      <c r="F83" s="3634"/>
      <c r="G83" s="3634"/>
      <c r="H83" s="3634"/>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3.8">
      <c r="A84" s="3624" t="s">
        <v>2225</v>
      </c>
      <c r="B84" s="3625"/>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3.8">
      <c r="A85" s="203" t="s">
        <v>775</v>
      </c>
      <c r="B85" s="204" t="s">
        <v>2245</v>
      </c>
      <c r="C85" s="207" t="e">
        <f ca="1">ROUND(D45/(1+'数据-取费表'!C42),0)</f>
        <v>#N/A</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3.8">
      <c r="A86" s="203" t="s">
        <v>772</v>
      </c>
      <c r="B86" s="173" t="s">
        <v>2246</v>
      </c>
      <c r="C86" s="207" t="e">
        <f ca="1">IF(H88="仅含出让金",C87+C90+C91+C92+C93+C94,C87+C91+C92+C93+C94)</f>
        <v>#N/A</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3.8">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3.8">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3.8">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3.8">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621" t="s">
        <v>2271</v>
      </c>
      <c r="F91" s="3622"/>
      <c r="G91" s="3622"/>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621" t="s">
        <v>2275</v>
      </c>
      <c r="F92" s="3622"/>
      <c r="G92" s="3622"/>
      <c r="H92" s="3623"/>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t="e">
        <f ca="1">ROUND(D45*D93/(1+'数据-取费表'!C42),0)</f>
        <v>#N/A</v>
      </c>
      <c r="D93" s="226">
        <f>'数据-取费表'!B43</f>
        <v>6.000000000000001E-3</v>
      </c>
      <c r="E93" s="3621" t="s">
        <v>2258</v>
      </c>
      <c r="F93" s="3622"/>
      <c r="G93" s="3622"/>
      <c r="H93" s="3623"/>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66" t="s">
        <v>2279</v>
      </c>
      <c r="F94" s="3667"/>
      <c r="G94" s="3667"/>
      <c r="H94" s="3668"/>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3.8">
      <c r="A95" s="2486" t="s">
        <v>773</v>
      </c>
      <c r="B95" s="204" t="s">
        <v>2259</v>
      </c>
      <c r="C95" s="207" t="e">
        <f ca="1">ROUND(C85-C86,0)</f>
        <v>#N/A</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t="e">
        <f ca="1">IF(C95&lt;=0,0,C95/C86)</f>
        <v>#N/A</v>
      </c>
      <c r="D96" s="200" t="s">
        <v>32</v>
      </c>
      <c r="E96" s="3014" t="e">
        <f ca="1">IF(C96&gt;=200%,"增值额超过扣除项目金额200%",IF(C96&gt;=100%,"增值额超过扣除项目金额100%，未超过200%",IF(C96&gt;=50%,"增值额超过扣除项目金额50%，未超过100%",IF(C96&lt;50%,"增值额未超过扣除项目金额50%"))))</f>
        <v>#N/A</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6" thickBot="1">
      <c r="A97" s="2487"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605"/>
      <c r="E100" s="3572" t="s">
        <v>2282</v>
      </c>
      <c r="F100" s="3572"/>
      <c r="G100" s="3572"/>
      <c r="H100" s="3605"/>
      <c r="I100" s="138"/>
    </row>
    <row r="101" spans="1:35" ht="18.75" customHeight="1">
      <c r="A101" s="3613" t="s">
        <v>2283</v>
      </c>
      <c r="B101" s="3614"/>
      <c r="C101" s="732" t="str">
        <f>C4</f>
        <v>比较法-车位</v>
      </c>
      <c r="D101" s="733" t="str">
        <f>D4</f>
        <v>收益法车库</v>
      </c>
      <c r="E101" s="3591" t="s">
        <v>2284</v>
      </c>
      <c r="F101" s="3592"/>
      <c r="G101" s="2491" t="s">
        <v>2285</v>
      </c>
      <c r="H101" s="1035" t="e">
        <f ca="1">H118</f>
        <v>#N/A</v>
      </c>
      <c r="I101" s="138"/>
    </row>
    <row r="102" spans="1:35" ht="18.75" customHeight="1">
      <c r="A102" s="3615" t="s">
        <v>2286</v>
      </c>
      <c r="B102" s="2491" t="s">
        <v>2285</v>
      </c>
      <c r="C102" s="732">
        <f ca="1">C19</f>
        <v>0</v>
      </c>
      <c r="D102" s="733" t="e">
        <f ca="1">D19</f>
        <v>#N/A</v>
      </c>
      <c r="E102" s="3591"/>
      <c r="F102" s="3592"/>
      <c r="G102" s="2491" t="s">
        <v>2287</v>
      </c>
      <c r="H102" s="371" t="e">
        <f ca="1">I118</f>
        <v>#N/A</v>
      </c>
      <c r="I102" s="138"/>
    </row>
    <row r="103" spans="1:35" ht="42.75" customHeight="1">
      <c r="A103" s="3615"/>
      <c r="B103" s="2491" t="s">
        <v>2287</v>
      </c>
      <c r="C103" s="734">
        <f ca="1">C20</f>
        <v>9994</v>
      </c>
      <c r="D103" s="735">
        <f ca="1">D20</f>
        <v>0</v>
      </c>
      <c r="E103" s="3585" t="s">
        <v>2288</v>
      </c>
      <c r="F103" s="3586"/>
      <c r="G103" s="2492" t="s">
        <v>2289</v>
      </c>
      <c r="H103" s="1035">
        <f>IF(D36="正常操作",H104+H105+H106,H105+H106)</f>
        <v>0</v>
      </c>
      <c r="I103" s="138"/>
    </row>
    <row r="104" spans="1:35" ht="18.75" customHeight="1">
      <c r="A104" s="3615" t="s">
        <v>2290</v>
      </c>
      <c r="B104" s="2493" t="s">
        <v>2285</v>
      </c>
      <c r="C104" s="736" t="e">
        <f ca="1">H118</f>
        <v>#N/A</v>
      </c>
      <c r="D104" s="737"/>
      <c r="E104" s="2241" t="s">
        <v>2291</v>
      </c>
      <c r="F104" s="2233"/>
      <c r="G104" s="2492" t="s">
        <v>2289</v>
      </c>
      <c r="H104" s="1036">
        <f>IF(D36="同一抵押权人同一抵押物续贷",C36&amp;"（未扣减，详见特别提示）",C36)</f>
        <v>0</v>
      </c>
      <c r="I104" s="138"/>
    </row>
    <row r="105" spans="1:35" ht="18.75" customHeight="1" thickBot="1">
      <c r="A105" s="3627"/>
      <c r="B105" s="2494" t="s">
        <v>2287</v>
      </c>
      <c r="C105" s="738" t="e">
        <f ca="1">I118</f>
        <v>#N/A</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16" t="str">
        <f>IF(项目基本情况!E8="已注销","——","3.房地产抵押价值")</f>
        <v>3.房地产抵押价值</v>
      </c>
      <c r="F107" s="3592"/>
      <c r="G107" s="2491" t="s">
        <v>2285</v>
      </c>
      <c r="H107" s="1035" t="e">
        <f ca="1">IF(E107="——","——",H101-H103)</f>
        <v>#N/A</v>
      </c>
      <c r="I107" s="138"/>
    </row>
    <row r="108" spans="1:35" ht="18.75" customHeight="1">
      <c r="A108" s="138"/>
      <c r="B108" s="138"/>
      <c r="C108" s="138"/>
      <c r="D108" s="138"/>
      <c r="E108" s="3616"/>
      <c r="F108" s="3592"/>
      <c r="G108" s="2491" t="s">
        <v>2287</v>
      </c>
      <c r="H108" s="371" t="e">
        <f ca="1">ROUND(H107*10000/'数据-汇总表'!E3,0)</f>
        <v>#N/A</v>
      </c>
      <c r="I108" s="138"/>
    </row>
    <row r="109" spans="1:35" ht="18.75" customHeight="1">
      <c r="A109" s="138"/>
      <c r="B109" s="138"/>
      <c r="C109" s="138"/>
      <c r="D109" s="138"/>
      <c r="E109" s="3616" t="str">
        <f>IF(项目基本情况!E8="已注销及未注销","4.抵押担保权已注销时的房地产抵押价值",IF(项目基本情况!E8="已注销","3.抵押担保权已注销时的房地产抵押价值","——"))</f>
        <v>——</v>
      </c>
      <c r="F109" s="3592"/>
      <c r="G109" s="2491" t="s">
        <v>2285</v>
      </c>
      <c r="H109" s="348" t="str">
        <f>IF(E109="——","——",H101-H105-H106)</f>
        <v>——</v>
      </c>
      <c r="I109" s="138"/>
    </row>
    <row r="110" spans="1:35" ht="18.75" customHeight="1">
      <c r="A110" s="138"/>
      <c r="B110" s="138"/>
      <c r="C110" s="138"/>
      <c r="D110" s="138"/>
      <c r="E110" s="3616"/>
      <c r="F110" s="3592"/>
      <c r="G110" s="2491" t="s">
        <v>2287</v>
      </c>
      <c r="H110" s="371" t="str">
        <f>IF(H109="——","——",ROUND(H109*10000/'数据-汇总表'!E3,0))</f>
        <v>——</v>
      </c>
      <c r="I110" s="138"/>
    </row>
    <row r="111" spans="1:35" ht="18.75" customHeight="1">
      <c r="A111" s="138"/>
      <c r="B111" s="138"/>
      <c r="C111" s="138"/>
      <c r="D111" s="138"/>
      <c r="E111" s="3617" t="str">
        <f>IF(项目基本情况!E9="抵押净值",IF(OR(项目基本情况!E8="已注销",项目基本情况!E8="房地产抵押价值"),"4.抵押净值","5.抵押净值"),"——")</f>
        <v>——</v>
      </c>
      <c r="F111" s="3618"/>
      <c r="G111" s="2491" t="s">
        <v>2285</v>
      </c>
      <c r="H111" s="1035" t="str">
        <f>IF(E111="——","——",N59)</f>
        <v>——</v>
      </c>
      <c r="I111" s="138"/>
    </row>
    <row r="112" spans="1:35" ht="18.75" customHeight="1" thickBot="1">
      <c r="A112" s="138"/>
      <c r="B112" s="138"/>
      <c r="C112" s="138"/>
      <c r="D112" s="138"/>
      <c r="E112" s="3619"/>
      <c r="F112" s="3620"/>
      <c r="G112" s="2496" t="s">
        <v>2287</v>
      </c>
      <c r="H112" s="785" t="str">
        <f>IF(E111="——","——",N61)</f>
        <v>——</v>
      </c>
      <c r="I112" s="138"/>
    </row>
    <row r="113" spans="1:11" ht="18.75" customHeight="1">
      <c r="A113" s="138"/>
      <c r="B113" s="138"/>
      <c r="C113" s="138"/>
      <c r="D113" s="138"/>
      <c r="E113" s="3628" t="s">
        <v>2293</v>
      </c>
      <c r="F113" s="3628"/>
      <c r="G113" s="3628"/>
      <c r="H113" s="3628"/>
      <c r="I113" s="138"/>
    </row>
    <row r="114" spans="1:11" ht="3.75" customHeight="1">
      <c r="A114" s="2389"/>
      <c r="B114" s="2389"/>
      <c r="C114" s="2389"/>
      <c r="D114" s="2389"/>
      <c r="E114" s="2467"/>
      <c r="F114" s="2467"/>
      <c r="G114" s="2467"/>
      <c r="H114" s="2467"/>
      <c r="I114" s="2389"/>
    </row>
    <row r="115" spans="1:11" ht="18.75" customHeight="1">
      <c r="A115" s="3638" t="s">
        <v>2295</v>
      </c>
      <c r="B115" s="3639"/>
      <c r="C115" s="3639"/>
      <c r="D115" s="3639"/>
      <c r="E115" s="3639"/>
      <c r="F115" s="3639"/>
      <c r="G115" s="3639"/>
      <c r="H115" s="3639"/>
      <c r="I115" s="3640"/>
    </row>
    <row r="116" spans="1:11" ht="27" customHeight="1">
      <c r="A116" s="3521" t="s">
        <v>2296</v>
      </c>
      <c r="B116" s="3522" t="s">
        <v>2297</v>
      </c>
      <c r="C116" s="3522" t="s">
        <v>2298</v>
      </c>
      <c r="D116" s="3524" t="s">
        <v>2299</v>
      </c>
      <c r="E116" s="3525"/>
      <c r="F116" s="3527" t="s">
        <v>2300</v>
      </c>
      <c r="G116" s="3527"/>
      <c r="H116" s="3521" t="s">
        <v>2301</v>
      </c>
      <c r="I116" s="3521"/>
    </row>
    <row r="117" spans="1:11" ht="18.75" customHeight="1">
      <c r="A117" s="3521"/>
      <c r="B117" s="3523"/>
      <c r="C117" s="3523"/>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0</v>
      </c>
      <c r="C118" s="3009">
        <f>M19</f>
        <v>0</v>
      </c>
      <c r="D118" s="3009" t="e">
        <f ca="1">ROUND(IF(D32="总价",C34,E118*B118/10000),0)</f>
        <v>#N/A</v>
      </c>
      <c r="E118" s="3009" t="e">
        <f ca="1">ROUND(IF(C33="自定义",IF(D32="楼面单价",C34,D118*10000/B118),I118-G118),0)</f>
        <v>#N/A</v>
      </c>
      <c r="F118" s="3009" t="e">
        <f ca="1">ROUND(IF(D32="总价",C35,G118*B118/10000),0)</f>
        <v>#N/A</v>
      </c>
      <c r="G118" s="3009" t="e">
        <f ca="1">ROUND(IF(D32="楼面单价",C35,F118*10000/B118),0)</f>
        <v>#N/A</v>
      </c>
      <c r="H118" s="3009" t="e">
        <f ca="1">ROUND(IF(D32="总价",C32,I118*B118/10000),0)</f>
        <v>#N/A</v>
      </c>
      <c r="I118" s="3009" t="e">
        <f ca="1">ROUND(IF(D32="楼面单价",C32,H118*10000/B118),0)</f>
        <v>#N/A</v>
      </c>
    </row>
    <row r="119" spans="1:11" ht="18.75" customHeight="1">
      <c r="A119" s="3521" t="s">
        <v>2305</v>
      </c>
      <c r="B119" s="3521"/>
      <c r="C119" s="3521"/>
      <c r="D119" s="3516" t="e">
        <f ca="1">NUMBERSTRING(INT(D118*10000),2)&amp;"元整"</f>
        <v>#N/A</v>
      </c>
      <c r="E119" s="3517"/>
      <c r="F119" s="3516" t="e">
        <f ca="1">NUMBERSTRING(INT(F118*10000),2)&amp;"元整"</f>
        <v>#N/A</v>
      </c>
      <c r="G119" s="3517"/>
      <c r="H119" s="3516" t="e">
        <f ca="1">NUMBERSTRING(INT(H118*10000),2)&amp;"元整"</f>
        <v>#N/A</v>
      </c>
      <c r="I119" s="3517"/>
    </row>
    <row r="120" spans="1:11" ht="18.75" customHeight="1">
      <c r="A120" s="3598" t="str">
        <f>IF(项目基本情况!B9="房地产市场价值","",MID(E103,3,LEN(E103)-2))</f>
        <v>估价师知悉的法定优先受偿款</v>
      </c>
      <c r="B120" s="3599"/>
      <c r="C120" s="3600"/>
      <c r="D120" s="3598">
        <f>H103</f>
        <v>0</v>
      </c>
      <c r="E120" s="3599"/>
      <c r="F120" s="3599"/>
      <c r="G120" s="3599"/>
      <c r="H120" s="3599"/>
      <c r="I120" s="3600"/>
      <c r="K120" s="2394" t="str">
        <f>IF(D120=0,"故，本次评估不存在"&amp;A120,"故，本次评估"&amp;A120&amp;"为人民币"&amp;D120&amp;"万元整。")</f>
        <v>故，本次评估不存在估价师知悉的法定优先受偿款</v>
      </c>
    </row>
    <row r="121" spans="1:11" ht="18.75" customHeight="1">
      <c r="A121" s="3518" t="s">
        <v>2305</v>
      </c>
      <c r="B121" s="3637"/>
      <c r="C121" s="3519"/>
      <c r="D121" s="3516" t="str">
        <f>IF(D120=0,"零元整",NUMBERSTRING(INT(D120*10000),2)&amp;"元整")</f>
        <v>零元整</v>
      </c>
      <c r="E121" s="3601"/>
      <c r="F121" s="3601"/>
      <c r="G121" s="3601"/>
      <c r="H121" s="3601"/>
      <c r="I121" s="3517"/>
    </row>
    <row r="122" spans="1:11" ht="18.75" customHeight="1">
      <c r="A122" s="3603" t="str">
        <f>IF(项目基本情况!B9="房地产市场价值","",MID(E107,3,LEN(E107)-2))</f>
        <v>房地产抵押价值</v>
      </c>
      <c r="B122" s="3603"/>
      <c r="C122" s="3603"/>
      <c r="D122" s="3598" t="e">
        <f ca="1">H107</f>
        <v>#N/A</v>
      </c>
      <c r="E122" s="3599"/>
      <c r="F122" s="3599"/>
      <c r="G122" s="3599"/>
      <c r="H122" s="3599"/>
      <c r="I122" s="3600"/>
    </row>
    <row r="123" spans="1:11" ht="18.75" customHeight="1">
      <c r="A123" s="3521" t="s">
        <v>2305</v>
      </c>
      <c r="B123" s="3521"/>
      <c r="C123" s="3521"/>
      <c r="D123" s="3516" t="e">
        <f ca="1">NUMBERSTRING(INT(D122*10000),2)&amp;"元整"</f>
        <v>#N/A</v>
      </c>
      <c r="E123" s="3601"/>
      <c r="F123" s="3601"/>
      <c r="G123" s="3601"/>
      <c r="H123" s="3601"/>
      <c r="I123" s="3517"/>
    </row>
    <row r="124" spans="1:11" ht="18.75" customHeight="1">
      <c r="A124" s="3603" t="str">
        <f>IF(项目基本情况!B9="房地产市场价值","",MID(E109,3,LEN(E109)-2))</f>
        <v/>
      </c>
      <c r="B124" s="3603"/>
      <c r="C124" s="3603"/>
      <c r="D124" s="3598" t="str">
        <f>H109</f>
        <v>——</v>
      </c>
      <c r="E124" s="3599"/>
      <c r="F124" s="3599"/>
      <c r="G124" s="3599"/>
      <c r="H124" s="3599"/>
      <c r="I124" s="3600"/>
    </row>
    <row r="125" spans="1:11" ht="18.75" customHeight="1">
      <c r="A125" s="3521" t="s">
        <v>2305</v>
      </c>
      <c r="B125" s="3521"/>
      <c r="C125" s="3521"/>
      <c r="D125" s="3516" t="e">
        <f>NUMBERSTRING(INT(D124*10000),2)&amp;"元整"</f>
        <v>#VALUE!</v>
      </c>
      <c r="E125" s="3601"/>
      <c r="F125" s="3601"/>
      <c r="G125" s="3601"/>
      <c r="H125" s="3601"/>
      <c r="I125" s="3517"/>
    </row>
    <row r="126" spans="1:11" ht="18.75" customHeight="1">
      <c r="A126" s="3603" t="str">
        <f>IF(项目基本情况!B9="房地产市场价值","",MID(E111,3,LEN(E111)-2))</f>
        <v/>
      </c>
      <c r="B126" s="3603"/>
      <c r="C126" s="3603"/>
      <c r="D126" s="3598" t="str">
        <f>H111</f>
        <v>——</v>
      </c>
      <c r="E126" s="3599"/>
      <c r="F126" s="3599"/>
      <c r="G126" s="3599"/>
      <c r="H126" s="3599"/>
      <c r="I126" s="3600"/>
    </row>
    <row r="127" spans="1:11" ht="18.75" customHeight="1">
      <c r="A127" s="3521" t="s">
        <v>2305</v>
      </c>
      <c r="B127" s="3521"/>
      <c r="C127" s="3521"/>
      <c r="D127" s="3516" t="e">
        <f>NUMBERSTRING(INT(D126*10000),2)&amp;"元整"</f>
        <v>#VALUE!</v>
      </c>
      <c r="E127" s="3601"/>
      <c r="F127" s="3601"/>
      <c r="G127" s="3601"/>
      <c r="H127" s="3601"/>
      <c r="I127" s="3517"/>
    </row>
    <row r="128" spans="1:11" ht="21.75" customHeight="1">
      <c r="A128" s="3602" t="s">
        <v>2306</v>
      </c>
      <c r="B128" s="3602"/>
      <c r="C128" s="3602"/>
      <c r="D128" s="3602"/>
      <c r="E128" s="3602"/>
      <c r="F128" s="3602"/>
      <c r="G128" s="3602"/>
      <c r="H128" s="3602"/>
      <c r="I128" s="360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xr:uid="{00000000-0002-0000-2B00-000000000000}">
      <formula1>估价方法</formula1>
    </dataValidation>
    <dataValidation type="list" allowBlank="1" showInputMessage="1" showErrorMessage="1" sqref="H55:H56" xr:uid="{00000000-0002-0000-2B00-000001000000}">
      <formula1>"个人住宅,正常"</formula1>
    </dataValidation>
    <dataValidation type="list" allowBlank="1" showInputMessage="1" showErrorMessage="1" sqref="H48" xr:uid="{00000000-0002-0000-2B00-000002000000}">
      <formula1>"情况1,情况2,情况3,情况4"</formula1>
    </dataValidation>
    <dataValidation type="list" allowBlank="1" showInputMessage="1" showErrorMessage="1" sqref="H58" xr:uid="{00000000-0002-0000-2B00-000003000000}">
      <formula1>"转让取得,自行开发建设"</formula1>
    </dataValidation>
    <dataValidation type="list" allowBlank="1" showInputMessage="1" showErrorMessage="1" sqref="D32" xr:uid="{00000000-0002-0000-2B00-000004000000}">
      <formula1>"总价,楼面单价"</formula1>
    </dataValidation>
    <dataValidation type="list" allowBlank="1" showInputMessage="1" showErrorMessage="1" sqref="F45" xr:uid="{00000000-0002-0000-2B00-000005000000}">
      <formula1>"100%,80%,60%,64%"</formula1>
    </dataValidation>
    <dataValidation type="list" allowBlank="1" showInputMessage="1" showErrorMessage="1" sqref="C33" xr:uid="{00000000-0002-0000-2B00-000006000000}">
      <formula1>"成本比率,收益比率,自定义"</formula1>
    </dataValidation>
    <dataValidation type="list" allowBlank="1" showInputMessage="1" showErrorMessage="1" sqref="H91" xr:uid="{00000000-0002-0000-2B00-000007000000}">
      <formula1>"企业提供（在右侧录入）,——"</formula1>
    </dataValidation>
    <dataValidation type="list" allowBlank="1" showInputMessage="1" showErrorMessage="1" sqref="H88" xr:uid="{00000000-0002-0000-2B00-000008000000}">
      <formula1>"仅含出让金,出让金+开发费"</formula1>
    </dataValidation>
    <dataValidation type="list" allowBlank="1" showInputMessage="1" showErrorMessage="1" sqref="F75" xr:uid="{00000000-0002-0000-2B00-000009000000}">
      <formula1>"买卖合同,购房发票"</formula1>
    </dataValidation>
    <dataValidation type="list" allowBlank="1" showInputMessage="1" showErrorMessage="1" sqref="D36" xr:uid="{00000000-0002-0000-2B00-00000A000000}">
      <formula1>"同一抵押权人同一抵押物续贷,注销后放款,正常操作"</formula1>
    </dataValidation>
    <dataValidation type="list" allowBlank="1" showInputMessage="1" showErrorMessage="1" sqref="B116:B117" xr:uid="{00000000-0002-0000-2B00-00000B000000}">
      <formula1>"建筑面积,规划建筑面积,（规划）建筑面积"</formula1>
    </dataValidation>
    <dataValidation type="list" allowBlank="1" showInputMessage="1" showErrorMessage="1" sqref="C116:C117" xr:uid="{00000000-0002-0000-2B00-00000C000000}">
      <formula1>"土地面积,分摊土地面积,（分摊）土地面积"</formula1>
    </dataValidation>
    <dataValidation type="list" allowBlank="1" showInputMessage="1" showErrorMessage="1" sqref="D116:E116" xr:uid="{00000000-0002-0000-2B00-00000D000000}">
      <formula1>"出让国有建设用地使用权价值,划拨国有建设用地使用权价值"</formula1>
    </dataValidation>
    <dataValidation type="list" allowBlank="1" showInputMessage="1" showErrorMessage="1" sqref="F116:G116" xr:uid="{00000000-0002-0000-2B00-00000E000000}">
      <formula1>"建筑物价值,在建建筑物价值,建筑物/在建建筑物价值"</formula1>
    </dataValidation>
    <dataValidation type="list" allowBlank="1" showInputMessage="1" showErrorMessage="1" sqref="C129" xr:uid="{00000000-0002-0000-2B00-00000F000000}">
      <formula1>"无,有"</formula1>
    </dataValidation>
    <dataValidation type="list" allowBlank="1" showInputMessage="1" showErrorMessage="1" sqref="H59" xr:uid="{00000000-0002-0000-2B00-000010000000}">
      <formula1>"非个人房产,个人住宅,个人非住宅"</formula1>
    </dataValidation>
    <dataValidation type="list" showInputMessage="1" showErrorMessage="1" sqref="G1" xr:uid="{00000000-0002-0000-2B00-000011000000}">
      <formula1>"现房,在建,土地,-"</formula1>
    </dataValidation>
    <dataValidation type="list" allowBlank="1" showInputMessage="1" showErrorMessage="1" sqref="I1" xr:uid="{00000000-0002-0000-2B00-000012000000}">
      <formula1>"项目局部,项目全部,——"</formula1>
    </dataValidation>
    <dataValidation type="list" allowBlank="1" showInputMessage="1" showErrorMessage="1" sqref="C1" xr:uid="{00000000-0002-0000-2B00-000013000000}">
      <formula1>项目类型</formula1>
    </dataValidation>
    <dataValidation type="list" allowBlank="1" showInputMessage="1" showErrorMessage="1" sqref="G77" xr:uid="{00000000-0002-0000-2B00-000014000000}">
      <formula1>"个人住宅,2016年5月1日前购买,2016年5月1日后购买"</formula1>
    </dataValidation>
    <dataValidation type="list" allowBlank="1" showInputMessage="1" showErrorMessage="1" sqref="E103" xr:uid="{00000000-0002-0000-2B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0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2695</v>
      </c>
      <c r="B1" s="1599" t="s">
        <v>3419</v>
      </c>
      <c r="C1" s="1600" t="s">
        <v>2518</v>
      </c>
      <c r="D1" s="1601" t="s">
        <v>48</v>
      </c>
      <c r="E1" s="1602"/>
      <c r="F1" s="2557"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9" t="s">
        <v>70</v>
      </c>
      <c r="D2" s="1107" t="e">
        <f ca="1">SUMIF(INDIRECT("'"&amp;F2&amp;"'"&amp;"!A:A"),"承租人权益价值",INDIRECT("'"&amp;F2&amp;"'"&amp;"!c:c"))</f>
        <v>#REF!</v>
      </c>
      <c r="E2" s="2560" t="s">
        <v>2316</v>
      </c>
      <c r="F2" s="2561" t="s">
        <v>3652</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9994</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4.4">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7" t="s">
        <v>2636</v>
      </c>
      <c r="AC4" s="3716" t="s">
        <v>2637</v>
      </c>
    </row>
    <row r="5" spans="1:29">
      <c r="A5" s="403"/>
      <c r="B5" s="404"/>
      <c r="C5" s="3795" t="s">
        <v>3655</v>
      </c>
      <c r="D5" s="3792"/>
      <c r="E5" s="3794" t="s">
        <v>3654</v>
      </c>
      <c r="F5" s="3790"/>
      <c r="G5" s="3795" t="s">
        <v>3657</v>
      </c>
      <c r="H5" s="3792"/>
      <c r="I5" s="3795" t="s">
        <v>3658</v>
      </c>
      <c r="J5" s="3792"/>
      <c r="K5" s="609"/>
      <c r="L5" s="1113"/>
      <c r="M5" s="1114"/>
      <c r="N5" s="1114"/>
      <c r="O5" s="1114"/>
      <c r="P5" s="3741"/>
      <c r="Q5" s="3742"/>
      <c r="R5" s="3724"/>
      <c r="S5" s="3725"/>
      <c r="T5" s="3724"/>
      <c r="U5" s="3725"/>
      <c r="V5" s="3719"/>
      <c r="W5" s="3719"/>
      <c r="X5" s="1793"/>
      <c r="Y5" s="3724"/>
      <c r="Z5" s="3725"/>
      <c r="AA5" s="3717"/>
      <c r="AB5" s="3717"/>
      <c r="AC5" s="3717"/>
    </row>
    <row r="6" spans="1:29" ht="15" thickBot="1">
      <c r="A6" s="405"/>
      <c r="B6" s="406"/>
      <c r="C6" s="3730" t="s">
        <v>2534</v>
      </c>
      <c r="D6" s="3731"/>
      <c r="E6" s="3732" t="s">
        <v>2534</v>
      </c>
      <c r="F6" s="3733"/>
      <c r="G6" s="3730" t="s">
        <v>2534</v>
      </c>
      <c r="H6" s="3731"/>
      <c r="I6" s="3730" t="s">
        <v>2534</v>
      </c>
      <c r="J6" s="3731"/>
      <c r="K6" s="609" t="s">
        <v>2535</v>
      </c>
      <c r="L6" s="1113"/>
      <c r="M6" s="1114"/>
      <c r="N6" s="1114"/>
      <c r="O6" s="1114"/>
      <c r="P6" s="3743"/>
      <c r="Q6" s="3744"/>
      <c r="R6" s="3724"/>
      <c r="S6" s="3725"/>
      <c r="T6" s="3745"/>
      <c r="U6" s="3746"/>
      <c r="V6" s="3719"/>
      <c r="W6" s="3719"/>
      <c r="X6" s="1793"/>
      <c r="Y6" s="3745"/>
      <c r="Z6" s="3746"/>
      <c r="AA6" s="3718"/>
      <c r="AB6" s="3718"/>
      <c r="AC6" s="3718"/>
    </row>
    <row r="7" spans="1:29" s="117" customFormat="1" ht="15" thickBot="1">
      <c r="A7" s="407" t="s">
        <v>2536</v>
      </c>
      <c r="B7" s="408"/>
      <c r="C7" s="409">
        <f>'数据-取费表'!B2</f>
        <v>43836</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720" t="s">
        <v>2537</v>
      </c>
      <c r="Q7" s="3747"/>
      <c r="R7" s="766" t="s">
        <v>17</v>
      </c>
      <c r="S7" s="767">
        <f t="shared" ref="S7:S14" si="0">F7</f>
        <v>99.8</v>
      </c>
      <c r="T7" s="766" t="s">
        <v>17</v>
      </c>
      <c r="U7" s="767">
        <f t="shared" ref="U7:U14" si="1">H7</f>
        <v>99.6</v>
      </c>
      <c r="V7" s="766" t="s">
        <v>17</v>
      </c>
      <c r="W7" s="767">
        <f t="shared" ref="W7:W14" si="2">J7</f>
        <v>99.8</v>
      </c>
      <c r="X7" s="768"/>
      <c r="Y7" s="3720" t="s">
        <v>2537</v>
      </c>
      <c r="Z7" s="3721"/>
      <c r="AA7" s="769">
        <f>D7/F7</f>
        <v>1.0020040080160322</v>
      </c>
      <c r="AB7" s="769">
        <f>D7/H7</f>
        <v>1.0040160642570282</v>
      </c>
      <c r="AC7" s="769">
        <f>D7/J7</f>
        <v>1.0020040080160322</v>
      </c>
    </row>
    <row r="8" spans="1:29" s="117" customFormat="1" ht="1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720" t="s">
        <v>2540</v>
      </c>
      <c r="Q8" s="3721"/>
      <c r="R8" s="766" t="s">
        <v>17</v>
      </c>
      <c r="S8" s="767">
        <f t="shared" si="0"/>
        <v>100</v>
      </c>
      <c r="T8" s="766" t="s">
        <v>17</v>
      </c>
      <c r="U8" s="767">
        <f t="shared" si="1"/>
        <v>100</v>
      </c>
      <c r="V8" s="766" t="s">
        <v>17</v>
      </c>
      <c r="W8" s="767">
        <f t="shared" si="2"/>
        <v>100</v>
      </c>
      <c r="X8" s="768"/>
      <c r="Y8" s="3720" t="s">
        <v>2540</v>
      </c>
      <c r="Z8" s="3721"/>
      <c r="AA8" s="769">
        <f t="shared" ref="AA8:AA36" si="3">D8/F8</f>
        <v>1</v>
      </c>
      <c r="AB8" s="769">
        <f t="shared" ref="AB8:AB36" si="4">D8/H8</f>
        <v>1</v>
      </c>
      <c r="AC8" s="769">
        <f t="shared" ref="AC8:AC36" si="5">D8/J8</f>
        <v>1</v>
      </c>
    </row>
    <row r="9" spans="1:29" s="117" customFormat="1" ht="14.4">
      <c r="A9" s="68" t="s">
        <v>2541</v>
      </c>
      <c r="B9" s="639" t="s">
        <v>2542</v>
      </c>
      <c r="C9" s="2965" t="s">
        <v>3656</v>
      </c>
      <c r="D9" s="135">
        <v>100</v>
      </c>
      <c r="E9" s="418" t="s">
        <v>3419</v>
      </c>
      <c r="F9" s="135">
        <f>SUMIF(53:53,E9,54:54)-SUMIF(53:53,C9,54:54)+100</f>
        <v>100</v>
      </c>
      <c r="G9" s="418" t="s">
        <v>3419</v>
      </c>
      <c r="H9" s="135">
        <f>SUMIF(53:53,G9,54:54)-SUMIF(53:53,C9,54:54)+100</f>
        <v>100</v>
      </c>
      <c r="I9" s="418" t="s">
        <v>3419</v>
      </c>
      <c r="J9" s="135">
        <f>SUMIF(53:53,I9,54:54)-SUMIF(53:53,C9,54:54)+100</f>
        <v>100</v>
      </c>
      <c r="K9" s="610"/>
      <c r="L9" s="1115"/>
      <c r="M9" s="1116"/>
      <c r="N9" s="1116"/>
      <c r="O9" s="1116"/>
      <c r="P9" s="3757" t="s">
        <v>2543</v>
      </c>
      <c r="Q9" s="1775" t="str">
        <f t="shared" ref="Q9:Q14" si="6">B9</f>
        <v>用途</v>
      </c>
      <c r="R9" s="766" t="s">
        <v>17</v>
      </c>
      <c r="S9" s="767">
        <f t="shared" si="0"/>
        <v>100</v>
      </c>
      <c r="T9" s="766" t="s">
        <v>17</v>
      </c>
      <c r="U9" s="767">
        <f t="shared" si="1"/>
        <v>100</v>
      </c>
      <c r="V9" s="766" t="s">
        <v>17</v>
      </c>
      <c r="W9" s="767">
        <f t="shared" si="2"/>
        <v>100</v>
      </c>
      <c r="X9" s="768"/>
      <c r="Y9" s="3521" t="s">
        <v>2544</v>
      </c>
      <c r="Z9" s="55" t="str">
        <f t="shared" ref="Z9:Z14" si="7">Q9</f>
        <v>用途</v>
      </c>
      <c r="AA9" s="769">
        <f t="shared" si="3"/>
        <v>1</v>
      </c>
      <c r="AB9" s="769">
        <f t="shared" si="4"/>
        <v>1</v>
      </c>
      <c r="AC9" s="769">
        <f t="shared" si="5"/>
        <v>1</v>
      </c>
    </row>
    <row r="10" spans="1:29" s="426" customFormat="1" ht="28.8">
      <c r="A10" s="640"/>
      <c r="B10" s="641" t="s">
        <v>2545</v>
      </c>
      <c r="C10" s="422" t="s">
        <v>3659</v>
      </c>
      <c r="D10" s="136">
        <v>100</v>
      </c>
      <c r="E10" s="422" t="s">
        <v>3660</v>
      </c>
      <c r="F10" s="136">
        <f>SUMIF(55:55,E10,56:56)-SUMIF(55:55,C10,56:56)+100</f>
        <v>101</v>
      </c>
      <c r="G10" s="422" t="s">
        <v>3660</v>
      </c>
      <c r="H10" s="136">
        <f>SUMIF(55:55,G10,56:56)-SUMIF(55:55,C10,56:56)+100</f>
        <v>101</v>
      </c>
      <c r="I10" s="422" t="s">
        <v>3660</v>
      </c>
      <c r="J10" s="136">
        <f>SUMIF(55:55,I10,56:56)-SUMIF(55:55,C10,56:56)+100</f>
        <v>101</v>
      </c>
      <c r="K10" s="611">
        <v>1</v>
      </c>
      <c r="L10" s="1118"/>
      <c r="M10" s="1119"/>
      <c r="N10" s="1119"/>
      <c r="O10" s="1119"/>
      <c r="P10" s="3757"/>
      <c r="Q10" s="1775" t="str">
        <f t="shared" si="6"/>
        <v>土地使用年限（年）</v>
      </c>
      <c r="R10" s="766" t="s">
        <v>17</v>
      </c>
      <c r="S10" s="767">
        <f t="shared" si="0"/>
        <v>101</v>
      </c>
      <c r="T10" s="766" t="s">
        <v>17</v>
      </c>
      <c r="U10" s="767">
        <f t="shared" si="1"/>
        <v>101</v>
      </c>
      <c r="V10" s="766" t="s">
        <v>17</v>
      </c>
      <c r="W10" s="767">
        <f t="shared" si="2"/>
        <v>101</v>
      </c>
      <c r="X10" s="768"/>
      <c r="Y10" s="3521"/>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757"/>
      <c r="Q11" s="1775">
        <f t="shared" si="6"/>
        <v>111</v>
      </c>
      <c r="R11" s="766" t="s">
        <v>17</v>
      </c>
      <c r="S11" s="767">
        <f t="shared" si="0"/>
        <v>100</v>
      </c>
      <c r="T11" s="766" t="s">
        <v>17</v>
      </c>
      <c r="U11" s="767">
        <f t="shared" si="1"/>
        <v>100</v>
      </c>
      <c r="V11" s="766" t="s">
        <v>17</v>
      </c>
      <c r="W11" s="767">
        <f t="shared" si="2"/>
        <v>100</v>
      </c>
      <c r="X11" s="768"/>
      <c r="Y11" s="3521"/>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757"/>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757"/>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38">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750" t="s">
        <v>2548</v>
      </c>
      <c r="Q14" s="1790" t="str">
        <f t="shared" si="6"/>
        <v>交通便捷度</v>
      </c>
      <c r="R14" s="770" t="s">
        <v>17</v>
      </c>
      <c r="S14" s="771">
        <f t="shared" si="0"/>
        <v>98</v>
      </c>
      <c r="T14" s="770" t="s">
        <v>17</v>
      </c>
      <c r="U14" s="771">
        <f t="shared" si="1"/>
        <v>100</v>
      </c>
      <c r="V14" s="770" t="s">
        <v>17</v>
      </c>
      <c r="W14" s="771">
        <f t="shared" si="2"/>
        <v>98</v>
      </c>
      <c r="X14" s="1793"/>
      <c r="Y14" s="3750"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751"/>
      <c r="Q15" s="1790"/>
      <c r="R15" s="770"/>
      <c r="S15" s="771"/>
      <c r="T15" s="770"/>
      <c r="U15" s="771"/>
      <c r="V15" s="770"/>
      <c r="W15" s="771"/>
      <c r="X15" s="1793"/>
      <c r="Y15" s="3751"/>
      <c r="Z15" s="1794"/>
      <c r="AA15" s="1791">
        <v>1</v>
      </c>
      <c r="AB15" s="1791">
        <v>1</v>
      </c>
      <c r="AC15" s="1791">
        <v>1</v>
      </c>
    </row>
    <row r="16" spans="1:29" ht="55.2">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751"/>
      <c r="Q16" s="1790" t="str">
        <f>B16</f>
        <v>公共配套设施</v>
      </c>
      <c r="R16" s="770" t="s">
        <v>17</v>
      </c>
      <c r="S16" s="771">
        <f>F16</f>
        <v>98</v>
      </c>
      <c r="T16" s="770" t="s">
        <v>17</v>
      </c>
      <c r="U16" s="771">
        <f>H16</f>
        <v>100</v>
      </c>
      <c r="V16" s="770" t="s">
        <v>17</v>
      </c>
      <c r="W16" s="771">
        <f>J16</f>
        <v>98</v>
      </c>
      <c r="X16" s="1793"/>
      <c r="Y16" s="3751"/>
      <c r="Z16" s="1794" t="str">
        <f>Q16</f>
        <v>公共配套设施</v>
      </c>
      <c r="AA16" s="1791">
        <f t="shared" si="3"/>
        <v>1.0204081632653061</v>
      </c>
      <c r="AB16" s="1791">
        <f t="shared" si="4"/>
        <v>1</v>
      </c>
      <c r="AC16" s="1791">
        <f t="shared" si="5"/>
        <v>1.0204081632653061</v>
      </c>
    </row>
    <row r="17" spans="1:29" ht="15">
      <c r="A17" s="403"/>
      <c r="B17" s="631"/>
      <c r="C17" s="2581" t="s">
        <v>3058</v>
      </c>
      <c r="D17" s="447"/>
      <c r="E17" s="446" t="s">
        <v>3059</v>
      </c>
      <c r="F17" s="448"/>
      <c r="G17" s="2581" t="s">
        <v>3058</v>
      </c>
      <c r="H17" s="447"/>
      <c r="I17" s="446" t="s">
        <v>3059</v>
      </c>
      <c r="J17" s="447"/>
      <c r="K17" s="614"/>
      <c r="L17" s="1123"/>
      <c r="M17" s="1114"/>
      <c r="N17" s="1114"/>
      <c r="O17" s="1114"/>
      <c r="P17" s="3751"/>
      <c r="Q17" s="1790"/>
      <c r="R17" s="770"/>
      <c r="S17" s="771"/>
      <c r="T17" s="770"/>
      <c r="U17" s="771"/>
      <c r="V17" s="770"/>
      <c r="W17" s="771"/>
      <c r="X17" s="1793"/>
      <c r="Y17" s="3751"/>
      <c r="Z17" s="1794"/>
      <c r="AA17" s="1791">
        <v>1</v>
      </c>
      <c r="AB17" s="1791">
        <v>1</v>
      </c>
      <c r="AC17" s="1791">
        <v>1</v>
      </c>
    </row>
    <row r="18" spans="1:29" ht="41.4">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751"/>
      <c r="Q18" s="1790" t="str">
        <f>B18</f>
        <v>基础设施水平</v>
      </c>
      <c r="R18" s="770" t="s">
        <v>17</v>
      </c>
      <c r="S18" s="771">
        <f>F18</f>
        <v>100</v>
      </c>
      <c r="T18" s="770" t="s">
        <v>17</v>
      </c>
      <c r="U18" s="771">
        <f>H18</f>
        <v>100</v>
      </c>
      <c r="V18" s="770" t="s">
        <v>17</v>
      </c>
      <c r="W18" s="771">
        <f>J18</f>
        <v>100</v>
      </c>
      <c r="X18" s="1793"/>
      <c r="Y18" s="3751"/>
      <c r="Z18" s="1794" t="str">
        <f>Q18</f>
        <v>基础设施水平</v>
      </c>
      <c r="AA18" s="1791">
        <f t="shared" ref="AA18" si="8">D18/F18</f>
        <v>1</v>
      </c>
      <c r="AB18" s="1791">
        <f t="shared" ref="AB18" si="9">D18/H18</f>
        <v>1</v>
      </c>
      <c r="AC18" s="1791">
        <f t="shared" ref="AC18" si="10">D18/J18</f>
        <v>1</v>
      </c>
    </row>
    <row r="19" spans="1:29" ht="15">
      <c r="A19" s="403"/>
      <c r="B19" s="632"/>
      <c r="C19" s="2581" t="s">
        <v>3097</v>
      </c>
      <c r="D19" s="449"/>
      <c r="E19" s="2581" t="s">
        <v>3097</v>
      </c>
      <c r="F19" s="452"/>
      <c r="G19" s="2581" t="s">
        <v>3097</v>
      </c>
      <c r="H19" s="447"/>
      <c r="I19" s="2581" t="s">
        <v>3097</v>
      </c>
      <c r="J19" s="447"/>
      <c r="K19" s="1365"/>
      <c r="L19" s="1123"/>
      <c r="M19" s="1114"/>
      <c r="N19" s="1114"/>
      <c r="O19" s="1114"/>
      <c r="P19" s="3751"/>
      <c r="Q19" s="1790"/>
      <c r="R19" s="770"/>
      <c r="S19" s="771"/>
      <c r="T19" s="770"/>
      <c r="U19" s="771"/>
      <c r="V19" s="770"/>
      <c r="W19" s="771"/>
      <c r="X19" s="1793"/>
      <c r="Y19" s="3751"/>
      <c r="Z19" s="1794"/>
      <c r="AA19" s="1791">
        <v>1</v>
      </c>
      <c r="AB19" s="1791">
        <v>1</v>
      </c>
      <c r="AC19" s="1791">
        <v>1</v>
      </c>
    </row>
    <row r="20" spans="1:29" ht="110.4">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751"/>
      <c r="Q20" s="1790" t="str">
        <f>B20</f>
        <v>自然及人文环境</v>
      </c>
      <c r="R20" s="770" t="s">
        <v>17</v>
      </c>
      <c r="S20" s="771">
        <f>F20</f>
        <v>98</v>
      </c>
      <c r="T20" s="770" t="s">
        <v>17</v>
      </c>
      <c r="U20" s="771">
        <f>H20</f>
        <v>100</v>
      </c>
      <c r="V20" s="770" t="s">
        <v>17</v>
      </c>
      <c r="W20" s="771">
        <f>J20</f>
        <v>98</v>
      </c>
      <c r="X20" s="1793"/>
      <c r="Y20" s="3751"/>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751"/>
      <c r="Q21" s="1790"/>
      <c r="R21" s="770"/>
      <c r="S21" s="771"/>
      <c r="T21" s="770"/>
      <c r="U21" s="771"/>
      <c r="V21" s="770"/>
      <c r="W21" s="771"/>
      <c r="X21" s="1793"/>
      <c r="Y21" s="3751"/>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751"/>
      <c r="Q22" s="1790" t="str">
        <f>B22</f>
        <v>楼层</v>
      </c>
      <c r="R22" s="770" t="s">
        <v>17</v>
      </c>
      <c r="S22" s="771">
        <f>F22</f>
        <v>100</v>
      </c>
      <c r="T22" s="770" t="s">
        <v>17</v>
      </c>
      <c r="U22" s="771">
        <f>H22</f>
        <v>100</v>
      </c>
      <c r="V22" s="770" t="s">
        <v>17</v>
      </c>
      <c r="W22" s="771">
        <f>J22</f>
        <v>100</v>
      </c>
      <c r="X22" s="1793"/>
      <c r="Y22" s="3751"/>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751"/>
      <c r="Q23" s="1790">
        <f>B23</f>
        <v>111</v>
      </c>
      <c r="R23" s="770" t="s">
        <v>17</v>
      </c>
      <c r="S23" s="771">
        <f>F23</f>
        <v>100</v>
      </c>
      <c r="T23" s="770" t="s">
        <v>17</v>
      </c>
      <c r="U23" s="771">
        <f>H23</f>
        <v>100</v>
      </c>
      <c r="V23" s="770" t="s">
        <v>17</v>
      </c>
      <c r="W23" s="771">
        <f>J23</f>
        <v>100</v>
      </c>
      <c r="X23" s="1793"/>
      <c r="Y23" s="3751"/>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751"/>
      <c r="Q24" s="1790">
        <f t="shared" ref="Q24:Q36" si="11">B24</f>
        <v>111</v>
      </c>
      <c r="R24" s="770" t="s">
        <v>17</v>
      </c>
      <c r="S24" s="771">
        <f>F24</f>
        <v>100</v>
      </c>
      <c r="T24" s="770" t="s">
        <v>17</v>
      </c>
      <c r="U24" s="771">
        <f>H24</f>
        <v>100</v>
      </c>
      <c r="V24" s="770" t="s">
        <v>17</v>
      </c>
      <c r="W24" s="771">
        <f>J24</f>
        <v>100</v>
      </c>
      <c r="X24" s="1793"/>
      <c r="Y24" s="3751"/>
      <c r="Z24" s="1794">
        <f>Q24</f>
        <v>111</v>
      </c>
      <c r="AA24" s="1791">
        <f t="shared" si="3"/>
        <v>1</v>
      </c>
      <c r="AB24" s="1791">
        <f t="shared" si="4"/>
        <v>1</v>
      </c>
      <c r="AC24" s="1791">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751"/>
      <c r="Q25" s="1775">
        <f t="shared" si="11"/>
        <v>111</v>
      </c>
      <c r="R25" s="766" t="s">
        <v>17</v>
      </c>
      <c r="S25" s="767">
        <f>F25</f>
        <v>100</v>
      </c>
      <c r="T25" s="766" t="s">
        <v>17</v>
      </c>
      <c r="U25" s="767">
        <f>H25</f>
        <v>100</v>
      </c>
      <c r="V25" s="766" t="s">
        <v>17</v>
      </c>
      <c r="W25" s="767">
        <f>J25</f>
        <v>100</v>
      </c>
      <c r="X25" s="768"/>
      <c r="Y25" s="3751"/>
      <c r="Z25" s="55">
        <f>Q25</f>
        <v>111</v>
      </c>
      <c r="AA25" s="1791">
        <f>D25/F25</f>
        <v>1</v>
      </c>
      <c r="AB25" s="1791">
        <f>D25/H25</f>
        <v>1</v>
      </c>
      <c r="AC25" s="1791">
        <f>D25/J25</f>
        <v>1</v>
      </c>
    </row>
    <row r="26" spans="1:29" ht="30">
      <c r="A26" s="651" t="s">
        <v>2551</v>
      </c>
      <c r="B26" s="70" t="s">
        <v>2700</v>
      </c>
      <c r="C26" s="2667" t="str">
        <f>B1</f>
        <v>车库</v>
      </c>
      <c r="D26" s="447">
        <v>100</v>
      </c>
      <c r="E26" s="446" t="s">
        <v>3419</v>
      </c>
      <c r="F26" s="448">
        <f>SUMIF(79:79,E26,80:80)-SUMIF(79:79,C26,80:80)+100</f>
        <v>100</v>
      </c>
      <c r="G26" s="446" t="s">
        <v>3419</v>
      </c>
      <c r="H26" s="447">
        <f>SUMIF(79:79,G26,80:80)-SUMIF(79:79,C26,80:80)+100</f>
        <v>100</v>
      </c>
      <c r="I26" s="446" t="s">
        <v>3419</v>
      </c>
      <c r="J26" s="447">
        <f>SUMIF(79:79,I26,80:80)-SUMIF(79:79,C26,80:80)+100</f>
        <v>100</v>
      </c>
      <c r="K26" s="611">
        <v>2</v>
      </c>
      <c r="L26" s="1123"/>
      <c r="M26" s="1114"/>
      <c r="N26" s="1114"/>
      <c r="O26" s="1114"/>
      <c r="P26" s="3793"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755"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755"/>
      <c r="Q27" s="772" t="str">
        <f t="shared" si="11"/>
        <v>项目停车位配比</v>
      </c>
      <c r="R27" s="773" t="s">
        <v>17</v>
      </c>
      <c r="S27" s="774">
        <f t="shared" si="12"/>
        <v>100</v>
      </c>
      <c r="T27" s="773" t="s">
        <v>17</v>
      </c>
      <c r="U27" s="774">
        <f t="shared" si="13"/>
        <v>100</v>
      </c>
      <c r="V27" s="773" t="s">
        <v>17</v>
      </c>
      <c r="W27" s="774">
        <f t="shared" si="14"/>
        <v>100</v>
      </c>
      <c r="X27" s="775"/>
      <c r="Y27" s="3755"/>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755"/>
      <c r="Q28" s="1790" t="str">
        <f t="shared" si="11"/>
        <v>公共部分装修</v>
      </c>
      <c r="R28" s="770" t="s">
        <v>17</v>
      </c>
      <c r="S28" s="771">
        <f t="shared" si="12"/>
        <v>100</v>
      </c>
      <c r="T28" s="770" t="s">
        <v>17</v>
      </c>
      <c r="U28" s="771">
        <f t="shared" si="13"/>
        <v>100</v>
      </c>
      <c r="V28" s="770" t="s">
        <v>17</v>
      </c>
      <c r="W28" s="771">
        <f t="shared" si="14"/>
        <v>100</v>
      </c>
      <c r="X28" s="1793"/>
      <c r="Y28" s="3755"/>
      <c r="Z28" s="1794" t="str">
        <f t="shared" si="15"/>
        <v>公共部分装修</v>
      </c>
      <c r="AA28" s="1791">
        <f t="shared" si="3"/>
        <v>1</v>
      </c>
      <c r="AB28" s="1791">
        <f t="shared" si="4"/>
        <v>1</v>
      </c>
      <c r="AC28" s="1791">
        <f t="shared" si="5"/>
        <v>1</v>
      </c>
    </row>
    <row r="29" spans="1:29" ht="15">
      <c r="A29" s="655"/>
      <c r="B29" s="653" t="s">
        <v>2703</v>
      </c>
      <c r="C29" s="468">
        <f>'数据-取费表'!Y6</f>
        <v>0.82</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755"/>
      <c r="Q29" s="1790" t="str">
        <f t="shared" si="11"/>
        <v>成新率</v>
      </c>
      <c r="R29" s="770" t="s">
        <v>17</v>
      </c>
      <c r="S29" s="771">
        <f t="shared" si="12"/>
        <v>101</v>
      </c>
      <c r="T29" s="770" t="s">
        <v>17</v>
      </c>
      <c r="U29" s="771">
        <f t="shared" si="13"/>
        <v>101</v>
      </c>
      <c r="V29" s="770" t="s">
        <v>17</v>
      </c>
      <c r="W29" s="771">
        <f t="shared" si="14"/>
        <v>101</v>
      </c>
      <c r="X29" s="1793"/>
      <c r="Y29" s="3755"/>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755"/>
      <c r="Q30" s="1790" t="str">
        <f t="shared" si="11"/>
        <v>物业等级</v>
      </c>
      <c r="R30" s="770" t="s">
        <v>17</v>
      </c>
      <c r="S30" s="771">
        <f t="shared" si="12"/>
        <v>100</v>
      </c>
      <c r="T30" s="770" t="s">
        <v>17</v>
      </c>
      <c r="U30" s="771">
        <f t="shared" si="13"/>
        <v>100</v>
      </c>
      <c r="V30" s="770" t="s">
        <v>17</v>
      </c>
      <c r="W30" s="771">
        <f t="shared" si="14"/>
        <v>100</v>
      </c>
      <c r="X30" s="1793"/>
      <c r="Y30" s="3755"/>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755"/>
      <c r="Q31" s="1775" t="str">
        <f t="shared" si="11"/>
        <v>停车位面积</v>
      </c>
      <c r="R31" s="766" t="s">
        <v>17</v>
      </c>
      <c r="S31" s="767">
        <f t="shared" si="12"/>
        <v>100</v>
      </c>
      <c r="T31" s="766" t="s">
        <v>17</v>
      </c>
      <c r="U31" s="767">
        <f t="shared" si="13"/>
        <v>100</v>
      </c>
      <c r="V31" s="766" t="s">
        <v>17</v>
      </c>
      <c r="W31" s="767">
        <f t="shared" si="14"/>
        <v>100</v>
      </c>
      <c r="X31" s="768"/>
      <c r="Y31" s="3755"/>
      <c r="Z31" s="55" t="str">
        <f t="shared" si="15"/>
        <v>停车位面积</v>
      </c>
      <c r="AA31" s="769">
        <f t="shared" si="3"/>
        <v>1</v>
      </c>
      <c r="AB31" s="769">
        <f t="shared" si="4"/>
        <v>1</v>
      </c>
      <c r="AC31" s="769">
        <f t="shared" si="5"/>
        <v>1</v>
      </c>
    </row>
    <row r="32" spans="1:29" ht="15">
      <c r="A32" s="655"/>
      <c r="B32" s="653" t="s">
        <v>2706</v>
      </c>
      <c r="C32" s="459" t="s">
        <v>3663</v>
      </c>
      <c r="D32" s="434">
        <v>100</v>
      </c>
      <c r="E32" s="459" t="s">
        <v>3663</v>
      </c>
      <c r="F32" s="460">
        <f>SUMIF(93:93,E32,94:94)-SUMIF(93:93,C32,94:94)+100</f>
        <v>100</v>
      </c>
      <c r="G32" s="459" t="s">
        <v>3663</v>
      </c>
      <c r="H32" s="434">
        <f>SUMIF(93:93,G32,94:94)-SUMIF(93:93,C32,94:94)+100</f>
        <v>100</v>
      </c>
      <c r="I32" s="459" t="s">
        <v>3663</v>
      </c>
      <c r="J32" s="434">
        <f>SUMIF(93:93,I32,94:94)-SUMIF(93:93,C32,94:94)+100</f>
        <v>100</v>
      </c>
      <c r="K32" s="611">
        <v>2</v>
      </c>
      <c r="L32" s="1123"/>
      <c r="M32" s="1114"/>
      <c r="N32" s="1114"/>
      <c r="O32" s="1114"/>
      <c r="P32" s="3755" t="s">
        <v>2553</v>
      </c>
      <c r="Q32" s="1790" t="str">
        <f t="shared" si="11"/>
        <v>车位类型</v>
      </c>
      <c r="R32" s="770" t="s">
        <v>17</v>
      </c>
      <c r="S32" s="771">
        <f t="shared" si="12"/>
        <v>100</v>
      </c>
      <c r="T32" s="770" t="s">
        <v>17</v>
      </c>
      <c r="U32" s="771">
        <f t="shared" si="13"/>
        <v>100</v>
      </c>
      <c r="V32" s="770" t="s">
        <v>17</v>
      </c>
      <c r="W32" s="771">
        <f t="shared" si="14"/>
        <v>100</v>
      </c>
      <c r="X32" s="1793"/>
      <c r="Y32" s="3755"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755"/>
      <c r="Q33" s="1790" t="str">
        <f t="shared" si="11"/>
        <v>是否直接入户</v>
      </c>
      <c r="R33" s="770" t="s">
        <v>17</v>
      </c>
      <c r="S33" s="771">
        <f t="shared" si="12"/>
        <v>100</v>
      </c>
      <c r="T33" s="770" t="s">
        <v>17</v>
      </c>
      <c r="U33" s="771">
        <f t="shared" si="13"/>
        <v>100</v>
      </c>
      <c r="V33" s="770" t="s">
        <v>17</v>
      </c>
      <c r="W33" s="771">
        <f t="shared" si="14"/>
        <v>100</v>
      </c>
      <c r="X33" s="1793"/>
      <c r="Y33" s="3755"/>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755"/>
      <c r="Q34" s="1790">
        <f t="shared" si="11"/>
        <v>111</v>
      </c>
      <c r="R34" s="770" t="s">
        <v>17</v>
      </c>
      <c r="S34" s="771">
        <f t="shared" si="12"/>
        <v>100</v>
      </c>
      <c r="T34" s="770" t="s">
        <v>17</v>
      </c>
      <c r="U34" s="771">
        <f t="shared" si="13"/>
        <v>100</v>
      </c>
      <c r="V34" s="770" t="s">
        <v>17</v>
      </c>
      <c r="W34" s="771">
        <f t="shared" si="14"/>
        <v>100</v>
      </c>
      <c r="X34" s="1793"/>
      <c r="Y34" s="3755"/>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755"/>
      <c r="Q35" s="772">
        <f t="shared" si="11"/>
        <v>111</v>
      </c>
      <c r="R35" s="773" t="s">
        <v>17</v>
      </c>
      <c r="S35" s="774">
        <f t="shared" si="12"/>
        <v>100</v>
      </c>
      <c r="T35" s="773" t="s">
        <v>17</v>
      </c>
      <c r="U35" s="774">
        <f t="shared" si="13"/>
        <v>100</v>
      </c>
      <c r="V35" s="773" t="s">
        <v>17</v>
      </c>
      <c r="W35" s="774">
        <f t="shared" si="14"/>
        <v>100</v>
      </c>
      <c r="X35" s="775"/>
      <c r="Y35" s="3755"/>
      <c r="Z35" s="776">
        <f t="shared" si="15"/>
        <v>111</v>
      </c>
      <c r="AA35" s="1791">
        <f t="shared" si="3"/>
        <v>1</v>
      </c>
      <c r="AB35" s="1791">
        <f t="shared" si="4"/>
        <v>1</v>
      </c>
      <c r="AC35" s="1791">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755"/>
      <c r="Q36" s="1790">
        <f t="shared" si="11"/>
        <v>111</v>
      </c>
      <c r="R36" s="770" t="s">
        <v>17</v>
      </c>
      <c r="S36" s="771">
        <f t="shared" si="12"/>
        <v>100</v>
      </c>
      <c r="T36" s="770" t="s">
        <v>17</v>
      </c>
      <c r="U36" s="771">
        <f t="shared" si="13"/>
        <v>100</v>
      </c>
      <c r="V36" s="770" t="s">
        <v>17</v>
      </c>
      <c r="W36" s="771">
        <f t="shared" si="14"/>
        <v>100</v>
      </c>
      <c r="X36" s="1793"/>
      <c r="Y36" s="3755"/>
      <c r="Z36" s="1794">
        <f t="shared" si="15"/>
        <v>111</v>
      </c>
      <c r="AA36" s="1791">
        <f t="shared" si="3"/>
        <v>1</v>
      </c>
      <c r="AB36" s="1791">
        <f t="shared" si="4"/>
        <v>1</v>
      </c>
      <c r="AC36" s="1791">
        <f t="shared" si="5"/>
        <v>1</v>
      </c>
    </row>
    <row r="37" spans="1:29" ht="14.4">
      <c r="A37" s="478" t="s">
        <v>2708</v>
      </c>
      <c r="B37" s="2668" t="s">
        <v>3653</v>
      </c>
      <c r="C37" s="1388" t="s">
        <v>1</v>
      </c>
      <c r="D37" s="1389"/>
      <c r="E37" s="1390">
        <v>9367</v>
      </c>
      <c r="F37" s="1391"/>
      <c r="G37" s="1392">
        <v>9384</v>
      </c>
      <c r="H37" s="1393"/>
      <c r="I37" s="1390">
        <v>10510</v>
      </c>
      <c r="J37" s="1393"/>
      <c r="K37" s="618"/>
      <c r="L37" s="1126"/>
      <c r="M37" s="1127"/>
      <c r="N37" s="1114"/>
      <c r="O37" s="1127"/>
      <c r="P37" s="3757" t="str">
        <f>A37</f>
        <v>成交单价</v>
      </c>
      <c r="Q37" s="3757"/>
      <c r="R37" s="3758">
        <f>E37</f>
        <v>9367</v>
      </c>
      <c r="S37" s="3758"/>
      <c r="T37" s="3758">
        <f>G37</f>
        <v>9384</v>
      </c>
      <c r="U37" s="3758"/>
      <c r="V37" s="3758">
        <f>I37</f>
        <v>10510</v>
      </c>
      <c r="W37" s="3758"/>
      <c r="X37" s="755"/>
      <c r="Y37" s="777"/>
      <c r="Z37" s="755"/>
      <c r="AA37" s="755"/>
      <c r="AB37" s="755"/>
      <c r="AC37" s="755"/>
    </row>
    <row r="38" spans="1:29" ht="15" thickBot="1">
      <c r="A38" s="485" t="s">
        <v>2709</v>
      </c>
      <c r="B38" s="486" t="str">
        <f>B37</f>
        <v>元/平方米</v>
      </c>
      <c r="C38" s="1394">
        <f>R39</f>
        <v>9994</v>
      </c>
      <c r="D38" s="1395"/>
      <c r="E38" s="1396">
        <f>R38</f>
        <v>9776</v>
      </c>
      <c r="F38" s="1396"/>
      <c r="G38" s="1394">
        <f>T38</f>
        <v>9236</v>
      </c>
      <c r="H38" s="1395"/>
      <c r="I38" s="1396">
        <f>V38</f>
        <v>10969</v>
      </c>
      <c r="J38" s="1395"/>
      <c r="K38" s="619"/>
      <c r="L38" s="1126"/>
      <c r="M38" s="1127"/>
      <c r="N38" s="1127"/>
      <c r="O38" s="1127"/>
      <c r="P38" s="3757" t="str">
        <f>A38</f>
        <v>比较价值（元/平方米）</v>
      </c>
      <c r="Q38" s="3757"/>
      <c r="R38" s="3758">
        <f>IF(F1="售价",ROUND(PRODUCT(R37,AA7:AA36),0),ROUND(PRODUCT(R37,AA7:AA36),1))</f>
        <v>9776</v>
      </c>
      <c r="S38" s="3758"/>
      <c r="T38" s="3758">
        <f>IF(F1="售价",ROUND(PRODUCT(T37,AB7:AB36),0),ROUND(PRODUCT(T37,AB7:AB36),1))</f>
        <v>9236</v>
      </c>
      <c r="U38" s="3758"/>
      <c r="V38" s="3758">
        <f>IF(F1="售价",ROUND(PRODUCT(V37,AC7:AC36),0),ROUND(PRODUCT(V37,AC7:AC36),1))</f>
        <v>10969</v>
      </c>
      <c r="W38" s="3758"/>
      <c r="X38" s="755"/>
      <c r="Y38" s="755"/>
      <c r="Z38" s="755"/>
      <c r="AA38" s="755"/>
      <c r="AB38" s="755"/>
      <c r="AC38" s="755"/>
    </row>
    <row r="39" spans="1:29" ht="15" thickBot="1">
      <c r="A39" s="491" t="s">
        <v>2710</v>
      </c>
      <c r="B39" s="492"/>
      <c r="C39" s="1398">
        <f>R39</f>
        <v>9994</v>
      </c>
      <c r="D39" s="1398"/>
      <c r="E39" s="1398"/>
      <c r="F39" s="1398"/>
      <c r="G39" s="1398"/>
      <c r="H39" s="1398"/>
      <c r="I39" s="1398"/>
      <c r="J39" s="1398"/>
      <c r="K39" s="620"/>
      <c r="L39" s="1126"/>
      <c r="M39" s="1127"/>
      <c r="N39" s="1127"/>
      <c r="O39" s="1127"/>
      <c r="P39" s="3759" t="str">
        <f>A39</f>
        <v>估价对象XX用房的比较价值（楼面单价，元/平方米）</v>
      </c>
      <c r="Q39" s="3760"/>
      <c r="R39" s="3761">
        <f>IF(F1="售价",ROUND(AVERAGE(R38:V38),0),ROUND(AVERAGE(R38:V38),1))</f>
        <v>9994</v>
      </c>
      <c r="S39" s="3761"/>
      <c r="T39" s="3761"/>
      <c r="U39" s="3761"/>
      <c r="V39" s="3761"/>
      <c r="W39" s="3761"/>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4.3663926550656651E-2</v>
      </c>
      <c r="F42" s="499" t="str">
        <f>IF(OR(E42&gt;=0.3,E42&lt;=-0.3),"超过30%","")</f>
        <v/>
      </c>
      <c r="G42" s="498">
        <f>IF(G37&lt;G38,G38/G37-1,G37/G38-1)</f>
        <v>1.6024252923343418E-2</v>
      </c>
      <c r="H42" s="499" t="str">
        <f>IF(OR(G42&gt;=0.3,G42&lt;=-0.3),"超过30%","")</f>
        <v/>
      </c>
      <c r="I42" s="498">
        <f>IF(I37&lt;I38,I38/I37-1,I37/I38-1)</f>
        <v>4.3672692673644153E-2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5.8466868774361247E-2</v>
      </c>
      <c r="F43" s="499" t="str">
        <f>IF(OR(E43&gt;=0.2,E43&lt;=-0.2),"超过20%","")</f>
        <v/>
      </c>
      <c r="G43" s="498">
        <f>IF(G38&lt;I38,I38/G38-1,G38/I38-1)</f>
        <v>0.18763533997401471</v>
      </c>
      <c r="H43" s="499" t="str">
        <f>IF(OR(G43&gt;=0.2,G43&lt;=-0.2),"超过20%","")</f>
        <v/>
      </c>
      <c r="I43" s="498">
        <f>IF(I38&lt;E38,E38/I38-1,I38/E38-1)</f>
        <v>0.12203355155482809</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2.2"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4.4">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4.4">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4.4"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ht="14.4">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4.4"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9.4"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4.4"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4.4"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4.4"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4.4"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4.4"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4.4"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4.4"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4.4"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4.4"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4.4"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4.4"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 thickTop="1">
      <c r="A71" s="533"/>
      <c r="B71" s="537" t="s">
        <v>2716</v>
      </c>
      <c r="C71" s="2976" t="s">
        <v>3661</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4.4"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4.4"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4.4"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4.4"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4.4"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4.4"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4.4"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9.4"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4.4"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4.4"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3124</v>
      </c>
      <c r="D83" s="2969" t="s">
        <v>3081</v>
      </c>
      <c r="E83" s="2969" t="s">
        <v>3082</v>
      </c>
      <c r="F83" s="2972"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4.4"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4.4"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3662</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4.4"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4.4"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3664</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4.4"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4.4"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4.4"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4.4"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4.4"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4.4"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4.4"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G17 C17 E17 I17" xr:uid="{00000000-0002-0000-2C00-000002000000}">
      <formula1>公共配套设施</formula1>
    </dataValidation>
    <dataValidation type="list" allowBlank="1" showInputMessage="1" showErrorMessage="1" sqref="G15 E15 C15 I15" xr:uid="{00000000-0002-0000-2C00-000003000000}">
      <formula1>交通便捷度</formula1>
    </dataValidation>
    <dataValidation type="list" allowBlank="1" showInputMessage="1" showErrorMessage="1" sqref="C8 E8 G8 I8" xr:uid="{00000000-0002-0000-2C00-000004000000}">
      <formula1>车位交易情况</formula1>
    </dataValidation>
    <dataValidation type="list" allowBlank="1" showInputMessage="1" showErrorMessage="1" sqref="E9 G9 I9" xr:uid="{00000000-0002-0000-2C00-000005000000}">
      <formula1>车位用途</formula1>
    </dataValidation>
    <dataValidation type="list" allowBlank="1" showInputMessage="1" showErrorMessage="1" sqref="C22 E22 G22 I22" xr:uid="{00000000-0002-0000-2C00-000006000000}">
      <formula1>车位楼层</formula1>
    </dataValidation>
    <dataValidation type="list" allowBlank="1" showInputMessage="1" showErrorMessage="1" sqref="C30 E30 G30 I30" xr:uid="{00000000-0002-0000-2C00-000007000000}">
      <formula1>车位物业等级</formula1>
    </dataValidation>
    <dataValidation type="list" allowBlank="1" showInputMessage="1" showErrorMessage="1" sqref="C32 E32 G32 I32" xr:uid="{00000000-0002-0000-2C00-000008000000}">
      <formula1>车位类型</formula1>
    </dataValidation>
    <dataValidation type="list" allowBlank="1" showInputMessage="1" showErrorMessage="1" sqref="C33 E33 G33 I33" xr:uid="{00000000-0002-0000-2C00-000009000000}">
      <formula1>是否直接入户</formula1>
    </dataValidation>
    <dataValidation type="list" allowBlank="1" showInputMessage="1" showErrorMessage="1" sqref="B1" xr:uid="{00000000-0002-0000-2C00-00000A000000}">
      <formula1>地类判定</formula1>
    </dataValidation>
    <dataValidation type="list" allowBlank="1" showInputMessage="1" showErrorMessage="1" sqref="I26 E26 G26" xr:uid="{00000000-0002-0000-2C00-00000B000000}">
      <formula1>车位配套类型</formula1>
    </dataValidation>
    <dataValidation type="list" allowBlank="1" showInputMessage="1" showErrorMessage="1" sqref="C28 E28 G28 I28" xr:uid="{00000000-0002-0000-2C00-00000C000000}">
      <formula1>车位公共部分装修</formula1>
    </dataValidation>
    <dataValidation type="list" allowBlank="1" showInputMessage="1" showErrorMessage="1" sqref="B37" xr:uid="{00000000-0002-0000-2C00-00000D000000}">
      <formula1>"元/平方米,元/车位"</formula1>
    </dataValidation>
    <dataValidation type="list" allowBlank="1" showInputMessage="1" showErrorMessage="1" sqref="C21 E21 G21 I21" xr:uid="{00000000-0002-0000-2C00-00000E000000}">
      <formula1>环境</formula1>
    </dataValidation>
    <dataValidation type="list" allowBlank="1" showInputMessage="1" showErrorMessage="1" sqref="C19 E19 G19 I19"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C2" xr:uid="{00000000-0002-0000-2C00-000011000000}">
      <formula1>"需扣减承租人权益,——"</formula1>
    </dataValidation>
    <dataValidation type="list" allowBlank="1" showInputMessage="1" showErrorMessage="1" sqref="F2" xr:uid="{00000000-0002-0000-2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41"/>
  <sheetViews>
    <sheetView zoomScale="89" zoomScaleNormal="89"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4.4">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7" t="s">
        <v>2636</v>
      </c>
      <c r="AC4" s="3716" t="s">
        <v>2637</v>
      </c>
    </row>
    <row r="5" spans="1:29">
      <c r="A5" s="403"/>
      <c r="B5" s="404"/>
      <c r="C5" s="3791" t="s">
        <v>2530</v>
      </c>
      <c r="D5" s="3792"/>
      <c r="E5" s="3789" t="s">
        <v>2531</v>
      </c>
      <c r="F5" s="3790"/>
      <c r="G5" s="3791" t="s">
        <v>2532</v>
      </c>
      <c r="H5" s="3792"/>
      <c r="I5" s="3791" t="s">
        <v>2533</v>
      </c>
      <c r="J5" s="3792"/>
      <c r="K5" s="609"/>
      <c r="L5" s="1113"/>
      <c r="M5" s="1114"/>
      <c r="N5" s="1114"/>
      <c r="O5" s="1114"/>
      <c r="P5" s="3741"/>
      <c r="Q5" s="3742"/>
      <c r="R5" s="3724"/>
      <c r="S5" s="3725"/>
      <c r="T5" s="3724"/>
      <c r="U5" s="3725"/>
      <c r="V5" s="3719"/>
      <c r="W5" s="3719"/>
      <c r="X5" s="1793"/>
      <c r="Y5" s="3724"/>
      <c r="Z5" s="3725"/>
      <c r="AA5" s="3717"/>
      <c r="AB5" s="3717"/>
      <c r="AC5" s="3717"/>
    </row>
    <row r="6" spans="1:29" ht="15" thickBot="1">
      <c r="A6" s="405"/>
      <c r="B6" s="406"/>
      <c r="C6" s="3730" t="s">
        <v>2534</v>
      </c>
      <c r="D6" s="3731"/>
      <c r="E6" s="3732" t="s">
        <v>2534</v>
      </c>
      <c r="F6" s="3733"/>
      <c r="G6" s="3730" t="s">
        <v>2534</v>
      </c>
      <c r="H6" s="3731"/>
      <c r="I6" s="3730" t="s">
        <v>2534</v>
      </c>
      <c r="J6" s="3731"/>
      <c r="K6" s="609" t="s">
        <v>2535</v>
      </c>
      <c r="L6" s="1113"/>
      <c r="M6" s="1114"/>
      <c r="N6" s="1114"/>
      <c r="O6" s="1114"/>
      <c r="P6" s="3743"/>
      <c r="Q6" s="3744"/>
      <c r="R6" s="3724"/>
      <c r="S6" s="3725"/>
      <c r="T6" s="3745"/>
      <c r="U6" s="3746"/>
      <c r="V6" s="3719"/>
      <c r="W6" s="3719"/>
      <c r="X6" s="1793"/>
      <c r="Y6" s="3745"/>
      <c r="Z6" s="3746"/>
      <c r="AA6" s="3718"/>
      <c r="AB6" s="3718"/>
      <c r="AC6" s="3718"/>
    </row>
    <row r="7" spans="1:29" s="117" customFormat="1" ht="15" thickBot="1">
      <c r="A7" s="407" t="s">
        <v>2536</v>
      </c>
      <c r="B7" s="408"/>
      <c r="C7" s="409">
        <f>'数据-取费表'!B2</f>
        <v>43836</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720" t="s">
        <v>2537</v>
      </c>
      <c r="Q7" s="3747"/>
      <c r="R7" s="766" t="s">
        <v>17</v>
      </c>
      <c r="S7" s="767">
        <f t="shared" ref="S7:S14" si="0">F7</f>
        <v>0</v>
      </c>
      <c r="T7" s="766" t="s">
        <v>17</v>
      </c>
      <c r="U7" s="767">
        <f t="shared" ref="U7:U14" si="1">H7</f>
        <v>0</v>
      </c>
      <c r="V7" s="766" t="s">
        <v>17</v>
      </c>
      <c r="W7" s="767">
        <f t="shared" ref="W7:W14" si="2">J7</f>
        <v>0</v>
      </c>
      <c r="X7" s="768"/>
      <c r="Y7" s="3720" t="s">
        <v>2537</v>
      </c>
      <c r="Z7" s="3721"/>
      <c r="AA7" s="769" t="e">
        <f>D7/F7</f>
        <v>#DIV/0!</v>
      </c>
      <c r="AB7" s="769" t="e">
        <f>D7/H7</f>
        <v>#DIV/0!</v>
      </c>
      <c r="AC7" s="769" t="e">
        <f>D7/J7</f>
        <v>#DIV/0!</v>
      </c>
    </row>
    <row r="8" spans="1:29" s="117" customFormat="1" ht="1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720" t="s">
        <v>2540</v>
      </c>
      <c r="Q8" s="3721"/>
      <c r="R8" s="766" t="s">
        <v>17</v>
      </c>
      <c r="S8" s="767">
        <f t="shared" si="0"/>
        <v>0</v>
      </c>
      <c r="T8" s="766" t="s">
        <v>17</v>
      </c>
      <c r="U8" s="767">
        <f t="shared" si="1"/>
        <v>0</v>
      </c>
      <c r="V8" s="766" t="s">
        <v>17</v>
      </c>
      <c r="W8" s="767">
        <f t="shared" si="2"/>
        <v>0</v>
      </c>
      <c r="X8" s="768"/>
      <c r="Y8" s="3720" t="s">
        <v>2540</v>
      </c>
      <c r="Z8" s="3721"/>
      <c r="AA8" s="769" t="e">
        <f t="shared" ref="AA8:AA34" si="3">D8/F8</f>
        <v>#DIV/0!</v>
      </c>
      <c r="AB8" s="769" t="e">
        <f t="shared" ref="AB8:AB34" si="4">D8/H8</f>
        <v>#DIV/0!</v>
      </c>
      <c r="AC8" s="769" t="e">
        <f t="shared" ref="AC8:AC34" si="5">D8/J8</f>
        <v>#DIV/0!</v>
      </c>
    </row>
    <row r="9" spans="1:29" s="117" customFormat="1" ht="14.4">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757" t="s">
        <v>2543</v>
      </c>
      <c r="Q9" s="1775" t="str">
        <f t="shared" ref="Q9:Q14" si="6">B9</f>
        <v>用途</v>
      </c>
      <c r="R9" s="766" t="s">
        <v>17</v>
      </c>
      <c r="S9" s="767">
        <f t="shared" si="0"/>
        <v>100</v>
      </c>
      <c r="T9" s="766" t="s">
        <v>17</v>
      </c>
      <c r="U9" s="767">
        <f t="shared" si="1"/>
        <v>100</v>
      </c>
      <c r="V9" s="766" t="s">
        <v>17</v>
      </c>
      <c r="W9" s="767">
        <f t="shared" si="2"/>
        <v>100</v>
      </c>
      <c r="X9" s="768"/>
      <c r="Y9" s="3521" t="s">
        <v>2544</v>
      </c>
      <c r="Z9" s="55" t="str">
        <f t="shared" ref="Z9:Z14" si="7">Q9</f>
        <v>用途</v>
      </c>
      <c r="AA9" s="769">
        <f t="shared" si="3"/>
        <v>1</v>
      </c>
      <c r="AB9" s="769">
        <f t="shared" si="4"/>
        <v>1</v>
      </c>
      <c r="AC9" s="769">
        <f t="shared" si="5"/>
        <v>1</v>
      </c>
    </row>
    <row r="10" spans="1:29" s="426" customFormat="1" ht="28.8">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757"/>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757"/>
      <c r="Q11" s="1775">
        <f t="shared" si="6"/>
        <v>111</v>
      </c>
      <c r="R11" s="766" t="s">
        <v>17</v>
      </c>
      <c r="S11" s="767">
        <f t="shared" si="0"/>
        <v>100</v>
      </c>
      <c r="T11" s="766" t="s">
        <v>17</v>
      </c>
      <c r="U11" s="767">
        <f t="shared" si="1"/>
        <v>100</v>
      </c>
      <c r="V11" s="766" t="s">
        <v>17</v>
      </c>
      <c r="W11" s="767">
        <f t="shared" si="2"/>
        <v>100</v>
      </c>
      <c r="X11" s="768"/>
      <c r="Y11" s="3521"/>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757"/>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6"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757"/>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38">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750" t="s">
        <v>2548</v>
      </c>
      <c r="Q14" s="1790" t="str">
        <f t="shared" si="6"/>
        <v>交通便捷度</v>
      </c>
      <c r="R14" s="770" t="s">
        <v>17</v>
      </c>
      <c r="S14" s="771">
        <f t="shared" si="0"/>
        <v>100</v>
      </c>
      <c r="T14" s="770" t="s">
        <v>17</v>
      </c>
      <c r="U14" s="771">
        <f t="shared" si="1"/>
        <v>100</v>
      </c>
      <c r="V14" s="770" t="s">
        <v>17</v>
      </c>
      <c r="W14" s="771">
        <f t="shared" si="2"/>
        <v>100</v>
      </c>
      <c r="X14" s="1793"/>
      <c r="Y14" s="3750"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751"/>
      <c r="Q15" s="1790"/>
      <c r="R15" s="770"/>
      <c r="S15" s="771"/>
      <c r="T15" s="770"/>
      <c r="U15" s="771"/>
      <c r="V15" s="770"/>
      <c r="W15" s="771"/>
      <c r="X15" s="1793"/>
      <c r="Y15" s="3751"/>
      <c r="Z15" s="1794"/>
      <c r="AA15" s="1791">
        <v>1</v>
      </c>
      <c r="AB15" s="1791">
        <v>1</v>
      </c>
      <c r="AC15" s="1791">
        <v>1</v>
      </c>
    </row>
    <row r="16" spans="1:29" ht="55.2">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751"/>
      <c r="Q16" s="1790" t="str">
        <f>B16</f>
        <v>公共配套设施</v>
      </c>
      <c r="R16" s="770" t="s">
        <v>17</v>
      </c>
      <c r="S16" s="771">
        <f>F16</f>
        <v>100</v>
      </c>
      <c r="T16" s="770" t="s">
        <v>17</v>
      </c>
      <c r="U16" s="771">
        <f>H16</f>
        <v>100</v>
      </c>
      <c r="V16" s="770" t="s">
        <v>17</v>
      </c>
      <c r="W16" s="771">
        <f>J16</f>
        <v>100</v>
      </c>
      <c r="X16" s="1793"/>
      <c r="Y16" s="3751"/>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751"/>
      <c r="Q17" s="1790"/>
      <c r="R17" s="770"/>
      <c r="S17" s="771"/>
      <c r="T17" s="770"/>
      <c r="U17" s="771"/>
      <c r="V17" s="770"/>
      <c r="W17" s="771"/>
      <c r="X17" s="1793"/>
      <c r="Y17" s="3751"/>
      <c r="Z17" s="1794"/>
      <c r="AA17" s="1791">
        <v>1</v>
      </c>
      <c r="AB17" s="1791">
        <v>1</v>
      </c>
      <c r="AC17" s="1791">
        <v>1</v>
      </c>
    </row>
    <row r="18" spans="1:29" ht="41.4">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751"/>
      <c r="Q18" s="1790" t="str">
        <f>B18</f>
        <v>基础设施水平</v>
      </c>
      <c r="R18" s="770" t="s">
        <v>17</v>
      </c>
      <c r="S18" s="771">
        <f>F18</f>
        <v>100</v>
      </c>
      <c r="T18" s="770" t="s">
        <v>17</v>
      </c>
      <c r="U18" s="771">
        <f>H18</f>
        <v>100</v>
      </c>
      <c r="V18" s="770" t="s">
        <v>17</v>
      </c>
      <c r="W18" s="771">
        <f>J18</f>
        <v>100</v>
      </c>
      <c r="X18" s="1793"/>
      <c r="Y18" s="3751"/>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751"/>
      <c r="Q19" s="1790"/>
      <c r="R19" s="770"/>
      <c r="S19" s="771"/>
      <c r="T19" s="770"/>
      <c r="U19" s="771"/>
      <c r="V19" s="770"/>
      <c r="W19" s="771"/>
      <c r="X19" s="1793"/>
      <c r="Y19" s="3751"/>
      <c r="Z19" s="1794"/>
      <c r="AA19" s="1791">
        <v>1</v>
      </c>
      <c r="AB19" s="1791">
        <v>1</v>
      </c>
      <c r="AC19" s="1791">
        <v>1</v>
      </c>
    </row>
    <row r="20" spans="1:29" ht="110.4">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751"/>
      <c r="Q20" s="1790" t="str">
        <f>B20</f>
        <v>自然及人文环境</v>
      </c>
      <c r="R20" s="770" t="s">
        <v>17</v>
      </c>
      <c r="S20" s="771">
        <f>F20</f>
        <v>100</v>
      </c>
      <c r="T20" s="770" t="s">
        <v>17</v>
      </c>
      <c r="U20" s="771">
        <f>H20</f>
        <v>100</v>
      </c>
      <c r="V20" s="770" t="s">
        <v>17</v>
      </c>
      <c r="W20" s="771">
        <f>J20</f>
        <v>100</v>
      </c>
      <c r="X20" s="1793"/>
      <c r="Y20" s="3751"/>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751"/>
      <c r="Q21" s="1790"/>
      <c r="R21" s="770"/>
      <c r="S21" s="771"/>
      <c r="T21" s="770"/>
      <c r="U21" s="771"/>
      <c r="V21" s="770"/>
      <c r="W21" s="771"/>
      <c r="X21" s="1793"/>
      <c r="Y21" s="3751"/>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751"/>
      <c r="Q22" s="1790" t="str">
        <f>B22</f>
        <v>楼层</v>
      </c>
      <c r="R22" s="770" t="s">
        <v>17</v>
      </c>
      <c r="S22" s="771">
        <f>F22</f>
        <v>100</v>
      </c>
      <c r="T22" s="770" t="s">
        <v>17</v>
      </c>
      <c r="U22" s="771">
        <f>H22</f>
        <v>100</v>
      </c>
      <c r="V22" s="770" t="s">
        <v>17</v>
      </c>
      <c r="W22" s="771">
        <f>J22</f>
        <v>100</v>
      </c>
      <c r="X22" s="1793"/>
      <c r="Y22" s="3751"/>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751"/>
      <c r="Q23" s="1790">
        <f>B23</f>
        <v>111</v>
      </c>
      <c r="R23" s="770" t="s">
        <v>17</v>
      </c>
      <c r="S23" s="771">
        <f>F23</f>
        <v>100</v>
      </c>
      <c r="T23" s="770" t="s">
        <v>17</v>
      </c>
      <c r="U23" s="771">
        <f>H23</f>
        <v>100</v>
      </c>
      <c r="V23" s="770" t="s">
        <v>17</v>
      </c>
      <c r="W23" s="771">
        <f>J23</f>
        <v>100</v>
      </c>
      <c r="X23" s="1793"/>
      <c r="Y23" s="3751"/>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751"/>
      <c r="Q24" s="1790">
        <f t="shared" ref="Q24:Q34" si="11">B24</f>
        <v>111</v>
      </c>
      <c r="R24" s="770" t="s">
        <v>17</v>
      </c>
      <c r="S24" s="771">
        <f>F24</f>
        <v>100</v>
      </c>
      <c r="T24" s="770" t="s">
        <v>17</v>
      </c>
      <c r="U24" s="771">
        <f>H24</f>
        <v>100</v>
      </c>
      <c r="V24" s="770" t="s">
        <v>17</v>
      </c>
      <c r="W24" s="771">
        <f>J24</f>
        <v>100</v>
      </c>
      <c r="X24" s="1793"/>
      <c r="Y24" s="3751"/>
      <c r="Z24" s="1794">
        <f>Q24</f>
        <v>111</v>
      </c>
      <c r="AA24" s="1791">
        <f t="shared" si="3"/>
        <v>1</v>
      </c>
      <c r="AB24" s="1791">
        <f t="shared" si="4"/>
        <v>1</v>
      </c>
      <c r="AC24" s="1791">
        <f t="shared" si="5"/>
        <v>1</v>
      </c>
    </row>
    <row r="25" spans="1:29" s="117" customFormat="1" ht="15.6"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751"/>
      <c r="Q25" s="1775">
        <f t="shared" si="11"/>
        <v>111</v>
      </c>
      <c r="R25" s="766" t="s">
        <v>17</v>
      </c>
      <c r="S25" s="767">
        <f>F25</f>
        <v>100</v>
      </c>
      <c r="T25" s="766" t="s">
        <v>17</v>
      </c>
      <c r="U25" s="767">
        <f>H25</f>
        <v>100</v>
      </c>
      <c r="V25" s="766" t="s">
        <v>17</v>
      </c>
      <c r="W25" s="767">
        <f>J25</f>
        <v>100</v>
      </c>
      <c r="X25" s="768"/>
      <c r="Y25" s="3751"/>
      <c r="Z25" s="55">
        <f>Q25</f>
        <v>111</v>
      </c>
      <c r="AA25" s="1791">
        <f>D25/F25</f>
        <v>1</v>
      </c>
      <c r="AB25" s="1791">
        <f>D25/H25</f>
        <v>1</v>
      </c>
      <c r="AC25" s="1791">
        <f>D25/J25</f>
        <v>1</v>
      </c>
    </row>
    <row r="26" spans="1:29" ht="30">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93"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755"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755"/>
      <c r="Q27" s="772" t="str">
        <f t="shared" si="11"/>
        <v>成新率</v>
      </c>
      <c r="R27" s="773" t="s">
        <v>17</v>
      </c>
      <c r="S27" s="774" t="e">
        <f t="shared" si="12"/>
        <v>#N/A</v>
      </c>
      <c r="T27" s="773" t="s">
        <v>17</v>
      </c>
      <c r="U27" s="774" t="e">
        <f t="shared" si="13"/>
        <v>#N/A</v>
      </c>
      <c r="V27" s="773" t="s">
        <v>17</v>
      </c>
      <c r="W27" s="774" t="e">
        <f t="shared" si="14"/>
        <v>#N/A</v>
      </c>
      <c r="X27" s="775"/>
      <c r="Y27" s="3755"/>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755"/>
      <c r="Q28" s="1790" t="str">
        <f t="shared" si="11"/>
        <v>物业等级</v>
      </c>
      <c r="R28" s="770" t="s">
        <v>17</v>
      </c>
      <c r="S28" s="771">
        <f t="shared" si="12"/>
        <v>100</v>
      </c>
      <c r="T28" s="770" t="s">
        <v>17</v>
      </c>
      <c r="U28" s="771">
        <f t="shared" si="13"/>
        <v>100</v>
      </c>
      <c r="V28" s="770" t="s">
        <v>17</v>
      </c>
      <c r="W28" s="771">
        <f t="shared" si="14"/>
        <v>100</v>
      </c>
      <c r="X28" s="1793"/>
      <c r="Y28" s="3755"/>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755"/>
      <c r="Q29" s="1790" t="str">
        <f t="shared" si="11"/>
        <v>有无电梯</v>
      </c>
      <c r="R29" s="770" t="s">
        <v>17</v>
      </c>
      <c r="S29" s="771">
        <f t="shared" si="12"/>
        <v>100</v>
      </c>
      <c r="T29" s="770" t="s">
        <v>17</v>
      </c>
      <c r="U29" s="771">
        <f t="shared" si="13"/>
        <v>100</v>
      </c>
      <c r="V29" s="770" t="s">
        <v>17</v>
      </c>
      <c r="W29" s="771">
        <f t="shared" si="14"/>
        <v>100</v>
      </c>
      <c r="X29" s="1793"/>
      <c r="Y29" s="3755"/>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755"/>
      <c r="Q30" s="1790" t="str">
        <f t="shared" si="11"/>
        <v>建筑面积</v>
      </c>
      <c r="R30" s="770" t="s">
        <v>17</v>
      </c>
      <c r="S30" s="771" t="e">
        <f t="shared" si="12"/>
        <v>#N/A</v>
      </c>
      <c r="T30" s="770" t="s">
        <v>17</v>
      </c>
      <c r="U30" s="771" t="e">
        <f t="shared" si="13"/>
        <v>#N/A</v>
      </c>
      <c r="V30" s="770" t="s">
        <v>17</v>
      </c>
      <c r="W30" s="771" t="e">
        <f t="shared" si="14"/>
        <v>#N/A</v>
      </c>
      <c r="X30" s="1793"/>
      <c r="Y30" s="3755"/>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755"/>
      <c r="Q31" s="1775" t="str">
        <f t="shared" si="11"/>
        <v>是否封闭</v>
      </c>
      <c r="R31" s="766" t="s">
        <v>17</v>
      </c>
      <c r="S31" s="767">
        <f t="shared" si="12"/>
        <v>100</v>
      </c>
      <c r="T31" s="766" t="s">
        <v>17</v>
      </c>
      <c r="U31" s="767">
        <f t="shared" si="13"/>
        <v>100</v>
      </c>
      <c r="V31" s="766" t="s">
        <v>17</v>
      </c>
      <c r="W31" s="767">
        <f t="shared" si="14"/>
        <v>100</v>
      </c>
      <c r="X31" s="768"/>
      <c r="Y31" s="3755"/>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755" t="s">
        <v>2553</v>
      </c>
      <c r="Q32" s="1790">
        <f t="shared" si="11"/>
        <v>111</v>
      </c>
      <c r="R32" s="770" t="s">
        <v>17</v>
      </c>
      <c r="S32" s="771">
        <f t="shared" si="12"/>
        <v>100</v>
      </c>
      <c r="T32" s="770" t="s">
        <v>17</v>
      </c>
      <c r="U32" s="771">
        <f t="shared" si="13"/>
        <v>100</v>
      </c>
      <c r="V32" s="770" t="s">
        <v>17</v>
      </c>
      <c r="W32" s="771">
        <f t="shared" si="14"/>
        <v>100</v>
      </c>
      <c r="X32" s="1793"/>
      <c r="Y32" s="3755"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755"/>
      <c r="Q33" s="1790">
        <f t="shared" si="11"/>
        <v>111</v>
      </c>
      <c r="R33" s="770" t="s">
        <v>17</v>
      </c>
      <c r="S33" s="771">
        <f t="shared" si="12"/>
        <v>100</v>
      </c>
      <c r="T33" s="770" t="s">
        <v>17</v>
      </c>
      <c r="U33" s="771">
        <f t="shared" si="13"/>
        <v>100</v>
      </c>
      <c r="V33" s="770" t="s">
        <v>17</v>
      </c>
      <c r="W33" s="771">
        <f t="shared" si="14"/>
        <v>100</v>
      </c>
      <c r="X33" s="1793"/>
      <c r="Y33" s="3755"/>
      <c r="Z33" s="1794">
        <f t="shared" si="15"/>
        <v>111</v>
      </c>
      <c r="AA33" s="1791">
        <f t="shared" si="3"/>
        <v>1</v>
      </c>
      <c r="AB33" s="1791">
        <f t="shared" si="4"/>
        <v>1</v>
      </c>
      <c r="AC33" s="1791">
        <f t="shared" si="5"/>
        <v>1</v>
      </c>
    </row>
    <row r="34" spans="1:29" ht="15.6"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755"/>
      <c r="Q34" s="1790">
        <f t="shared" si="11"/>
        <v>111</v>
      </c>
      <c r="R34" s="770" t="s">
        <v>17</v>
      </c>
      <c r="S34" s="771">
        <f t="shared" si="12"/>
        <v>100</v>
      </c>
      <c r="T34" s="770" t="s">
        <v>17</v>
      </c>
      <c r="U34" s="771">
        <f t="shared" si="13"/>
        <v>100</v>
      </c>
      <c r="V34" s="770" t="s">
        <v>17</v>
      </c>
      <c r="W34" s="771">
        <f t="shared" si="14"/>
        <v>100</v>
      </c>
      <c r="X34" s="1793"/>
      <c r="Y34" s="3755"/>
      <c r="Z34" s="1794">
        <f t="shared" si="15"/>
        <v>111</v>
      </c>
      <c r="AA34" s="1791">
        <f t="shared" si="3"/>
        <v>1</v>
      </c>
      <c r="AB34" s="1791">
        <f t="shared" si="4"/>
        <v>1</v>
      </c>
      <c r="AC34" s="1791">
        <f t="shared" si="5"/>
        <v>1</v>
      </c>
    </row>
    <row r="35" spans="1:29" ht="14.4">
      <c r="A35" s="478" t="s">
        <v>2565</v>
      </c>
      <c r="B35" s="479"/>
      <c r="C35" s="1388" t="s">
        <v>1</v>
      </c>
      <c r="D35" s="1389"/>
      <c r="E35" s="1390"/>
      <c r="F35" s="1391"/>
      <c r="G35" s="1392"/>
      <c r="H35" s="1393"/>
      <c r="I35" s="1390"/>
      <c r="J35" s="1393"/>
      <c r="K35" s="779"/>
      <c r="L35" s="1126"/>
      <c r="M35" s="1127"/>
      <c r="N35" s="1114"/>
      <c r="O35" s="1127"/>
      <c r="P35" s="3757" t="str">
        <f>A35</f>
        <v>成交单价（元/平方米）</v>
      </c>
      <c r="Q35" s="3757"/>
      <c r="R35" s="3758">
        <f>E35</f>
        <v>0</v>
      </c>
      <c r="S35" s="3758"/>
      <c r="T35" s="3758">
        <f>G35</f>
        <v>0</v>
      </c>
      <c r="U35" s="3758"/>
      <c r="V35" s="3758">
        <f>I35</f>
        <v>0</v>
      </c>
      <c r="W35" s="3758"/>
      <c r="X35" s="755"/>
      <c r="Y35" s="777"/>
      <c r="Z35" s="755"/>
      <c r="AA35" s="755"/>
      <c r="AB35" s="755"/>
      <c r="AC35" s="755"/>
    </row>
    <row r="36" spans="1:29" ht="1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757" t="str">
        <f>A36</f>
        <v>比较价值（元/平方米）</v>
      </c>
      <c r="Q36" s="3757"/>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755"/>
      <c r="Y36" s="755"/>
      <c r="Z36" s="755"/>
      <c r="AA36" s="755"/>
      <c r="AB36" s="755"/>
      <c r="AC36" s="755"/>
    </row>
    <row r="37" spans="1:29" ht="15" thickBot="1">
      <c r="A37" s="491" t="s">
        <v>2658</v>
      </c>
      <c r="B37" s="492"/>
      <c r="C37" s="1398" t="e">
        <f>R37</f>
        <v>#DIV/0!</v>
      </c>
      <c r="D37" s="1398"/>
      <c r="E37" s="1398"/>
      <c r="F37" s="1398"/>
      <c r="G37" s="1398"/>
      <c r="H37" s="1398"/>
      <c r="I37" s="1398"/>
      <c r="J37" s="1398"/>
      <c r="K37" s="781"/>
      <c r="L37" s="1126"/>
      <c r="M37" s="1127"/>
      <c r="N37" s="1127"/>
      <c r="O37" s="1127"/>
      <c r="P37" s="3759" t="str">
        <f>A37</f>
        <v>估价对象XX用房的比较价值（楼面单价，元/平方米）</v>
      </c>
      <c r="Q37" s="3760"/>
      <c r="R37" s="3761" t="e">
        <f>IF(F1="售价",ROUND(AVERAGE(R36:V36),0),ROUND(AVERAGE(R36:V36),1))</f>
        <v>#DIV/0!</v>
      </c>
      <c r="S37" s="3761"/>
      <c r="T37" s="3761"/>
      <c r="U37" s="3761"/>
      <c r="V37" s="3761"/>
      <c r="W37" s="3761"/>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2.2" thickBot="1">
      <c r="A45" s="759" t="s">
        <v>2662</v>
      </c>
      <c r="B45" s="755"/>
      <c r="C45" s="760"/>
      <c r="D45" s="760"/>
      <c r="E45" s="760"/>
      <c r="F45" s="761"/>
      <c r="G45" s="761"/>
      <c r="H45" s="760"/>
      <c r="I45" s="760"/>
      <c r="J45" s="760"/>
      <c r="K45" s="762"/>
      <c r="L45" s="763"/>
      <c r="M45" s="760"/>
      <c r="N45" s="760"/>
      <c r="O45" s="760"/>
      <c r="P45" s="502"/>
      <c r="Q45" s="503"/>
    </row>
    <row r="46" spans="1:29" s="507" customFormat="1" ht="14.4">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c r="A47" s="508"/>
      <c r="B47" s="509"/>
      <c r="C47" s="1553">
        <v>100</v>
      </c>
      <c r="D47" s="511"/>
      <c r="E47" s="511"/>
      <c r="F47" s="511"/>
      <c r="G47" s="511"/>
      <c r="H47" s="511"/>
      <c r="I47" s="511"/>
      <c r="J47" s="511"/>
      <c r="K47" s="511"/>
      <c r="L47" s="511"/>
      <c r="M47" s="512"/>
      <c r="N47" s="511"/>
      <c r="O47" s="513"/>
      <c r="P47" s="503"/>
    </row>
    <row r="48" spans="1:29" s="117" customFormat="1" ht="15" thickBot="1">
      <c r="A48" s="514" t="s">
        <v>2573</v>
      </c>
      <c r="B48" s="515"/>
      <c r="C48" s="516"/>
      <c r="D48" s="517"/>
      <c r="E48" s="517"/>
      <c r="F48" s="517"/>
      <c r="G48" s="517"/>
      <c r="H48" s="517"/>
      <c r="I48" s="517"/>
      <c r="J48" s="517"/>
      <c r="K48" s="517"/>
      <c r="L48" s="517"/>
      <c r="M48" s="518"/>
      <c r="N48" s="517"/>
      <c r="O48" s="519"/>
      <c r="P48" s="503"/>
      <c r="Q48" s="503"/>
    </row>
    <row r="49" spans="1:17" s="117" customFormat="1" ht="14.4">
      <c r="A49" s="520" t="s">
        <v>2538</v>
      </c>
      <c r="B49" s="509"/>
      <c r="C49" s="521" t="s">
        <v>2640</v>
      </c>
      <c r="D49" s="522"/>
      <c r="E49" s="522"/>
      <c r="F49" s="522"/>
      <c r="G49" s="522"/>
      <c r="H49" s="522"/>
      <c r="I49" s="522"/>
      <c r="J49" s="522"/>
      <c r="K49" s="522"/>
      <c r="L49" s="523"/>
      <c r="M49" s="524"/>
      <c r="N49" s="1134"/>
      <c r="O49" s="1134"/>
      <c r="P49" s="525"/>
      <c r="Q49" s="503"/>
    </row>
    <row r="50" spans="1:17" s="117" customFormat="1" ht="14.4" thickBot="1">
      <c r="A50" s="520"/>
      <c r="B50" s="509"/>
      <c r="C50" s="638">
        <v>100</v>
      </c>
      <c r="D50" s="511"/>
      <c r="E50" s="511"/>
      <c r="F50" s="511"/>
      <c r="G50" s="511"/>
      <c r="H50" s="511"/>
      <c r="I50" s="511"/>
      <c r="J50" s="511"/>
      <c r="K50" s="511"/>
      <c r="L50" s="511"/>
      <c r="M50" s="513"/>
      <c r="N50" s="1134"/>
      <c r="O50" s="1134"/>
      <c r="P50" s="503"/>
      <c r="Q50" s="503"/>
    </row>
    <row r="51" spans="1:17" ht="14.4">
      <c r="A51" s="526" t="s">
        <v>2576</v>
      </c>
      <c r="B51" s="527" t="s">
        <v>2542</v>
      </c>
      <c r="C51" s="528">
        <f>C9</f>
        <v>0</v>
      </c>
      <c r="D51" s="529"/>
      <c r="E51" s="529"/>
      <c r="F51" s="529"/>
      <c r="G51" s="529"/>
      <c r="H51" s="529"/>
      <c r="I51" s="529"/>
      <c r="J51" s="529"/>
      <c r="K51" s="530"/>
      <c r="L51" s="531"/>
      <c r="M51" s="532"/>
      <c r="N51" s="1135"/>
      <c r="O51" s="1135"/>
      <c r="P51" s="45"/>
      <c r="Q51" s="503"/>
    </row>
    <row r="52" spans="1:17" ht="14.4" thickBot="1">
      <c r="A52" s="533"/>
      <c r="B52" s="534"/>
      <c r="C52" s="535">
        <v>100</v>
      </c>
      <c r="D52" s="535"/>
      <c r="E52" s="535"/>
      <c r="F52" s="535"/>
      <c r="G52" s="535"/>
      <c r="H52" s="535"/>
      <c r="I52" s="535"/>
      <c r="J52" s="535"/>
      <c r="K52" s="535"/>
      <c r="L52" s="535"/>
      <c r="M52" s="536"/>
      <c r="N52" s="1136"/>
      <c r="O52" s="1136"/>
      <c r="P52" s="45"/>
      <c r="Q52" s="503"/>
    </row>
    <row r="53" spans="1:17" ht="29.4"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4.4" thickTop="1">
      <c r="A55" s="533"/>
      <c r="B55" s="659">
        <f>B11</f>
        <v>111</v>
      </c>
      <c r="C55" s="548"/>
      <c r="D55" s="548"/>
      <c r="E55" s="548"/>
      <c r="F55" s="548"/>
      <c r="G55" s="548"/>
      <c r="H55" s="548"/>
      <c r="I55" s="548"/>
      <c r="J55" s="548"/>
      <c r="K55" s="549"/>
      <c r="L55" s="550"/>
      <c r="M55" s="551"/>
      <c r="N55" s="1135"/>
      <c r="O55" s="1135"/>
      <c r="P55" s="45"/>
      <c r="Q55" s="503"/>
    </row>
    <row r="56" spans="1:17" ht="14.4" thickBot="1">
      <c r="A56" s="533"/>
      <c r="B56" s="534"/>
      <c r="C56" s="559"/>
      <c r="D56" s="535"/>
      <c r="E56" s="535"/>
      <c r="F56" s="535"/>
      <c r="G56" s="535"/>
      <c r="H56" s="535"/>
      <c r="I56" s="535"/>
      <c r="J56" s="535"/>
      <c r="K56" s="535"/>
      <c r="L56" s="535"/>
      <c r="M56" s="536"/>
      <c r="N56" s="1136"/>
      <c r="O56" s="1136"/>
      <c r="P56" s="45"/>
      <c r="Q56" s="503"/>
    </row>
    <row r="57" spans="1:17" s="470" customFormat="1" ht="14.4" thickTop="1">
      <c r="A57" s="552"/>
      <c r="B57" s="537">
        <f>B12</f>
        <v>111</v>
      </c>
      <c r="C57" s="548"/>
      <c r="D57" s="548"/>
      <c r="E57" s="548"/>
      <c r="F57" s="548"/>
      <c r="G57" s="553"/>
      <c r="H57" s="554"/>
      <c r="I57" s="554"/>
      <c r="J57" s="554"/>
      <c r="K57" s="554"/>
      <c r="L57" s="555"/>
      <c r="M57" s="556"/>
      <c r="N57" s="1137"/>
      <c r="O57" s="1137"/>
      <c r="P57" s="557"/>
      <c r="Q57" s="558"/>
    </row>
    <row r="58" spans="1:17" s="470" customFormat="1" ht="14.4" thickBot="1">
      <c r="A58" s="552"/>
      <c r="B58" s="542"/>
      <c r="C58" s="559"/>
      <c r="D58" s="535"/>
      <c r="E58" s="535"/>
      <c r="F58" s="535"/>
      <c r="G58" s="535"/>
      <c r="H58" s="535"/>
      <c r="I58" s="535"/>
      <c r="J58" s="535"/>
      <c r="K58" s="535"/>
      <c r="L58" s="535"/>
      <c r="M58" s="536"/>
      <c r="N58" s="1136"/>
      <c r="O58" s="1136"/>
      <c r="P58" s="557"/>
      <c r="Q58" s="558"/>
    </row>
    <row r="59" spans="1:17" s="470" customFormat="1" ht="14.4" thickTop="1">
      <c r="A59" s="552"/>
      <c r="B59" s="537">
        <f>B13</f>
        <v>111</v>
      </c>
      <c r="C59" s="548"/>
      <c r="D59" s="548"/>
      <c r="E59" s="548"/>
      <c r="F59" s="548"/>
      <c r="G59" s="553"/>
      <c r="H59" s="554"/>
      <c r="I59" s="554"/>
      <c r="J59" s="554"/>
      <c r="K59" s="554"/>
      <c r="L59" s="555"/>
      <c r="M59" s="556"/>
      <c r="N59" s="1137"/>
      <c r="O59" s="1137"/>
      <c r="P59" s="469"/>
      <c r="Q59" s="560"/>
    </row>
    <row r="60" spans="1:17" s="470" customFormat="1" ht="14.4"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9.4"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 thickTop="1">
      <c r="A69" s="533"/>
      <c r="B69" s="537" t="s">
        <v>2716</v>
      </c>
      <c r="C69" s="553"/>
      <c r="D69" s="553"/>
      <c r="E69" s="553"/>
      <c r="F69" s="553"/>
      <c r="G69" s="553"/>
      <c r="H69" s="582"/>
      <c r="I69" s="582"/>
      <c r="J69" s="582"/>
      <c r="K69" s="583"/>
      <c r="L69" s="584"/>
      <c r="M69" s="585"/>
      <c r="N69" s="1135"/>
      <c r="O69" s="1135"/>
      <c r="P69" s="45"/>
      <c r="Q69" s="503"/>
    </row>
    <row r="70" spans="1:17" ht="14.4"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4.4" thickTop="1">
      <c r="A71" s="578"/>
      <c r="B71" s="537">
        <f>B23</f>
        <v>111</v>
      </c>
      <c r="C71" s="548"/>
      <c r="D71" s="548"/>
      <c r="E71" s="548"/>
      <c r="F71" s="548"/>
      <c r="G71" s="553"/>
      <c r="H71" s="553"/>
      <c r="I71" s="553"/>
      <c r="J71" s="553"/>
      <c r="K71" s="553"/>
      <c r="L71" s="579"/>
      <c r="M71" s="580"/>
      <c r="N71" s="1134"/>
      <c r="O71" s="1134"/>
      <c r="P71" s="45"/>
      <c r="Q71" s="503"/>
    </row>
    <row r="72" spans="1:17" s="117" customFormat="1" ht="14.4" thickBot="1">
      <c r="A72" s="578"/>
      <c r="B72" s="542"/>
      <c r="C72" s="559"/>
      <c r="D72" s="535"/>
      <c r="E72" s="535"/>
      <c r="F72" s="535"/>
      <c r="G72" s="535"/>
      <c r="H72" s="535"/>
      <c r="I72" s="535"/>
      <c r="J72" s="535"/>
      <c r="K72" s="535"/>
      <c r="L72" s="535"/>
      <c r="M72" s="536"/>
      <c r="N72" s="1136"/>
      <c r="O72" s="1136"/>
      <c r="P72" s="45"/>
      <c r="Q72" s="503"/>
    </row>
    <row r="73" spans="1:17" s="117" customFormat="1" ht="14.4" thickTop="1">
      <c r="A73" s="578"/>
      <c r="B73" s="537">
        <f>B24</f>
        <v>111</v>
      </c>
      <c r="C73" s="548"/>
      <c r="D73" s="548"/>
      <c r="E73" s="548"/>
      <c r="F73" s="548"/>
      <c r="G73" s="553"/>
      <c r="H73" s="553"/>
      <c r="I73" s="553"/>
      <c r="J73" s="553"/>
      <c r="K73" s="553"/>
      <c r="L73" s="553"/>
      <c r="M73" s="580"/>
      <c r="N73" s="1134"/>
      <c r="O73" s="1134"/>
      <c r="P73" s="45"/>
      <c r="Q73" s="503"/>
    </row>
    <row r="74" spans="1:17" s="117" customFormat="1" ht="14.4" thickBot="1">
      <c r="A74" s="578"/>
      <c r="B74" s="542"/>
      <c r="C74" s="559"/>
      <c r="D74" s="535"/>
      <c r="E74" s="535"/>
      <c r="F74" s="535"/>
      <c r="G74" s="535"/>
      <c r="H74" s="535"/>
      <c r="I74" s="535"/>
      <c r="J74" s="535"/>
      <c r="K74" s="535"/>
      <c r="L74" s="535"/>
      <c r="M74" s="536"/>
      <c r="N74" s="1136"/>
      <c r="O74" s="1136"/>
      <c r="P74" s="45"/>
      <c r="Q74" s="503"/>
    </row>
    <row r="75" spans="1:17" s="470" customFormat="1" ht="14.4" thickTop="1">
      <c r="A75" s="552"/>
      <c r="B75" s="537">
        <f>B25</f>
        <v>111</v>
      </c>
      <c r="C75" s="548"/>
      <c r="D75" s="548"/>
      <c r="E75" s="548"/>
      <c r="F75" s="548"/>
      <c r="G75" s="553"/>
      <c r="H75" s="554"/>
      <c r="I75" s="554"/>
      <c r="J75" s="554"/>
      <c r="K75" s="554"/>
      <c r="L75" s="555"/>
      <c r="M75" s="556"/>
      <c r="N75" s="1137"/>
      <c r="O75" s="1137"/>
      <c r="P75" s="557"/>
      <c r="Q75" s="558"/>
    </row>
    <row r="76" spans="1:17" s="470" customFormat="1" ht="14.4"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4.4"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4.4" thickBot="1">
      <c r="A90" s="552"/>
      <c r="B90" s="542"/>
      <c r="C90" s="559"/>
      <c r="D90" s="535"/>
      <c r="E90" s="535"/>
      <c r="F90" s="535"/>
      <c r="G90" s="535"/>
      <c r="H90" s="535"/>
      <c r="I90" s="535"/>
      <c r="J90" s="535"/>
      <c r="K90" s="535"/>
      <c r="L90" s="535"/>
      <c r="M90" s="536"/>
      <c r="N90" s="1137"/>
      <c r="O90" s="1137"/>
      <c r="P90" s="557"/>
      <c r="Q90" s="558"/>
    </row>
    <row r="91" spans="1:17" ht="14.4" thickTop="1">
      <c r="A91" s="598"/>
      <c r="B91" s="537">
        <f>B32</f>
        <v>111</v>
      </c>
      <c r="C91" s="548"/>
      <c r="D91" s="548"/>
      <c r="E91" s="548"/>
      <c r="F91" s="548"/>
      <c r="G91" s="553"/>
      <c r="H91" s="554"/>
      <c r="I91" s="554"/>
      <c r="J91" s="554"/>
      <c r="K91" s="554"/>
      <c r="L91" s="555"/>
      <c r="M91" s="556"/>
      <c r="N91" s="1135"/>
      <c r="O91" s="1135"/>
      <c r="P91" s="45"/>
      <c r="Q91" s="503"/>
    </row>
    <row r="92" spans="1:17" ht="14.4" thickBot="1">
      <c r="A92" s="533"/>
      <c r="B92" s="542"/>
      <c r="C92" s="559"/>
      <c r="D92" s="535"/>
      <c r="E92" s="535"/>
      <c r="F92" s="535"/>
      <c r="G92" s="559"/>
      <c r="H92" s="561"/>
      <c r="I92" s="561"/>
      <c r="J92" s="561"/>
      <c r="K92" s="561"/>
      <c r="L92" s="561"/>
      <c r="M92" s="562"/>
      <c r="N92" s="1136"/>
      <c r="O92" s="1136"/>
      <c r="P92" s="45"/>
      <c r="Q92" s="503"/>
    </row>
    <row r="93" spans="1:17" ht="14.4" thickTop="1">
      <c r="A93" s="598"/>
      <c r="B93" s="537">
        <f>B33</f>
        <v>111</v>
      </c>
      <c r="C93" s="548"/>
      <c r="D93" s="548"/>
      <c r="E93" s="548"/>
      <c r="F93" s="548"/>
      <c r="G93" s="553"/>
      <c r="H93" s="554"/>
      <c r="I93" s="554"/>
      <c r="J93" s="554"/>
      <c r="K93" s="554"/>
      <c r="L93" s="555"/>
      <c r="M93" s="556"/>
      <c r="N93" s="1135"/>
      <c r="O93" s="1135"/>
      <c r="P93" s="45"/>
      <c r="Q93" s="503"/>
    </row>
    <row r="94" spans="1:17" ht="14.4" thickBot="1">
      <c r="A94" s="533"/>
      <c r="B94" s="542"/>
      <c r="C94" s="559"/>
      <c r="D94" s="535"/>
      <c r="E94" s="535"/>
      <c r="F94" s="535"/>
      <c r="G94" s="559"/>
      <c r="H94" s="561"/>
      <c r="I94" s="561"/>
      <c r="J94" s="561"/>
      <c r="K94" s="561"/>
      <c r="L94" s="561"/>
      <c r="M94" s="562"/>
      <c r="N94" s="1136"/>
      <c r="O94" s="1136"/>
      <c r="P94" s="45"/>
      <c r="Q94" s="503"/>
    </row>
    <row r="95" spans="1:17" ht="14.4" thickTop="1">
      <c r="A95" s="598"/>
      <c r="B95" s="635">
        <f>B34</f>
        <v>111</v>
      </c>
      <c r="C95" s="548"/>
      <c r="D95" s="548"/>
      <c r="E95" s="548"/>
      <c r="F95" s="548"/>
      <c r="G95" s="553"/>
      <c r="H95" s="554"/>
      <c r="I95" s="554"/>
      <c r="J95" s="554"/>
      <c r="K95" s="554"/>
      <c r="L95" s="555"/>
      <c r="M95" s="556"/>
      <c r="N95" s="1136"/>
      <c r="O95" s="1136"/>
      <c r="P95" s="636"/>
      <c r="Q95" s="637"/>
    </row>
    <row r="96" spans="1:17" ht="14.4" thickBot="1">
      <c r="A96" s="533"/>
      <c r="B96" s="542"/>
      <c r="C96" s="559"/>
      <c r="D96" s="559"/>
      <c r="E96" s="559"/>
      <c r="F96" s="559"/>
      <c r="G96" s="559"/>
      <c r="H96" s="561"/>
      <c r="I96" s="561"/>
      <c r="J96" s="561"/>
      <c r="K96" s="561"/>
      <c r="L96" s="561"/>
      <c r="M96" s="562"/>
      <c r="N96" s="1136"/>
      <c r="O96" s="1136"/>
      <c r="P96" s="45"/>
      <c r="Q96" s="503"/>
    </row>
    <row r="97" spans="1:20" ht="14.4"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xr:uid="{00000000-0002-0000-2D00-000000000000}">
      <formula1>交通便捷度</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C2" xr:uid="{00000000-0002-0000-2D00-00000F000000}">
      <formula1>"需扣减承租人权益,——"</formula1>
    </dataValidation>
    <dataValidation type="list" allowBlank="1" showInputMessage="1" showErrorMessage="1" sqref="F2" xr:uid="{00000000-0002-0000-2D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6">
    <tabColor rgb="FF92D050"/>
    <pageSetUpPr fitToPage="1"/>
  </sheetPr>
  <dimension ref="A1:AC121"/>
  <sheetViews>
    <sheetView zoomScale="80" zoomScaleNormal="80" workbookViewId="0">
      <selection activeCell="E3" sqref="E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4.4">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7" t="s">
        <v>2636</v>
      </c>
      <c r="AC4" s="3716" t="s">
        <v>2637</v>
      </c>
    </row>
    <row r="5" spans="1:29">
      <c r="A5" s="403"/>
      <c r="B5" s="404"/>
      <c r="C5" s="3791" t="s">
        <v>2530</v>
      </c>
      <c r="D5" s="3792"/>
      <c r="E5" s="3789" t="s">
        <v>2531</v>
      </c>
      <c r="F5" s="3790"/>
      <c r="G5" s="3791" t="s">
        <v>2532</v>
      </c>
      <c r="H5" s="3792"/>
      <c r="I5" s="3791" t="s">
        <v>2533</v>
      </c>
      <c r="J5" s="3792"/>
      <c r="K5" s="609"/>
      <c r="L5" s="1113"/>
      <c r="M5" s="1114"/>
      <c r="N5" s="1114"/>
      <c r="O5" s="1114"/>
      <c r="P5" s="3741"/>
      <c r="Q5" s="3742"/>
      <c r="R5" s="3724"/>
      <c r="S5" s="3725"/>
      <c r="T5" s="3724"/>
      <c r="U5" s="3725"/>
      <c r="V5" s="3719"/>
      <c r="W5" s="3719"/>
      <c r="X5" s="1793"/>
      <c r="Y5" s="3724"/>
      <c r="Z5" s="3725"/>
      <c r="AA5" s="3717"/>
      <c r="AB5" s="3717"/>
      <c r="AC5" s="3717"/>
    </row>
    <row r="6" spans="1:29" ht="15" thickBot="1">
      <c r="A6" s="405"/>
      <c r="B6" s="406"/>
      <c r="C6" s="3800" t="s">
        <v>2775</v>
      </c>
      <c r="D6" s="3801"/>
      <c r="E6" s="3802" t="s">
        <v>2775</v>
      </c>
      <c r="F6" s="3803"/>
      <c r="G6" s="3800" t="s">
        <v>2775</v>
      </c>
      <c r="H6" s="3801"/>
      <c r="I6" s="3800" t="s">
        <v>2775</v>
      </c>
      <c r="J6" s="3801"/>
      <c r="K6" s="609" t="s">
        <v>2535</v>
      </c>
      <c r="L6" s="1113"/>
      <c r="M6" s="1114"/>
      <c r="N6" s="1114"/>
      <c r="O6" s="1114"/>
      <c r="P6" s="3743"/>
      <c r="Q6" s="3744"/>
      <c r="R6" s="3724"/>
      <c r="S6" s="3725"/>
      <c r="T6" s="3745"/>
      <c r="U6" s="3746"/>
      <c r="V6" s="3719"/>
      <c r="W6" s="3719"/>
      <c r="X6" s="1793"/>
      <c r="Y6" s="3745"/>
      <c r="Z6" s="3746"/>
      <c r="AA6" s="3718"/>
      <c r="AB6" s="3718"/>
      <c r="AC6" s="3718"/>
    </row>
    <row r="7" spans="1:29" s="117" customFormat="1" ht="15" thickBot="1">
      <c r="A7" s="407" t="s">
        <v>2536</v>
      </c>
      <c r="B7" s="408"/>
      <c r="C7" s="409">
        <f>'数据-取费表'!B2</f>
        <v>43836</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720" t="s">
        <v>2537</v>
      </c>
      <c r="Q7" s="3747"/>
      <c r="R7" s="766" t="s">
        <v>17</v>
      </c>
      <c r="S7" s="767">
        <f t="shared" ref="S7:S15" si="0">F7</f>
        <v>0</v>
      </c>
      <c r="T7" s="766" t="s">
        <v>17</v>
      </c>
      <c r="U7" s="767">
        <f t="shared" ref="U7:U15" si="1">H7</f>
        <v>0</v>
      </c>
      <c r="V7" s="766" t="s">
        <v>17</v>
      </c>
      <c r="W7" s="767">
        <f t="shared" ref="W7:W15" si="2">J7</f>
        <v>0</v>
      </c>
      <c r="X7" s="768"/>
      <c r="Y7" s="3720" t="s">
        <v>2537</v>
      </c>
      <c r="Z7" s="3721"/>
      <c r="AA7" s="769" t="e">
        <f>D7/F7</f>
        <v>#DIV/0!</v>
      </c>
      <c r="AB7" s="769" t="e">
        <f>D7/H7</f>
        <v>#DIV/0!</v>
      </c>
      <c r="AC7" s="769" t="e">
        <f>D7/J7</f>
        <v>#DIV/0!</v>
      </c>
    </row>
    <row r="8" spans="1:29" s="117" customFormat="1" ht="1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720" t="s">
        <v>2540</v>
      </c>
      <c r="Q8" s="3721"/>
      <c r="R8" s="766" t="s">
        <v>17</v>
      </c>
      <c r="S8" s="767">
        <f t="shared" si="0"/>
        <v>0</v>
      </c>
      <c r="T8" s="766" t="s">
        <v>17</v>
      </c>
      <c r="U8" s="767">
        <f t="shared" si="1"/>
        <v>0</v>
      </c>
      <c r="V8" s="766" t="s">
        <v>17</v>
      </c>
      <c r="W8" s="767">
        <f t="shared" si="2"/>
        <v>0</v>
      </c>
      <c r="X8" s="768"/>
      <c r="Y8" s="3720" t="s">
        <v>2540</v>
      </c>
      <c r="Z8" s="3721"/>
      <c r="AA8" s="769" t="e">
        <f t="shared" ref="AA8:AA40" si="3">D8/F8</f>
        <v>#DIV/0!</v>
      </c>
      <c r="AB8" s="769" t="e">
        <f t="shared" ref="AB8:AB40" si="4">D8/H8</f>
        <v>#DIV/0!</v>
      </c>
      <c r="AC8" s="769" t="e">
        <f t="shared" ref="AC8:AC40" si="5">D8/J8</f>
        <v>#DIV/0!</v>
      </c>
    </row>
    <row r="9" spans="1:29" s="117" customFormat="1" ht="14.4">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757"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769">
        <f t="shared" si="5"/>
        <v>1</v>
      </c>
    </row>
    <row r="10" spans="1:29" s="426" customFormat="1" ht="28.8">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757"/>
      <c r="Q10" s="1775" t="str">
        <f t="shared" si="6"/>
        <v>土地使用年限（年）</v>
      </c>
      <c r="R10" s="766" t="s">
        <v>17</v>
      </c>
      <c r="S10" s="767">
        <f t="shared" si="0"/>
        <v>124</v>
      </c>
      <c r="T10" s="766" t="s">
        <v>17</v>
      </c>
      <c r="U10" s="767">
        <f t="shared" si="1"/>
        <v>124</v>
      </c>
      <c r="V10" s="766" t="s">
        <v>17</v>
      </c>
      <c r="W10" s="767">
        <f t="shared" si="2"/>
        <v>124</v>
      </c>
      <c r="X10" s="768"/>
      <c r="Y10" s="3521"/>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757"/>
      <c r="Q11" s="1775" t="str">
        <f t="shared" si="6"/>
        <v>容积率</v>
      </c>
      <c r="R11" s="766" t="s">
        <v>17</v>
      </c>
      <c r="S11" s="767" t="e">
        <f t="shared" si="0"/>
        <v>#N/A</v>
      </c>
      <c r="T11" s="766" t="s">
        <v>17</v>
      </c>
      <c r="U11" s="767" t="e">
        <f t="shared" si="1"/>
        <v>#N/A</v>
      </c>
      <c r="V11" s="766" t="s">
        <v>17</v>
      </c>
      <c r="W11" s="767" t="e">
        <f t="shared" si="2"/>
        <v>#N/A</v>
      </c>
      <c r="X11" s="768"/>
      <c r="Y11" s="3521"/>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757"/>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757"/>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5.6"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757"/>
      <c r="Q14" s="1775">
        <f t="shared" si="6"/>
        <v>111</v>
      </c>
      <c r="R14" s="766" t="s">
        <v>17</v>
      </c>
      <c r="S14" s="767">
        <f t="shared" si="0"/>
        <v>100</v>
      </c>
      <c r="T14" s="766" t="s">
        <v>17</v>
      </c>
      <c r="U14" s="767">
        <f t="shared" si="1"/>
        <v>100</v>
      </c>
      <c r="V14" s="766" t="s">
        <v>17</v>
      </c>
      <c r="W14" s="767">
        <f t="shared" si="2"/>
        <v>100</v>
      </c>
      <c r="X14" s="768"/>
      <c r="Y14" s="3521"/>
      <c r="Z14" s="55">
        <f t="shared" si="7"/>
        <v>111</v>
      </c>
      <c r="AA14" s="769">
        <f t="shared" si="3"/>
        <v>1</v>
      </c>
      <c r="AB14" s="769">
        <f t="shared" si="4"/>
        <v>1</v>
      </c>
      <c r="AC14" s="769">
        <f t="shared" si="5"/>
        <v>1</v>
      </c>
    </row>
    <row r="15" spans="1:29" ht="69">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750" t="s">
        <v>2548</v>
      </c>
      <c r="Q15" s="1790" t="str">
        <f t="shared" si="6"/>
        <v>产业集聚程度</v>
      </c>
      <c r="R15" s="770" t="s">
        <v>17</v>
      </c>
      <c r="S15" s="771">
        <f t="shared" si="0"/>
        <v>100</v>
      </c>
      <c r="T15" s="770" t="s">
        <v>17</v>
      </c>
      <c r="U15" s="771">
        <f t="shared" si="1"/>
        <v>100</v>
      </c>
      <c r="V15" s="770" t="s">
        <v>17</v>
      </c>
      <c r="W15" s="771">
        <f t="shared" si="2"/>
        <v>100</v>
      </c>
      <c r="X15" s="1793"/>
      <c r="Y15" s="3750"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751"/>
      <c r="Q16" s="1790"/>
      <c r="R16" s="770"/>
      <c r="S16" s="771"/>
      <c r="T16" s="770"/>
      <c r="U16" s="771"/>
      <c r="V16" s="770"/>
      <c r="W16" s="771"/>
      <c r="X16" s="1793"/>
      <c r="Y16" s="3751"/>
      <c r="Z16" s="1794"/>
      <c r="AA16" s="1791">
        <v>1</v>
      </c>
      <c r="AB16" s="1791">
        <v>1</v>
      </c>
      <c r="AC16" s="1791">
        <v>1</v>
      </c>
    </row>
    <row r="17" spans="1:29" ht="96.6">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751"/>
      <c r="Q17" s="1790" t="str">
        <f>B17</f>
        <v>交通便捷度</v>
      </c>
      <c r="R17" s="770" t="s">
        <v>17</v>
      </c>
      <c r="S17" s="771">
        <f>F17</f>
        <v>100</v>
      </c>
      <c r="T17" s="770" t="s">
        <v>17</v>
      </c>
      <c r="U17" s="771">
        <f>H17</f>
        <v>100</v>
      </c>
      <c r="V17" s="770" t="s">
        <v>17</v>
      </c>
      <c r="W17" s="771">
        <f>J17</f>
        <v>100</v>
      </c>
      <c r="X17" s="1793"/>
      <c r="Y17" s="3751"/>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751"/>
      <c r="Q18" s="1790"/>
      <c r="R18" s="770"/>
      <c r="S18" s="771"/>
      <c r="T18" s="770"/>
      <c r="U18" s="771"/>
      <c r="V18" s="770"/>
      <c r="W18" s="771"/>
      <c r="X18" s="1793"/>
      <c r="Y18" s="3751"/>
      <c r="Z18" s="1794"/>
      <c r="AA18" s="1791">
        <v>1</v>
      </c>
      <c r="AB18" s="1791">
        <v>1</v>
      </c>
      <c r="AC18" s="1791">
        <v>1</v>
      </c>
    </row>
    <row r="19" spans="1:29" ht="28.8">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751"/>
      <c r="Q19" s="1790" t="str">
        <f t="shared" ref="Q19:Q33" si="8">B19</f>
        <v>区域土地利用方向</v>
      </c>
      <c r="R19" s="770" t="s">
        <v>17</v>
      </c>
      <c r="S19" s="771">
        <f>F19</f>
        <v>100</v>
      </c>
      <c r="T19" s="770" t="s">
        <v>17</v>
      </c>
      <c r="U19" s="771">
        <f>H19</f>
        <v>100</v>
      </c>
      <c r="V19" s="770" t="s">
        <v>17</v>
      </c>
      <c r="W19" s="771">
        <f>J19</f>
        <v>100</v>
      </c>
      <c r="X19" s="1793"/>
      <c r="Y19" s="3751"/>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751"/>
      <c r="Q20" s="1790"/>
      <c r="R20" s="770"/>
      <c r="S20" s="771"/>
      <c r="T20" s="770"/>
      <c r="U20" s="771"/>
      <c r="V20" s="770"/>
      <c r="W20" s="771"/>
      <c r="X20" s="1793"/>
      <c r="Y20" s="3751"/>
      <c r="Z20" s="1794"/>
      <c r="AA20" s="1791"/>
      <c r="AB20" s="1791"/>
      <c r="AC20" s="1791"/>
    </row>
    <row r="21" spans="1:29" ht="82.8">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751"/>
      <c r="Q21" s="1790" t="str">
        <f t="shared" si="8"/>
        <v>环境状况</v>
      </c>
      <c r="R21" s="770" t="s">
        <v>17</v>
      </c>
      <c r="S21" s="771">
        <f>F21</f>
        <v>100</v>
      </c>
      <c r="T21" s="770" t="s">
        <v>17</v>
      </c>
      <c r="U21" s="771">
        <f>H21</f>
        <v>100</v>
      </c>
      <c r="V21" s="770" t="s">
        <v>17</v>
      </c>
      <c r="W21" s="771">
        <f>J21</f>
        <v>100</v>
      </c>
      <c r="X21" s="1793"/>
      <c r="Y21" s="3751"/>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751"/>
      <c r="Q22" s="1790"/>
      <c r="R22" s="770"/>
      <c r="S22" s="771"/>
      <c r="T22" s="770"/>
      <c r="U22" s="771"/>
      <c r="V22" s="770"/>
      <c r="W22" s="771"/>
      <c r="X22" s="1793"/>
      <c r="Y22" s="3751"/>
      <c r="Z22" s="1794"/>
      <c r="AA22" s="1791">
        <v>1</v>
      </c>
      <c r="AB22" s="1791">
        <v>1</v>
      </c>
      <c r="AC22" s="1791">
        <v>1</v>
      </c>
    </row>
    <row r="23" spans="1:29" s="117" customFormat="1" ht="41.4">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751"/>
      <c r="Q23" s="1775" t="str">
        <f t="shared" si="8"/>
        <v>公共配套设施</v>
      </c>
      <c r="R23" s="766" t="s">
        <v>17</v>
      </c>
      <c r="S23" s="767">
        <f>F23</f>
        <v>100</v>
      </c>
      <c r="T23" s="766" t="s">
        <v>17</v>
      </c>
      <c r="U23" s="767">
        <f>H23</f>
        <v>100</v>
      </c>
      <c r="V23" s="766" t="s">
        <v>17</v>
      </c>
      <c r="W23" s="767">
        <f>J23</f>
        <v>100</v>
      </c>
      <c r="X23" s="768"/>
      <c r="Y23" s="3751"/>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751"/>
      <c r="Q24" s="1775"/>
      <c r="R24" s="766"/>
      <c r="S24" s="767"/>
      <c r="T24" s="766"/>
      <c r="U24" s="767"/>
      <c r="V24" s="766"/>
      <c r="W24" s="767"/>
      <c r="X24" s="768"/>
      <c r="Y24" s="3751"/>
      <c r="Z24" s="55"/>
      <c r="AA24" s="769">
        <v>1</v>
      </c>
      <c r="AB24" s="769">
        <v>1</v>
      </c>
      <c r="AC24" s="769">
        <v>1</v>
      </c>
    </row>
    <row r="25" spans="1:29" s="117" customFormat="1" ht="41.4">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751"/>
      <c r="Q25" s="1775" t="str">
        <f t="shared" ref="Q25" si="9">B25</f>
        <v>基础设施水平</v>
      </c>
      <c r="R25" s="766" t="s">
        <v>17</v>
      </c>
      <c r="S25" s="767">
        <f>F25</f>
        <v>100</v>
      </c>
      <c r="T25" s="766" t="s">
        <v>17</v>
      </c>
      <c r="U25" s="767">
        <f>H25</f>
        <v>100</v>
      </c>
      <c r="V25" s="766" t="s">
        <v>17</v>
      </c>
      <c r="W25" s="767">
        <f>J25</f>
        <v>100</v>
      </c>
      <c r="X25" s="768"/>
      <c r="Y25" s="3751"/>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751"/>
      <c r="Q26" s="1775"/>
      <c r="R26" s="766"/>
      <c r="S26" s="767"/>
      <c r="T26" s="766"/>
      <c r="U26" s="767"/>
      <c r="V26" s="766"/>
      <c r="W26" s="767"/>
      <c r="X26" s="768"/>
      <c r="Y26" s="3751"/>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751"/>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751"/>
      <c r="Z27" s="1794" t="str">
        <f t="shared" ref="Z27:Z40" si="13">Q27</f>
        <v>临街状况</v>
      </c>
      <c r="AA27" s="1791">
        <f t="shared" si="3"/>
        <v>1</v>
      </c>
      <c r="AB27" s="1791">
        <f t="shared" si="4"/>
        <v>1</v>
      </c>
      <c r="AC27" s="1791">
        <f t="shared" si="5"/>
        <v>1</v>
      </c>
    </row>
    <row r="28" spans="1:29" ht="28.8">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751"/>
      <c r="Q28" s="1790" t="str">
        <f t="shared" si="8"/>
        <v>毗邻道路的类型与等级</v>
      </c>
      <c r="R28" s="770" t="s">
        <v>17</v>
      </c>
      <c r="S28" s="771">
        <f t="shared" si="10"/>
        <v>100</v>
      </c>
      <c r="T28" s="770" t="s">
        <v>17</v>
      </c>
      <c r="U28" s="771">
        <f t="shared" si="11"/>
        <v>100</v>
      </c>
      <c r="V28" s="770" t="s">
        <v>17</v>
      </c>
      <c r="W28" s="771">
        <f t="shared" si="12"/>
        <v>100</v>
      </c>
      <c r="X28" s="1793"/>
      <c r="Y28" s="3751"/>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751"/>
      <c r="Q29" s="1790"/>
      <c r="R29" s="770"/>
      <c r="S29" s="771"/>
      <c r="T29" s="770"/>
      <c r="U29" s="771"/>
      <c r="V29" s="770"/>
      <c r="W29" s="771"/>
      <c r="X29" s="1793"/>
      <c r="Y29" s="3751"/>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751"/>
      <c r="Q30" s="1790" t="str">
        <f t="shared" si="8"/>
        <v>土地级别</v>
      </c>
      <c r="R30" s="770" t="s">
        <v>17</v>
      </c>
      <c r="S30" s="771">
        <f t="shared" si="10"/>
        <v>100</v>
      </c>
      <c r="T30" s="770" t="s">
        <v>17</v>
      </c>
      <c r="U30" s="771">
        <f t="shared" si="11"/>
        <v>100</v>
      </c>
      <c r="V30" s="770" t="s">
        <v>17</v>
      </c>
      <c r="W30" s="771">
        <f t="shared" si="12"/>
        <v>100</v>
      </c>
      <c r="X30" s="1793"/>
      <c r="Y30" s="3751"/>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751"/>
      <c r="Q31" s="1790">
        <f t="shared" si="8"/>
        <v>111</v>
      </c>
      <c r="R31" s="770" t="s">
        <v>17</v>
      </c>
      <c r="S31" s="771">
        <f t="shared" si="10"/>
        <v>100</v>
      </c>
      <c r="T31" s="770" t="s">
        <v>17</v>
      </c>
      <c r="U31" s="771">
        <f t="shared" si="11"/>
        <v>100</v>
      </c>
      <c r="V31" s="770" t="s">
        <v>17</v>
      </c>
      <c r="W31" s="771">
        <f t="shared" si="12"/>
        <v>100</v>
      </c>
      <c r="X31" s="1793"/>
      <c r="Y31" s="3751"/>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93" t="s">
        <v>2553</v>
      </c>
      <c r="Q32" s="1790">
        <f t="shared" si="8"/>
        <v>111</v>
      </c>
      <c r="R32" s="770" t="s">
        <v>17</v>
      </c>
      <c r="S32" s="771">
        <f t="shared" si="10"/>
        <v>100</v>
      </c>
      <c r="T32" s="770" t="s">
        <v>17</v>
      </c>
      <c r="U32" s="771">
        <f t="shared" si="11"/>
        <v>100</v>
      </c>
      <c r="V32" s="770" t="s">
        <v>17</v>
      </c>
      <c r="W32" s="771">
        <f t="shared" si="12"/>
        <v>100</v>
      </c>
      <c r="X32" s="1793"/>
      <c r="Y32" s="3755" t="s">
        <v>2553</v>
      </c>
      <c r="Z32" s="1794">
        <f t="shared" si="13"/>
        <v>111</v>
      </c>
      <c r="AA32" s="1791">
        <f t="shared" si="3"/>
        <v>1</v>
      </c>
      <c r="AB32" s="1791">
        <f t="shared" si="4"/>
        <v>1</v>
      </c>
      <c r="AC32" s="1791">
        <f t="shared" si="5"/>
        <v>1</v>
      </c>
    </row>
    <row r="33" spans="1:29" s="470" customFormat="1" ht="15.6"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755"/>
      <c r="Q33" s="1790">
        <f t="shared" si="8"/>
        <v>111</v>
      </c>
      <c r="R33" s="773" t="s">
        <v>17</v>
      </c>
      <c r="S33" s="774">
        <f t="shared" si="10"/>
        <v>100</v>
      </c>
      <c r="T33" s="773" t="s">
        <v>17</v>
      </c>
      <c r="U33" s="774">
        <f t="shared" si="11"/>
        <v>100</v>
      </c>
      <c r="V33" s="773" t="s">
        <v>17</v>
      </c>
      <c r="W33" s="774">
        <f t="shared" si="12"/>
        <v>100</v>
      </c>
      <c r="X33" s="775"/>
      <c r="Y33" s="3755"/>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755"/>
      <c r="Q34" s="1790" t="str">
        <f>B34</f>
        <v>宗地面积</v>
      </c>
      <c r="R34" s="770" t="s">
        <v>17</v>
      </c>
      <c r="S34" s="771" t="e">
        <f t="shared" si="10"/>
        <v>#N/A</v>
      </c>
      <c r="T34" s="770" t="s">
        <v>17</v>
      </c>
      <c r="U34" s="771" t="e">
        <f t="shared" si="11"/>
        <v>#N/A</v>
      </c>
      <c r="V34" s="770" t="s">
        <v>17</v>
      </c>
      <c r="W34" s="771" t="e">
        <f t="shared" si="12"/>
        <v>#N/A</v>
      </c>
      <c r="X34" s="1793"/>
      <c r="Y34" s="3755"/>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755"/>
      <c r="Q35" s="1790" t="str">
        <f t="shared" ref="Q35:Q40" si="14">B35</f>
        <v>宗地形状</v>
      </c>
      <c r="R35" s="770" t="s">
        <v>17</v>
      </c>
      <c r="S35" s="771">
        <f t="shared" si="10"/>
        <v>100</v>
      </c>
      <c r="T35" s="770" t="s">
        <v>17</v>
      </c>
      <c r="U35" s="771">
        <f t="shared" si="11"/>
        <v>100</v>
      </c>
      <c r="V35" s="770" t="s">
        <v>17</v>
      </c>
      <c r="W35" s="771">
        <f t="shared" si="12"/>
        <v>100</v>
      </c>
      <c r="X35" s="1793"/>
      <c r="Y35" s="3755"/>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755"/>
      <c r="Q36" s="1790" t="str">
        <f t="shared" si="14"/>
        <v>宗地开发程度</v>
      </c>
      <c r="R36" s="766" t="s">
        <v>17</v>
      </c>
      <c r="S36" s="767">
        <f t="shared" si="10"/>
        <v>100</v>
      </c>
      <c r="T36" s="766" t="s">
        <v>17</v>
      </c>
      <c r="U36" s="767">
        <f t="shared" si="11"/>
        <v>100</v>
      </c>
      <c r="V36" s="766" t="s">
        <v>17</v>
      </c>
      <c r="W36" s="767">
        <f t="shared" si="12"/>
        <v>100</v>
      </c>
      <c r="X36" s="768"/>
      <c r="Y36" s="3755"/>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755" t="s">
        <v>2553</v>
      </c>
      <c r="Q37" s="1790" t="str">
        <f t="shared" si="14"/>
        <v>工程地质条件</v>
      </c>
      <c r="R37" s="770" t="s">
        <v>17</v>
      </c>
      <c r="S37" s="771">
        <f t="shared" si="10"/>
        <v>100</v>
      </c>
      <c r="T37" s="770" t="s">
        <v>17</v>
      </c>
      <c r="U37" s="771">
        <f t="shared" si="11"/>
        <v>100</v>
      </c>
      <c r="V37" s="770" t="s">
        <v>17</v>
      </c>
      <c r="W37" s="771">
        <f t="shared" si="12"/>
        <v>100</v>
      </c>
      <c r="X37" s="1793"/>
      <c r="Y37" s="3755"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755"/>
      <c r="Q38" s="1790">
        <f t="shared" si="14"/>
        <v>111</v>
      </c>
      <c r="R38" s="770" t="s">
        <v>17</v>
      </c>
      <c r="S38" s="771">
        <f t="shared" si="10"/>
        <v>100</v>
      </c>
      <c r="T38" s="770" t="s">
        <v>17</v>
      </c>
      <c r="U38" s="771">
        <f t="shared" si="11"/>
        <v>100</v>
      </c>
      <c r="V38" s="770" t="s">
        <v>17</v>
      </c>
      <c r="W38" s="771">
        <f t="shared" si="12"/>
        <v>100</v>
      </c>
      <c r="X38" s="1793"/>
      <c r="Y38" s="3755"/>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755"/>
      <c r="Q39" s="1790">
        <f t="shared" si="14"/>
        <v>111</v>
      </c>
      <c r="R39" s="770" t="s">
        <v>17</v>
      </c>
      <c r="S39" s="771">
        <f t="shared" si="10"/>
        <v>100</v>
      </c>
      <c r="T39" s="770" t="s">
        <v>17</v>
      </c>
      <c r="U39" s="771">
        <f t="shared" si="11"/>
        <v>100</v>
      </c>
      <c r="V39" s="770" t="s">
        <v>17</v>
      </c>
      <c r="W39" s="771">
        <f t="shared" si="12"/>
        <v>100</v>
      </c>
      <c r="X39" s="1793"/>
      <c r="Y39" s="3755"/>
      <c r="Z39" s="1794">
        <f t="shared" si="13"/>
        <v>111</v>
      </c>
      <c r="AA39" s="1791">
        <f t="shared" si="3"/>
        <v>1</v>
      </c>
      <c r="AB39" s="1791">
        <f t="shared" si="4"/>
        <v>1</v>
      </c>
      <c r="AC39" s="1791">
        <f t="shared" si="5"/>
        <v>1</v>
      </c>
    </row>
    <row r="40" spans="1:29" s="470" customFormat="1" ht="15.6"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755"/>
      <c r="Q40" s="1790">
        <f t="shared" si="14"/>
        <v>111</v>
      </c>
      <c r="R40" s="773" t="s">
        <v>17</v>
      </c>
      <c r="S40" s="774">
        <f t="shared" si="10"/>
        <v>100</v>
      </c>
      <c r="T40" s="773" t="s">
        <v>17</v>
      </c>
      <c r="U40" s="774">
        <f t="shared" si="11"/>
        <v>100</v>
      </c>
      <c r="V40" s="773" t="s">
        <v>17</v>
      </c>
      <c r="W40" s="774">
        <f t="shared" si="12"/>
        <v>100</v>
      </c>
      <c r="X40" s="775"/>
      <c r="Y40" s="3755"/>
      <c r="Z40" s="776">
        <f t="shared" si="13"/>
        <v>111</v>
      </c>
      <c r="AA40" s="1791">
        <f t="shared" si="3"/>
        <v>1</v>
      </c>
      <c r="AB40" s="1791">
        <f t="shared" si="4"/>
        <v>1</v>
      </c>
      <c r="AC40" s="1791">
        <f t="shared" si="5"/>
        <v>1</v>
      </c>
    </row>
    <row r="41" spans="1:29" ht="14.4">
      <c r="A41" s="478" t="s">
        <v>2708</v>
      </c>
      <c r="B41" s="2677" t="s">
        <v>2778</v>
      </c>
      <c r="C41" s="680" t="s">
        <v>1</v>
      </c>
      <c r="D41" s="480"/>
      <c r="E41" s="481"/>
      <c r="F41" s="482"/>
      <c r="G41" s="483"/>
      <c r="H41" s="484"/>
      <c r="I41" s="481"/>
      <c r="J41" s="484"/>
      <c r="K41" s="779"/>
      <c r="L41" s="1126"/>
      <c r="M41" s="1114"/>
      <c r="N41" s="1114"/>
      <c r="O41" s="1127"/>
      <c r="P41" s="3757" t="str">
        <f>A41</f>
        <v>成交单价</v>
      </c>
      <c r="Q41" s="3757"/>
      <c r="R41" s="3719">
        <f>E41</f>
        <v>0</v>
      </c>
      <c r="S41" s="3719"/>
      <c r="T41" s="3719">
        <f>G41</f>
        <v>0</v>
      </c>
      <c r="U41" s="3719"/>
      <c r="V41" s="3719">
        <f>I41</f>
        <v>0</v>
      </c>
      <c r="W41" s="3719"/>
      <c r="X41" s="755"/>
      <c r="Y41" s="777"/>
      <c r="Z41" s="755"/>
      <c r="AA41" s="755"/>
      <c r="AB41" s="755"/>
      <c r="AC41" s="755"/>
    </row>
    <row r="42" spans="1:29" ht="1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757" t="str">
        <f>A42</f>
        <v>比较价值（元/平方米）</v>
      </c>
      <c r="Q42" s="3757"/>
      <c r="R42" s="3797" t="e">
        <f>ROUND(PRODUCT(R41,AA7:AA40),0)</f>
        <v>#DIV/0!</v>
      </c>
      <c r="S42" s="3797"/>
      <c r="T42" s="3797" t="e">
        <f>ROUND(PRODUCT(T41,AB7:AB40),0)</f>
        <v>#DIV/0!</v>
      </c>
      <c r="U42" s="3797"/>
      <c r="V42" s="3797" t="e">
        <f>ROUND(PRODUCT(V41,AC7:AC40),0)</f>
        <v>#DIV/0!</v>
      </c>
      <c r="W42" s="3797"/>
      <c r="X42" s="755"/>
      <c r="Y42" s="755"/>
      <c r="Z42" s="755"/>
      <c r="AA42" s="755"/>
      <c r="AB42" s="755"/>
      <c r="AC42" s="755"/>
    </row>
    <row r="43" spans="1:29" ht="15" thickBot="1">
      <c r="A43" s="491" t="s">
        <v>2658</v>
      </c>
      <c r="B43" s="492"/>
      <c r="C43" s="493" t="e">
        <f>R43</f>
        <v>#DIV/0!</v>
      </c>
      <c r="D43" s="493"/>
      <c r="E43" s="493"/>
      <c r="F43" s="493"/>
      <c r="G43" s="493"/>
      <c r="H43" s="493"/>
      <c r="I43" s="493"/>
      <c r="J43" s="493"/>
      <c r="K43" s="781"/>
      <c r="L43" s="1126"/>
      <c r="M43" s="1114"/>
      <c r="N43" s="1114"/>
      <c r="O43" s="1127"/>
      <c r="P43" s="3759" t="str">
        <f>A43</f>
        <v>估价对象XX用房的比较价值（楼面单价，元/平方米）</v>
      </c>
      <c r="Q43" s="3760"/>
      <c r="R43" s="3796" t="e">
        <f>ROUND(AVERAGE(R42:V42),0)</f>
        <v>#DIV/0!</v>
      </c>
      <c r="S43" s="3796"/>
      <c r="T43" s="3796"/>
      <c r="U43" s="3796"/>
      <c r="V43" s="3796"/>
      <c r="W43" s="3796"/>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4.4" thickBot="1">
      <c r="A49" s="1128"/>
      <c r="B49" s="1129"/>
      <c r="C49" s="758"/>
      <c r="D49" s="756"/>
      <c r="E49" s="756"/>
      <c r="F49" s="756"/>
      <c r="G49" s="756"/>
      <c r="H49" s="756"/>
      <c r="I49" s="756"/>
      <c r="J49" s="756"/>
      <c r="K49" s="1131"/>
      <c r="L49" s="1132"/>
      <c r="M49" s="1128"/>
      <c r="N49" s="1128"/>
      <c r="O49" s="1128"/>
    </row>
    <row r="50" spans="1:17" ht="28.8">
      <c r="A50" s="682" t="s">
        <v>2740</v>
      </c>
      <c r="B50" s="683" t="s">
        <v>2741</v>
      </c>
      <c r="C50" s="2678" t="s">
        <v>2742</v>
      </c>
      <c r="D50" s="2679" t="s">
        <v>2743</v>
      </c>
      <c r="E50" s="684" t="s">
        <v>2744</v>
      </c>
      <c r="F50" s="685" t="s">
        <v>2745</v>
      </c>
      <c r="G50" s="3735" t="s">
        <v>2746</v>
      </c>
      <c r="H50" s="3798"/>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42164.249999999993</v>
      </c>
      <c r="F51" s="689" t="e">
        <f t="shared" ref="F51:F60" si="15">ROUND(B51*E51/10000,0)</f>
        <v>#DIV/0!</v>
      </c>
      <c r="G51" s="3734"/>
      <c r="H51" s="3757"/>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99"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99"/>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99"/>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99"/>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4.4"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4.4" thickBot="1">
      <c r="A61" s="693" t="s">
        <v>2762</v>
      </c>
      <c r="B61" s="694" t="s">
        <v>28</v>
      </c>
      <c r="C61" s="694" t="s">
        <v>29</v>
      </c>
      <c r="D61" s="694" t="s">
        <v>1026</v>
      </c>
      <c r="E61" s="694">
        <f>IF(B41="楼面地价",SUM(E51:E60),'数据-汇总表'!D3)</f>
        <v>9680.74</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2.2" thickBot="1">
      <c r="A64" s="759" t="s">
        <v>2662</v>
      </c>
      <c r="B64" s="755"/>
      <c r="C64" s="760"/>
      <c r="D64" s="760"/>
      <c r="E64" s="760"/>
      <c r="F64" s="761"/>
      <c r="G64" s="761"/>
      <c r="H64" s="760"/>
      <c r="I64" s="760"/>
      <c r="J64" s="760"/>
      <c r="K64" s="762"/>
      <c r="L64" s="763"/>
      <c r="M64" s="760"/>
      <c r="N64" s="760"/>
      <c r="O64" s="1142"/>
      <c r="P64" s="502"/>
      <c r="Q64" s="503"/>
    </row>
    <row r="65" spans="1:17" s="507" customFormat="1" ht="14.4">
      <c r="A65" s="2683"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 thickBot="1">
      <c r="A67" s="514" t="s">
        <v>2573</v>
      </c>
      <c r="B67" s="515"/>
      <c r="C67" s="516"/>
      <c r="D67" s="517"/>
      <c r="E67" s="517"/>
      <c r="F67" s="517"/>
      <c r="G67" s="517"/>
      <c r="H67" s="517"/>
      <c r="I67" s="517"/>
      <c r="J67" s="517"/>
      <c r="K67" s="517"/>
      <c r="L67" s="517"/>
      <c r="M67" s="518"/>
      <c r="N67" s="518"/>
      <c r="O67" s="519"/>
      <c r="P67" s="503"/>
      <c r="Q67" s="503"/>
    </row>
    <row r="68" spans="1:17" s="117" customFormat="1" ht="14.4">
      <c r="A68" s="520" t="s">
        <v>2538</v>
      </c>
      <c r="B68" s="509"/>
      <c r="C68" s="521" t="s">
        <v>2640</v>
      </c>
      <c r="D68" s="522"/>
      <c r="E68" s="522"/>
      <c r="F68" s="522"/>
      <c r="G68" s="522"/>
      <c r="H68" s="522"/>
      <c r="I68" s="522"/>
      <c r="J68" s="522"/>
      <c r="K68" s="522"/>
      <c r="L68" s="523"/>
      <c r="M68" s="524"/>
      <c r="N68" s="1134"/>
      <c r="O68" s="1134"/>
      <c r="P68" s="525"/>
      <c r="Q68" s="503"/>
    </row>
    <row r="69" spans="1:17" s="117" customFormat="1" ht="14.4" thickBot="1">
      <c r="A69" s="520"/>
      <c r="B69" s="509"/>
      <c r="C69" s="638">
        <v>100</v>
      </c>
      <c r="D69" s="511"/>
      <c r="E69" s="511"/>
      <c r="F69" s="511"/>
      <c r="G69" s="511"/>
      <c r="H69" s="511"/>
      <c r="I69" s="511"/>
      <c r="J69" s="511"/>
      <c r="K69" s="511"/>
      <c r="L69" s="511"/>
      <c r="M69" s="513"/>
      <c r="N69" s="1134"/>
      <c r="O69" s="1134"/>
      <c r="P69" s="503"/>
      <c r="Q69" s="503"/>
    </row>
    <row r="70" spans="1:17" ht="14.4">
      <c r="A70" s="526" t="s">
        <v>2576</v>
      </c>
      <c r="B70" s="527" t="s">
        <v>2542</v>
      </c>
      <c r="C70" s="529"/>
      <c r="D70" s="529"/>
      <c r="E70" s="529"/>
      <c r="F70" s="529"/>
      <c r="G70" s="529"/>
      <c r="H70" s="529"/>
      <c r="I70" s="529"/>
      <c r="J70" s="529"/>
      <c r="K70" s="530"/>
      <c r="L70" s="531"/>
      <c r="M70" s="532"/>
      <c r="N70" s="1135"/>
      <c r="O70" s="1135"/>
      <c r="P70" s="45"/>
      <c r="Q70" s="503"/>
    </row>
    <row r="71" spans="1:17" ht="14.4" thickBot="1">
      <c r="A71" s="533"/>
      <c r="B71" s="534"/>
      <c r="C71" s="535"/>
      <c r="D71" s="535"/>
      <c r="E71" s="535"/>
      <c r="F71" s="535"/>
      <c r="G71" s="535"/>
      <c r="H71" s="535"/>
      <c r="I71" s="535"/>
      <c r="J71" s="535"/>
      <c r="K71" s="535"/>
      <c r="L71" s="535"/>
      <c r="M71" s="536"/>
      <c r="N71" s="1136"/>
      <c r="O71" s="1136"/>
      <c r="P71" s="45"/>
      <c r="Q71" s="503"/>
    </row>
    <row r="72" spans="1:17" ht="29.4" thickTop="1">
      <c r="A72" s="533"/>
      <c r="B72" s="537" t="s">
        <v>2545</v>
      </c>
      <c r="C72" s="538"/>
      <c r="D72" s="538"/>
      <c r="E72" s="538"/>
      <c r="F72" s="538"/>
      <c r="G72" s="538"/>
      <c r="H72" s="538"/>
      <c r="I72" s="538"/>
      <c r="J72" s="538"/>
      <c r="K72" s="539"/>
      <c r="L72" s="540"/>
      <c r="M72" s="541"/>
      <c r="N72" s="1135"/>
      <c r="O72" s="1135"/>
      <c r="P72" s="45"/>
      <c r="Q72" s="503"/>
    </row>
    <row r="73" spans="1:17" ht="14.4" thickBot="1">
      <c r="A73" s="533"/>
      <c r="B73" s="542"/>
      <c r="C73" s="543"/>
      <c r="D73" s="543"/>
      <c r="E73" s="543"/>
      <c r="F73" s="543"/>
      <c r="G73" s="543"/>
      <c r="H73" s="543"/>
      <c r="I73" s="543"/>
      <c r="J73" s="543"/>
      <c r="K73" s="543"/>
      <c r="L73" s="543"/>
      <c r="M73" s="544"/>
      <c r="N73" s="1136"/>
      <c r="O73" s="1136"/>
      <c r="P73" s="45"/>
      <c r="Q73" s="503"/>
    </row>
    <row r="74" spans="1:17" ht="1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c r="A75" s="533"/>
      <c r="B75" s="547"/>
      <c r="C75" s="548"/>
      <c r="D75" s="548"/>
      <c r="E75" s="548"/>
      <c r="F75" s="548"/>
      <c r="G75" s="548"/>
      <c r="H75" s="548"/>
      <c r="I75" s="548"/>
      <c r="J75" s="548"/>
      <c r="K75" s="549"/>
      <c r="L75" s="550"/>
      <c r="M75" s="551"/>
      <c r="N75" s="1135"/>
      <c r="O75" s="113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4.4" thickTop="1">
      <c r="A77" s="552"/>
      <c r="B77" s="537">
        <f>B12</f>
        <v>111</v>
      </c>
      <c r="C77" s="553"/>
      <c r="D77" s="553"/>
      <c r="E77" s="553"/>
      <c r="F77" s="553"/>
      <c r="G77" s="553"/>
      <c r="H77" s="554"/>
      <c r="I77" s="554"/>
      <c r="J77" s="554"/>
      <c r="K77" s="554"/>
      <c r="L77" s="555"/>
      <c r="M77" s="556"/>
      <c r="N77" s="1137"/>
      <c r="O77" s="1137"/>
      <c r="P77" s="557"/>
      <c r="Q77" s="558"/>
    </row>
    <row r="78" spans="1:17" s="470" customFormat="1" ht="14.4" thickBot="1">
      <c r="A78" s="552"/>
      <c r="B78" s="542"/>
      <c r="C78" s="559"/>
      <c r="D78" s="535"/>
      <c r="E78" s="535"/>
      <c r="F78" s="535"/>
      <c r="G78" s="535"/>
      <c r="H78" s="535"/>
      <c r="I78" s="535"/>
      <c r="J78" s="535"/>
      <c r="K78" s="535"/>
      <c r="L78" s="535"/>
      <c r="M78" s="536"/>
      <c r="N78" s="1136"/>
      <c r="O78" s="1136"/>
      <c r="P78" s="557"/>
      <c r="Q78" s="558"/>
    </row>
    <row r="79" spans="1:17" s="470" customFormat="1" ht="14.4" thickTop="1">
      <c r="A79" s="552"/>
      <c r="B79" s="537">
        <f>B13</f>
        <v>111</v>
      </c>
      <c r="C79" s="553"/>
      <c r="D79" s="553"/>
      <c r="E79" s="553"/>
      <c r="F79" s="553"/>
      <c r="G79" s="553"/>
      <c r="H79" s="554"/>
      <c r="I79" s="554"/>
      <c r="J79" s="554"/>
      <c r="K79" s="554"/>
      <c r="L79" s="555"/>
      <c r="M79" s="556"/>
      <c r="N79" s="1137"/>
      <c r="O79" s="1137"/>
      <c r="P79" s="469"/>
      <c r="Q79" s="560"/>
    </row>
    <row r="80" spans="1:17" s="470" customFormat="1" ht="14.4" thickBot="1">
      <c r="A80" s="552"/>
      <c r="B80" s="542"/>
      <c r="C80" s="559"/>
      <c r="D80" s="559"/>
      <c r="E80" s="559"/>
      <c r="F80" s="559"/>
      <c r="G80" s="559"/>
      <c r="H80" s="561"/>
      <c r="I80" s="561"/>
      <c r="J80" s="561"/>
      <c r="K80" s="561"/>
      <c r="L80" s="561"/>
      <c r="M80" s="562"/>
      <c r="N80" s="1137"/>
      <c r="O80" s="1137"/>
      <c r="P80" s="557"/>
      <c r="Q80" s="558"/>
    </row>
    <row r="81" spans="1:17" s="470" customFormat="1" ht="14.4" thickTop="1">
      <c r="A81" s="552"/>
      <c r="B81" s="545">
        <f>B14</f>
        <v>111</v>
      </c>
      <c r="C81" s="522"/>
      <c r="D81" s="522"/>
      <c r="E81" s="522"/>
      <c r="F81" s="522"/>
      <c r="G81" s="522"/>
      <c r="H81" s="563"/>
      <c r="I81" s="563"/>
      <c r="J81" s="563"/>
      <c r="K81" s="563"/>
      <c r="L81" s="564"/>
      <c r="M81" s="565"/>
      <c r="N81" s="1137"/>
      <c r="O81" s="1137"/>
      <c r="P81" s="566"/>
      <c r="Q81" s="558"/>
    </row>
    <row r="82" spans="1:17" s="470" customFormat="1" ht="14.4" thickBot="1">
      <c r="A82" s="567"/>
      <c r="B82" s="568"/>
      <c r="C82" s="569"/>
      <c r="D82" s="569"/>
      <c r="E82" s="569"/>
      <c r="F82" s="569"/>
      <c r="G82" s="569"/>
      <c r="H82" s="570"/>
      <c r="I82" s="570"/>
      <c r="J82" s="570"/>
      <c r="K82" s="570"/>
      <c r="L82" s="570"/>
      <c r="M82" s="571"/>
      <c r="N82" s="1137"/>
      <c r="O82" s="1137"/>
      <c r="P82" s="557"/>
      <c r="Q82" s="558"/>
    </row>
    <row r="83" spans="1:17" ht="14.4">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29.4"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9.4"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9.4" thickTop="1">
      <c r="A97" s="533"/>
      <c r="B97" s="537" t="s">
        <v>2679</v>
      </c>
      <c r="C97" s="553"/>
      <c r="D97" s="553"/>
      <c r="E97" s="553"/>
      <c r="F97" s="553"/>
      <c r="G97" s="553"/>
      <c r="H97" s="582"/>
      <c r="I97" s="582"/>
      <c r="J97" s="582"/>
      <c r="K97" s="583"/>
      <c r="L97" s="584"/>
      <c r="M97" s="585"/>
      <c r="N97" s="1135"/>
      <c r="O97" s="113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 thickTop="1">
      <c r="A99" s="533"/>
      <c r="B99" s="537" t="s">
        <v>2734</v>
      </c>
      <c r="C99" s="582"/>
      <c r="D99" s="582"/>
      <c r="E99" s="582"/>
      <c r="F99" s="582"/>
      <c r="G99" s="582"/>
      <c r="H99" s="582"/>
      <c r="I99" s="582"/>
      <c r="J99" s="582"/>
      <c r="K99" s="583"/>
      <c r="L99" s="584"/>
      <c r="M99" s="585"/>
      <c r="N99" s="1135"/>
      <c r="O99" s="113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4.4" thickTop="1">
      <c r="A101" s="533"/>
      <c r="B101" s="545">
        <f>B31</f>
        <v>111</v>
      </c>
      <c r="C101" s="553"/>
      <c r="D101" s="553"/>
      <c r="E101" s="553"/>
      <c r="F101" s="553"/>
      <c r="G101" s="586"/>
      <c r="H101" s="586"/>
      <c r="I101" s="586"/>
      <c r="J101" s="586"/>
      <c r="K101" s="587"/>
      <c r="L101" s="588"/>
      <c r="M101" s="589"/>
      <c r="N101" s="1135"/>
      <c r="O101" s="1135"/>
      <c r="P101" s="45"/>
      <c r="Q101" s="503"/>
    </row>
    <row r="102" spans="1:17" ht="14.4" thickBot="1">
      <c r="A102" s="533"/>
      <c r="B102" s="568"/>
      <c r="C102" s="559"/>
      <c r="D102" s="535"/>
      <c r="E102" s="535"/>
      <c r="F102" s="535"/>
      <c r="G102" s="590"/>
      <c r="H102" s="590"/>
      <c r="I102" s="590"/>
      <c r="J102" s="590"/>
      <c r="K102" s="590"/>
      <c r="L102" s="590"/>
      <c r="M102" s="591"/>
      <c r="N102" s="1136"/>
      <c r="O102" s="1136"/>
      <c r="P102" s="45"/>
      <c r="Q102" s="503"/>
    </row>
    <row r="103" spans="1:17" ht="14.4" thickTop="1">
      <c r="A103" s="674"/>
      <c r="B103" s="537">
        <f>B32</f>
        <v>111</v>
      </c>
      <c r="C103" s="553"/>
      <c r="D103" s="553"/>
      <c r="E103" s="553"/>
      <c r="F103" s="553"/>
      <c r="G103" s="582"/>
      <c r="H103" s="582"/>
      <c r="I103" s="582"/>
      <c r="J103" s="582"/>
      <c r="K103" s="583"/>
      <c r="L103" s="584"/>
      <c r="M103" s="585"/>
      <c r="N103" s="1135"/>
      <c r="O103" s="1135"/>
      <c r="P103" s="45"/>
      <c r="Q103" s="503"/>
    </row>
    <row r="104" spans="1:17" ht="14.4" thickBot="1">
      <c r="A104" s="533"/>
      <c r="B104" s="542"/>
      <c r="C104" s="559"/>
      <c r="D104" s="559"/>
      <c r="E104" s="559"/>
      <c r="F104" s="559"/>
      <c r="G104" s="535"/>
      <c r="H104" s="535"/>
      <c r="I104" s="535"/>
      <c r="J104" s="535"/>
      <c r="K104" s="535"/>
      <c r="L104" s="535"/>
      <c r="M104" s="536"/>
      <c r="N104" s="1136"/>
      <c r="O104" s="1136"/>
      <c r="P104" s="45"/>
      <c r="Q104" s="503"/>
    </row>
    <row r="105" spans="1:17" s="470" customFormat="1" ht="14.4"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4.4" thickBot="1">
      <c r="A106" s="552"/>
      <c r="B106" s="545"/>
      <c r="C106" s="569"/>
      <c r="D106" s="569"/>
      <c r="E106" s="569"/>
      <c r="F106" s="569"/>
      <c r="G106" s="676"/>
      <c r="H106" s="676"/>
      <c r="I106" s="676"/>
      <c r="J106" s="676"/>
      <c r="K106" s="676"/>
      <c r="L106" s="676"/>
      <c r="M106" s="697"/>
      <c r="N106" s="1136"/>
      <c r="O106" s="1136"/>
      <c r="P106" s="557"/>
      <c r="Q106" s="558"/>
    </row>
    <row r="107" spans="1:17" ht="14.4">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c r="A108" s="533"/>
      <c r="B108" s="545"/>
      <c r="C108" s="594"/>
      <c r="D108" s="594"/>
      <c r="E108" s="594"/>
      <c r="F108" s="594"/>
      <c r="G108" s="594"/>
      <c r="H108" s="594"/>
      <c r="I108" s="594"/>
      <c r="J108" s="595"/>
      <c r="K108" s="595"/>
      <c r="L108" s="596"/>
      <c r="M108" s="597"/>
      <c r="N108" s="1135"/>
      <c r="O108" s="1135"/>
      <c r="P108" s="45"/>
      <c r="Q108" s="503"/>
    </row>
    <row r="109" spans="1:17" ht="14.4"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4.4" thickTop="1">
      <c r="A116" s="598"/>
      <c r="B116" s="537">
        <f>B38</f>
        <v>111</v>
      </c>
      <c r="C116" s="553"/>
      <c r="D116" s="553"/>
      <c r="E116" s="553"/>
      <c r="F116" s="553"/>
      <c r="G116" s="553"/>
      <c r="H116" s="582"/>
      <c r="I116" s="582"/>
      <c r="J116" s="582"/>
      <c r="K116" s="583"/>
      <c r="L116" s="584"/>
      <c r="M116" s="585"/>
      <c r="N116" s="1135"/>
      <c r="O116" s="1135"/>
      <c r="P116" s="45"/>
      <c r="Q116" s="503"/>
    </row>
    <row r="117" spans="1:17" ht="14.4" thickBot="1">
      <c r="A117" s="533"/>
      <c r="B117" s="542"/>
      <c r="C117" s="559"/>
      <c r="D117" s="535"/>
      <c r="E117" s="535"/>
      <c r="F117" s="535"/>
      <c r="G117" s="535"/>
      <c r="H117" s="535"/>
      <c r="I117" s="535"/>
      <c r="J117" s="535"/>
      <c r="K117" s="535"/>
      <c r="L117" s="535"/>
      <c r="M117" s="536"/>
      <c r="N117" s="1136"/>
      <c r="O117" s="1136"/>
      <c r="P117" s="45"/>
      <c r="Q117" s="503"/>
    </row>
    <row r="118" spans="1:17" ht="14.4" thickTop="1">
      <c r="A118" s="598"/>
      <c r="B118" s="537">
        <f>B39</f>
        <v>111</v>
      </c>
      <c r="C118" s="553"/>
      <c r="D118" s="553"/>
      <c r="E118" s="553"/>
      <c r="F118" s="553"/>
      <c r="G118" s="582"/>
      <c r="H118" s="582"/>
      <c r="I118" s="582"/>
      <c r="J118" s="582"/>
      <c r="K118" s="583"/>
      <c r="L118" s="584"/>
      <c r="M118" s="585"/>
      <c r="N118" s="1135"/>
      <c r="O118" s="1135"/>
      <c r="P118" s="45"/>
      <c r="Q118" s="503"/>
    </row>
    <row r="119" spans="1:17" ht="14.4" thickBot="1">
      <c r="A119" s="533"/>
      <c r="B119" s="542"/>
      <c r="C119" s="559"/>
      <c r="D119" s="559"/>
      <c r="E119" s="559"/>
      <c r="F119" s="559"/>
      <c r="G119" s="535"/>
      <c r="H119" s="535"/>
      <c r="I119" s="535"/>
      <c r="J119" s="535"/>
      <c r="K119" s="535"/>
      <c r="L119" s="535"/>
      <c r="M119" s="536"/>
      <c r="N119" s="1136"/>
      <c r="O119" s="1136"/>
      <c r="P119" s="45"/>
      <c r="Q119" s="503"/>
    </row>
    <row r="120" spans="1:17" s="470" customFormat="1" ht="14.4"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4.4"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xr:uid="{00000000-0002-0000-2E00-000000000000}">
      <formula1>单价内涵</formula1>
    </dataValidation>
    <dataValidation type="list" allowBlank="1" showInputMessage="1" showErrorMessage="1" sqref="C22 E22 G22 I22" xr:uid="{00000000-0002-0000-2E00-000001000000}">
      <formula1>环境</formula1>
    </dataValidation>
    <dataValidation type="list" allowBlank="1" showInputMessage="1" showErrorMessage="1" sqref="E18 C18 G18 I18" xr:uid="{00000000-0002-0000-2E00-000002000000}">
      <formula1>交通便捷度</formula1>
    </dataValidation>
    <dataValidation type="list" allowBlank="1" showInputMessage="1" showErrorMessage="1" sqref="E24 C24 G24 I24" xr:uid="{00000000-0002-0000-2E00-000003000000}">
      <formula1>公共配套设施</formula1>
    </dataValidation>
    <dataValidation type="list" allowBlank="1" showInputMessage="1" showErrorMessage="1" sqref="C8 E8 G8 I8" xr:uid="{00000000-0002-0000-2E00-000004000000}">
      <formula1>套工交易情况</formula1>
    </dataValidation>
    <dataValidation type="list" allowBlank="1" showInputMessage="1" showErrorMessage="1" sqref="C9 E9 G9 I9" xr:uid="{00000000-0002-0000-2E00-000005000000}">
      <formula1>套工用途</formula1>
    </dataValidation>
    <dataValidation type="list" allowBlank="1" showInputMessage="1" showErrorMessage="1" sqref="I30 E30 G30" xr:uid="{00000000-0002-0000-2E00-000006000000}">
      <formula1>套工土地级别</formula1>
    </dataValidation>
    <dataValidation type="list" allowBlank="1" showInputMessage="1" showErrorMessage="1" sqref="C27 E27 G27 I27" xr:uid="{00000000-0002-0000-2E00-000007000000}">
      <formula1>临街状况</formula1>
    </dataValidation>
    <dataValidation type="list" allowBlank="1" showInputMessage="1" showErrorMessage="1" sqref="E20 G20 I20 C20" xr:uid="{00000000-0002-0000-2E00-000008000000}">
      <formula1>区域土地利用方向</formula1>
    </dataValidation>
    <dataValidation type="list" allowBlank="1" showInputMessage="1" showErrorMessage="1" sqref="C50" xr:uid="{00000000-0002-0000-2E00-000009000000}">
      <formula1>"北京市系数,其他省市系数"</formula1>
    </dataValidation>
    <dataValidation type="list" allowBlank="1" showInputMessage="1" showErrorMessage="1" sqref="C16 E16 G16 I16" xr:uid="{00000000-0002-0000-2E00-00000A000000}">
      <formula1>产业集聚程度</formula1>
    </dataValidation>
    <dataValidation type="list" allowBlank="1" showInputMessage="1" showErrorMessage="1" sqref="C29 E29 G29 I29" xr:uid="{00000000-0002-0000-2E00-00000B000000}">
      <formula1>套工道路等级</formula1>
    </dataValidation>
    <dataValidation type="list" allowBlank="1" showInputMessage="1" showErrorMessage="1" sqref="C35 E35 G35 I35" xr:uid="{00000000-0002-0000-2E00-00000C000000}">
      <formula1>套工宗地形状</formula1>
    </dataValidation>
    <dataValidation type="list" allowBlank="1" showInputMessage="1" showErrorMessage="1" sqref="C36 E36 G36 I36" xr:uid="{00000000-0002-0000-2E00-00000D000000}">
      <formula1>套工宗地开发程度</formula1>
    </dataValidation>
    <dataValidation type="list" allowBlank="1" showInputMessage="1" showErrorMessage="1" sqref="C37 E37 G37 I37" xr:uid="{00000000-0002-0000-2E00-00000E000000}">
      <formula1>套工地质条件</formula1>
    </dataValidation>
    <dataValidation type="list" allowBlank="1" showInputMessage="1" showErrorMessage="1" sqref="G58" xr:uid="{00000000-0002-0000-2E00-00000F000000}">
      <formula1>"住宅,工业"</formula1>
    </dataValidation>
    <dataValidation type="list" allowBlank="1" showInputMessage="1" showErrorMessage="1" sqref="G57" xr:uid="{00000000-0002-0000-2E00-000010000000}">
      <formula1>"商业,办公,住宅,工业"</formula1>
    </dataValidation>
    <dataValidation type="list" allowBlank="1" showInputMessage="1" showErrorMessage="1" sqref="D52:D60" xr:uid="{00000000-0002-0000-2E00-000011000000}">
      <formula1>"25%,1"</formula1>
    </dataValidation>
    <dataValidation type="list" allowBlank="1" showInputMessage="1" showErrorMessage="1" sqref="C26 E26 G26 I26" xr:uid="{00000000-0002-0000-2E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topLeftCell="A25"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48</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3015"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3665</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024" t="s">
        <v>1406</v>
      </c>
      <c r="E14" s="3023"/>
      <c r="F14" s="364"/>
      <c r="G14" s="1831"/>
      <c r="H14" s="1183" t="s">
        <v>1032</v>
      </c>
      <c r="I14" s="347" t="s">
        <v>1407</v>
      </c>
      <c r="J14" s="24" t="e">
        <f ca="1">C29</f>
        <v>#N/A</v>
      </c>
      <c r="K14" s="3014"/>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027"/>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012"/>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t="e">
        <f ca="1">ROUND(J14*M22,1)</f>
        <v>#N/A</v>
      </c>
      <c r="K22" s="3026"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026"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027"/>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026"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026"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40.200000000000003" thickBot="1">
      <c r="A48" s="1342" t="s">
        <v>1125</v>
      </c>
      <c r="B48" s="345" t="s">
        <v>1389</v>
      </c>
      <c r="C48" s="3011"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8"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8"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8"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24.6" thickBot="1">
      <c r="A54" s="1387"/>
      <c r="B54" s="1805" t="s">
        <v>1376</v>
      </c>
      <c r="C54" s="1160"/>
      <c r="D54" s="1804"/>
      <c r="E54" s="3016"/>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8" thickBot="1">
      <c r="A55" s="1315" t="s">
        <v>1072</v>
      </c>
      <c r="B55" s="1807" t="s">
        <v>1401</v>
      </c>
      <c r="C55" s="1316"/>
      <c r="D55" s="1804"/>
      <c r="E55" s="3016"/>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6"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6"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6"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2"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8"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8"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8"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8" thickBot="1">
      <c r="A64" s="1183" t="s">
        <v>1036</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2"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24.6"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2"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8"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8" thickBot="1">
      <c r="A70" s="1155"/>
      <c r="B70" s="1156"/>
      <c r="C70" s="355"/>
      <c r="D70" s="1167"/>
      <c r="E70" s="1151" t="s">
        <v>1465</v>
      </c>
      <c r="F70" s="1257"/>
      <c r="O70" s="1874" t="s">
        <v>1046</v>
      </c>
      <c r="P70" s="1913" t="s">
        <v>1573</v>
      </c>
      <c r="Q70" s="1866" t="e">
        <f ca="1">C13</f>
        <v>#N/A</v>
      </c>
      <c r="R70" s="1866" t="s">
        <v>1517</v>
      </c>
    </row>
    <row r="71" spans="1:18" s="1822" customFormat="1" ht="13.8"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#N/A</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8"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xr:uid="{00000000-0002-0000-2F00-000000000000}">
      <formula1>"按租金收入计税,按房产原值计税"</formula1>
    </dataValidation>
    <dataValidation type="list" allowBlank="1" showInputMessage="1" showErrorMessage="1" sqref="D33 D61" xr:uid="{00000000-0002-0000-2F00-000001000000}">
      <formula1>"按租金收入计税,按房产原值计税,按票据"</formula1>
    </dataValidation>
    <dataValidation type="list" allowBlank="1" showInputMessage="1" showErrorMessage="1" sqref="C1" xr:uid="{00000000-0002-0000-2F00-000002000000}">
      <formula1>项目类型</formula1>
    </dataValidation>
    <dataValidation type="list" allowBlank="1" showInputMessage="1" showErrorMessage="1" sqref="J47" xr:uid="{00000000-0002-0000-2F00-000003000000}">
      <formula1>"钢,钢混,砖混"</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56" xr:uid="{00000000-0002-0000-2F00-000005000000}">
      <formula1>判定</formula1>
    </dataValidation>
    <dataValidation type="list" allowBlank="1" showInputMessage="1" showErrorMessage="1" sqref="L55" xr:uid="{00000000-0002-0000-2F00-000006000000}">
      <formula1>"比较法,基准地价,收益还原"</formula1>
    </dataValidation>
    <dataValidation type="list" allowBlank="1" showInputMessage="1" showErrorMessage="1" sqref="M10 F10 F53"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I512"/>
  <sheetViews>
    <sheetView view="pageBreakPreview" zoomScaleNormal="100" zoomScaleSheetLayoutView="100" zoomScalePageLayoutView="80" workbookViewId="0">
      <selection activeCell="G14" sqref="G14"/>
    </sheetView>
  </sheetViews>
  <sheetFormatPr defaultColWidth="12.6640625" defaultRowHeight="21.75" customHeight="1"/>
  <cols>
    <col min="1" max="2" width="12.6640625" style="2395"/>
    <col min="3" max="4" width="12.6640625" style="2395" customWidth="1"/>
    <col min="5" max="9" width="12.6640625" style="2395"/>
    <col min="10" max="11" width="12.6640625" style="790" customWidth="1"/>
    <col min="12" max="12" width="12.6640625" style="790"/>
    <col min="13" max="13" width="14.109375" style="790" bestFit="1" customWidth="1"/>
    <col min="14" max="26" width="12.6640625" style="790"/>
    <col min="27" max="35" width="12.6640625" style="2394"/>
    <col min="36" max="16384" width="12.6640625" style="2395"/>
  </cols>
  <sheetData>
    <row r="1" spans="1:12" ht="21.75" customHeight="1" thickBot="1">
      <c r="A1" s="2200" t="s">
        <v>2105</v>
      </c>
      <c r="B1" s="2389"/>
      <c r="C1" s="2390" t="s">
        <v>3634</v>
      </c>
      <c r="D1" s="2389"/>
      <c r="E1" s="2389"/>
      <c r="F1" s="2391" t="s">
        <v>2106</v>
      </c>
      <c r="G1" s="2045" t="s">
        <v>3051</v>
      </c>
      <c r="H1" s="2392" t="str">
        <f>IF(G1="现房","——","估价对象范围")</f>
        <v>——</v>
      </c>
      <c r="I1" s="2393"/>
    </row>
    <row r="2" spans="1:12" ht="21.75" customHeight="1" thickBot="1">
      <c r="A2" s="3648" t="str">
        <f>项目基本情况!S2</f>
        <v>北京市朝阳区广顺北大街16号院1、2、3号楼房地产</v>
      </c>
      <c r="B2" s="3649"/>
      <c r="C2" s="3649"/>
      <c r="D2" s="3649"/>
      <c r="E2" s="3649"/>
      <c r="F2" s="3649"/>
      <c r="G2" s="3649"/>
      <c r="H2" s="3649"/>
      <c r="I2" s="3650"/>
    </row>
    <row r="3" spans="1:12" ht="13.2">
      <c r="A3" s="3651" t="s">
        <v>2107</v>
      </c>
      <c r="B3" s="3652"/>
      <c r="C3" s="3652"/>
      <c r="D3" s="3652"/>
      <c r="E3" s="3652"/>
      <c r="F3" s="3652"/>
      <c r="G3" s="3652"/>
      <c r="H3" s="3652"/>
      <c r="I3" s="3652"/>
    </row>
    <row r="4" spans="1:12" ht="14.4">
      <c r="A4" s="2396" t="s">
        <v>2108</v>
      </c>
      <c r="B4" s="2397" t="s">
        <v>2109</v>
      </c>
      <c r="C4" s="2398" t="s">
        <v>3650</v>
      </c>
      <c r="D4" s="2398" t="s">
        <v>3646</v>
      </c>
      <c r="E4" s="3635" t="s">
        <v>2110</v>
      </c>
      <c r="F4" s="3645"/>
      <c r="G4" s="3645"/>
      <c r="H4" s="3645"/>
      <c r="I4" s="3636"/>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3626" t="s">
        <v>2111</v>
      </c>
      <c r="B5" s="3521">
        <v>25</v>
      </c>
      <c r="C5" s="3653"/>
      <c r="D5" s="3641"/>
      <c r="E5" s="140" t="s">
        <v>2112</v>
      </c>
      <c r="F5" s="2400"/>
      <c r="G5" s="2400"/>
      <c r="H5" s="2400"/>
      <c r="I5" s="1811"/>
    </row>
    <row r="6" spans="1:12" ht="13.2">
      <c r="A6" s="3626"/>
      <c r="B6" s="3521"/>
      <c r="C6" s="3655"/>
      <c r="D6" s="3641"/>
      <c r="E6" s="140" t="s">
        <v>2113</v>
      </c>
      <c r="F6" s="2400"/>
      <c r="G6" s="2400"/>
      <c r="H6" s="2400"/>
      <c r="I6" s="1811"/>
    </row>
    <row r="7" spans="1:12" ht="13.2">
      <c r="A7" s="3626"/>
      <c r="B7" s="3521"/>
      <c r="C7" s="3654"/>
      <c r="D7" s="3641"/>
      <c r="E7" s="140" t="s">
        <v>2114</v>
      </c>
      <c r="F7" s="2400"/>
      <c r="G7" s="2400"/>
      <c r="H7" s="2400"/>
      <c r="I7" s="1811"/>
    </row>
    <row r="8" spans="1:12" ht="13.2">
      <c r="A8" s="3626" t="s">
        <v>2115</v>
      </c>
      <c r="B8" s="3521">
        <v>15</v>
      </c>
      <c r="C8" s="3653"/>
      <c r="D8" s="3641"/>
      <c r="E8" s="140" t="s">
        <v>2116</v>
      </c>
      <c r="F8" s="2400"/>
      <c r="G8" s="2400"/>
      <c r="H8" s="2400"/>
      <c r="I8" s="1811"/>
    </row>
    <row r="9" spans="1:12" ht="13.2">
      <c r="A9" s="3626"/>
      <c r="B9" s="3521"/>
      <c r="C9" s="3654"/>
      <c r="D9" s="3641"/>
      <c r="E9" s="140" t="s">
        <v>2117</v>
      </c>
      <c r="F9" s="2400"/>
      <c r="G9" s="2400"/>
      <c r="H9" s="2400"/>
      <c r="I9" s="1811"/>
    </row>
    <row r="10" spans="1:12" ht="13.2">
      <c r="A10" s="3626" t="s">
        <v>2118</v>
      </c>
      <c r="B10" s="3521">
        <v>15</v>
      </c>
      <c r="C10" s="3653"/>
      <c r="D10" s="3641"/>
      <c r="E10" s="140" t="s">
        <v>2119</v>
      </c>
      <c r="F10" s="2400"/>
      <c r="G10" s="2400"/>
      <c r="H10" s="2400"/>
      <c r="I10" s="1811"/>
    </row>
    <row r="11" spans="1:12" ht="13.2">
      <c r="A11" s="3626"/>
      <c r="B11" s="3521"/>
      <c r="C11" s="3654"/>
      <c r="D11" s="3641"/>
      <c r="E11" s="140" t="s">
        <v>2120</v>
      </c>
      <c r="F11" s="2400"/>
      <c r="G11" s="2400"/>
      <c r="H11" s="2400"/>
      <c r="I11" s="1811"/>
    </row>
    <row r="12" spans="1:12" ht="13.2">
      <c r="A12" s="3626" t="s">
        <v>2121</v>
      </c>
      <c r="B12" s="3521">
        <v>15</v>
      </c>
      <c r="C12" s="3653"/>
      <c r="D12" s="3641"/>
      <c r="E12" s="140" t="s">
        <v>2122</v>
      </c>
      <c r="F12" s="2400"/>
      <c r="G12" s="2400"/>
      <c r="H12" s="2400"/>
      <c r="I12" s="1811"/>
    </row>
    <row r="13" spans="1:12" ht="13.2">
      <c r="A13" s="3626"/>
      <c r="B13" s="3521"/>
      <c r="C13" s="3654"/>
      <c r="D13" s="3641"/>
      <c r="E13" s="140" t="s">
        <v>2123</v>
      </c>
      <c r="F13" s="2400"/>
      <c r="G13" s="2400"/>
      <c r="H13" s="2400"/>
      <c r="I13" s="1811"/>
    </row>
    <row r="14" spans="1:12" ht="13.2">
      <c r="A14" s="3626" t="s">
        <v>2124</v>
      </c>
      <c r="B14" s="3521">
        <v>30</v>
      </c>
      <c r="C14" s="3653">
        <v>4</v>
      </c>
      <c r="D14" s="3641">
        <v>6</v>
      </c>
      <c r="E14" s="140" t="s">
        <v>2125</v>
      </c>
      <c r="F14" s="2400"/>
      <c r="G14" s="2400"/>
      <c r="H14" s="2400"/>
      <c r="I14" s="1811"/>
    </row>
    <row r="15" spans="1:12" ht="13.2">
      <c r="A15" s="3626"/>
      <c r="B15" s="3521"/>
      <c r="C15" s="3655"/>
      <c r="D15" s="3641"/>
      <c r="E15" s="140" t="s">
        <v>2126</v>
      </c>
      <c r="F15" s="2400"/>
      <c r="G15" s="2400"/>
      <c r="H15" s="2400"/>
      <c r="I15" s="1811"/>
    </row>
    <row r="16" spans="1:12" ht="13.2">
      <c r="A16" s="3626"/>
      <c r="B16" s="3521"/>
      <c r="C16" s="3654"/>
      <c r="D16" s="3641"/>
      <c r="E16" s="140" t="s">
        <v>2127</v>
      </c>
      <c r="F16" s="2400"/>
      <c r="G16" s="2400"/>
      <c r="H16" s="2400"/>
      <c r="I16" s="1811"/>
    </row>
    <row r="17" spans="1:35" ht="14.4">
      <c r="A17" s="2401" t="s">
        <v>2128</v>
      </c>
      <c r="B17" s="64"/>
      <c r="C17" s="141">
        <f>SUM(C5:C16)</f>
        <v>4</v>
      </c>
      <c r="D17" s="141">
        <f>SUM(D5:D16)</f>
        <v>6</v>
      </c>
      <c r="E17" s="138"/>
      <c r="F17" s="138"/>
      <c r="G17" s="138"/>
      <c r="H17" s="138"/>
      <c r="I17" s="138"/>
      <c r="K17" s="2399"/>
      <c r="L17" s="2402" t="s">
        <v>2129</v>
      </c>
      <c r="M17" s="2402" t="s">
        <v>2130</v>
      </c>
    </row>
    <row r="18" spans="1:35" ht="1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4.4">
      <c r="A19" s="2405" t="s">
        <v>2133</v>
      </c>
      <c r="B19" s="2406" t="s">
        <v>2134</v>
      </c>
      <c r="C19" s="143" t="e">
        <f ca="1">SUMIF(INDIRECT("'"&amp;C4&amp;"'"&amp;"!A:A"),结果表酒店!B19,INDIRECT("'"&amp;C4&amp;"'"&amp;"!B:B"))</f>
        <v>#N/A</v>
      </c>
      <c r="D19" s="144" t="e">
        <f ca="1">SUMIF(INDIRECT("'"&amp;D4&amp;"'"&amp;"!A:A"),结果表酒店!B19,INDIRECT("'"&amp;D4&amp;"'"&amp;"!B:B"))</f>
        <v>#N/A</v>
      </c>
      <c r="E19" s="2405" t="s">
        <v>2135</v>
      </c>
      <c r="F19" s="2406" t="s">
        <v>2134</v>
      </c>
      <c r="G19" s="145" t="e">
        <f ca="1">ROUND(C19*$C$18+D19*$D$18,0)</f>
        <v>#N/A</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4.4">
      <c r="A20" s="2408"/>
      <c r="B20" s="1229" t="s">
        <v>2138</v>
      </c>
      <c r="C20" s="146" t="e">
        <f ca="1">SUMIF(INDIRECT("'"&amp;C4&amp;"'"&amp;"!A:A"),结果表酒店!B20,INDIRECT("'"&amp;C4&amp;"'"&amp;"!B:B"))</f>
        <v>#N/A</v>
      </c>
      <c r="D20" s="147">
        <f ca="1">SUMIF(INDIRECT("'"&amp;D4&amp;"'"&amp;"!A:A"),结果表酒店!B20,INDIRECT("'"&amp;D4&amp;"'"&amp;"!B:B"))</f>
        <v>0</v>
      </c>
      <c r="E20" s="2408"/>
      <c r="F20" s="1229" t="s">
        <v>2138</v>
      </c>
      <c r="G20" s="148" t="e">
        <f ca="1">ROUND(C20*$C$18+D20*$D$18,0)</f>
        <v>#N/A</v>
      </c>
      <c r="H20" s="970" t="s">
        <v>2139</v>
      </c>
      <c r="I20" s="138"/>
    </row>
    <row r="21" spans="1:35" ht="15" customHeight="1" thickBot="1">
      <c r="A21" s="990"/>
      <c r="B21" s="2409" t="s">
        <v>2140</v>
      </c>
      <c r="C21" s="784" t="e">
        <f ca="1">ROUND(C19*10000/L19,0)</f>
        <v>#N/A</v>
      </c>
      <c r="D21" s="785" t="e">
        <f ca="1">ROUND(D19*10000/L19,0)</f>
        <v>#N/A</v>
      </c>
      <c r="E21" s="990"/>
      <c r="F21" s="2409" t="s">
        <v>2140</v>
      </c>
      <c r="G21" s="149" t="e">
        <f ca="1">ROUND(G19*10000/L19,0)</f>
        <v>#N/A</v>
      </c>
      <c r="H21" s="2410" t="s">
        <v>2139</v>
      </c>
      <c r="I21" s="138"/>
    </row>
    <row r="22" spans="1:35" ht="15" thickBot="1">
      <c r="A22" s="2255" t="s">
        <v>2141</v>
      </c>
      <c r="B22" s="2411"/>
      <c r="C22" s="2412"/>
      <c r="D22" s="786" t="e">
        <f ca="1">IF(C19&lt;D19,D19/C19-1,C19/D19-1)</f>
        <v>#N/A</v>
      </c>
      <c r="E22" s="138"/>
      <c r="F22" s="138"/>
      <c r="G22" s="138"/>
      <c r="H22" s="138"/>
      <c r="I22" s="138"/>
    </row>
    <row r="23" spans="1:35" ht="13.8" thickBot="1">
      <c r="A23" s="2389"/>
      <c r="B23" s="2389"/>
      <c r="C23" s="2389"/>
      <c r="D23" s="2389"/>
      <c r="E23" s="138"/>
      <c r="F23" s="138"/>
      <c r="G23" s="138"/>
      <c r="H23" s="138"/>
      <c r="I23" s="138"/>
    </row>
    <row r="24" spans="1:35" ht="14.4">
      <c r="A24" s="3662" t="s">
        <v>2142</v>
      </c>
      <c r="B24" s="2406" t="s">
        <v>2134</v>
      </c>
      <c r="C24" s="145">
        <f>IF(B30=0,0,D30)</f>
        <v>0</v>
      </c>
      <c r="D24" s="2413"/>
      <c r="E24" s="138"/>
      <c r="F24" s="138"/>
      <c r="G24" s="138"/>
      <c r="H24" s="138"/>
      <c r="I24" s="138"/>
    </row>
    <row r="25" spans="1:35" ht="14.4">
      <c r="A25" s="366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3.8">
      <c r="A27" s="2415"/>
      <c r="B27" s="151">
        <v>0</v>
      </c>
      <c r="C27" s="151">
        <v>0</v>
      </c>
      <c r="D27" s="152">
        <f>ROUND(C27*B27/10000,0)</f>
        <v>0</v>
      </c>
      <c r="E27" s="138"/>
      <c r="F27" s="138"/>
      <c r="G27" s="138"/>
      <c r="H27" s="138"/>
      <c r="I27" s="138"/>
    </row>
    <row r="28" spans="1:35" ht="13.8">
      <c r="A28" s="2415"/>
      <c r="B28" s="151"/>
      <c r="C28" s="151"/>
      <c r="D28" s="152"/>
      <c r="E28" s="138"/>
      <c r="F28" s="138"/>
      <c r="G28" s="138"/>
      <c r="H28" s="138"/>
      <c r="I28" s="138"/>
    </row>
    <row r="29" spans="1:35" ht="13.8">
      <c r="A29" s="2415"/>
      <c r="B29" s="151"/>
      <c r="C29" s="151"/>
      <c r="D29" s="152"/>
      <c r="E29" s="138"/>
      <c r="F29" s="138"/>
      <c r="G29" s="138"/>
      <c r="H29" s="138"/>
      <c r="I29" s="138"/>
    </row>
    <row r="30" spans="1:35" ht="14.4">
      <c r="A30" s="151" t="s">
        <v>2147</v>
      </c>
      <c r="B30" s="151"/>
      <c r="C30" s="151"/>
      <c r="D30" s="151"/>
      <c r="E30" s="2886" t="s">
        <v>3008</v>
      </c>
      <c r="F30" s="138"/>
      <c r="G30" s="138"/>
      <c r="H30" s="138"/>
      <c r="I30" s="138"/>
    </row>
    <row r="31" spans="1:35" s="2417" customFormat="1" ht="14.4"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 thickBot="1">
      <c r="A32" s="2418" t="s">
        <v>2148</v>
      </c>
      <c r="B32" s="2419"/>
      <c r="C32" s="153" t="e">
        <f ca="1">IF(D32="总价",G19-C24,G20-C25)</f>
        <v>#N/A</v>
      </c>
      <c r="D32" s="2420" t="s">
        <v>2149</v>
      </c>
      <c r="E32" s="138"/>
      <c r="F32" s="138"/>
      <c r="G32" s="138"/>
      <c r="H32" s="138"/>
      <c r="I32" s="138"/>
    </row>
    <row r="33" spans="1:15" ht="14.4">
      <c r="A33" s="947" t="s">
        <v>2150</v>
      </c>
      <c r="B33" s="2421"/>
      <c r="C33" s="2422" t="s">
        <v>3670</v>
      </c>
      <c r="D33" s="2423" t="s">
        <v>3646</v>
      </c>
      <c r="E33" s="2424" t="s">
        <v>2151</v>
      </c>
      <c r="F33" s="2924" t="str">
        <f>IF(D32="楼面单价","取值（单价）","取值（总价）")</f>
        <v>取值（总价）</v>
      </c>
      <c r="G33" s="138"/>
      <c r="H33" s="138"/>
      <c r="I33" s="138"/>
    </row>
    <row r="34" spans="1:15" ht="14.4">
      <c r="A34" s="2426"/>
      <c r="B34" s="2427"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8" t="s">
        <v>2153</v>
      </c>
      <c r="F34" s="1716"/>
      <c r="G34" s="138"/>
      <c r="H34" s="138"/>
      <c r="I34" s="138"/>
    </row>
    <row r="35" spans="1:15" ht="15" thickBot="1">
      <c r="A35" s="2429"/>
      <c r="B35" s="2430"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1" t="s">
        <v>2155</v>
      </c>
      <c r="F35" s="163"/>
      <c r="G35" s="138"/>
      <c r="H35" s="138"/>
      <c r="I35" s="138"/>
    </row>
    <row r="36" spans="1:15" ht="15" thickBot="1">
      <c r="A36" s="3642" t="s">
        <v>2156</v>
      </c>
      <c r="B36" s="2432" t="s">
        <v>2157</v>
      </c>
      <c r="C36" s="154"/>
      <c r="D36" s="2433"/>
      <c r="E36" s="2434"/>
      <c r="F36" s="2435"/>
      <c r="G36" s="138"/>
      <c r="H36" s="138"/>
      <c r="I36" s="138"/>
    </row>
    <row r="37" spans="1:15" ht="15" thickBot="1">
      <c r="A37" s="3643"/>
      <c r="B37" s="2241" t="s">
        <v>2158</v>
      </c>
      <c r="C37" s="156"/>
      <c r="D37" s="1373"/>
      <c r="E37" s="1373"/>
      <c r="F37" s="2435"/>
      <c r="G37" s="138"/>
      <c r="H37" s="138"/>
      <c r="I37" s="138"/>
    </row>
    <row r="38" spans="1:15" ht="15" thickBot="1">
      <c r="A38" s="3644"/>
      <c r="B38" s="2436" t="s">
        <v>2159</v>
      </c>
      <c r="C38" s="723"/>
      <c r="D38" s="2437" t="s">
        <v>2160</v>
      </c>
      <c r="E38" s="1373"/>
      <c r="F38" s="2435"/>
      <c r="G38" s="138"/>
      <c r="H38" s="138"/>
      <c r="I38" s="138"/>
    </row>
    <row r="39" spans="1:15" ht="14.4">
      <c r="A39" s="2408" t="s">
        <v>2161</v>
      </c>
      <c r="B39" s="2438" t="s">
        <v>2144</v>
      </c>
      <c r="C39" s="2439" t="s">
        <v>2145</v>
      </c>
      <c r="D39" s="2439" t="s">
        <v>2164</v>
      </c>
      <c r="E39" s="2440" t="s">
        <v>2146</v>
      </c>
      <c r="F39" s="2435"/>
      <c r="G39" s="138"/>
      <c r="H39" s="138"/>
      <c r="I39" s="138"/>
    </row>
    <row r="40" spans="1:15" ht="13.8">
      <c r="A40" s="2441" t="s">
        <v>2166</v>
      </c>
      <c r="B40" s="158"/>
      <c r="C40" s="159"/>
      <c r="D40" s="159"/>
      <c r="E40" s="160"/>
      <c r="F40" s="2435"/>
      <c r="G40" s="138"/>
      <c r="H40" s="138"/>
      <c r="I40" s="138"/>
    </row>
    <row r="41" spans="1:15" ht="13.8">
      <c r="A41" s="2441" t="s">
        <v>2167</v>
      </c>
      <c r="B41" s="158"/>
      <c r="C41" s="159"/>
      <c r="D41" s="159"/>
      <c r="E41" s="160"/>
      <c r="F41" s="2435"/>
      <c r="G41" s="138"/>
      <c r="H41" s="138"/>
      <c r="I41" s="138"/>
    </row>
    <row r="42" spans="1:15" ht="14.4" thickBot="1">
      <c r="A42" s="2442"/>
      <c r="B42" s="161"/>
      <c r="C42" s="162"/>
      <c r="D42" s="162"/>
      <c r="E42" s="163"/>
      <c r="F42" s="2435"/>
      <c r="G42" s="138"/>
      <c r="H42" s="138"/>
      <c r="I42" s="138"/>
    </row>
    <row r="43" spans="1:15" ht="13.2">
      <c r="A43" s="2140"/>
      <c r="B43" s="2140"/>
      <c r="C43" s="2140"/>
      <c r="D43" s="2140"/>
      <c r="E43" s="2140"/>
      <c r="F43" s="2443"/>
      <c r="G43" s="2443"/>
      <c r="H43" s="2443"/>
      <c r="I43" s="2444"/>
    </row>
    <row r="44" spans="1:15" ht="17.399999999999999">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59" t="s">
        <v>2170</v>
      </c>
      <c r="B45" s="3660"/>
      <c r="C45" s="3661"/>
      <c r="D45" s="164" t="e">
        <f ca="1">ROUND(H101*F45,0)</f>
        <v>#N/A</v>
      </c>
      <c r="E45" s="165" t="s">
        <v>2171</v>
      </c>
      <c r="F45" s="166">
        <v>1</v>
      </c>
      <c r="G45" s="167" t="s">
        <v>2172</v>
      </c>
      <c r="H45" s="138"/>
      <c r="I45" s="138"/>
      <c r="J45" s="3587" t="s">
        <v>2173</v>
      </c>
      <c r="K45" s="3587"/>
      <c r="L45" s="3587"/>
      <c r="M45" s="3587"/>
      <c r="N45" s="3587"/>
      <c r="O45" s="3587"/>
    </row>
    <row r="46" spans="1:15" ht="14.25" customHeight="1">
      <c r="A46" s="3656" t="s">
        <v>2174</v>
      </c>
      <c r="B46" s="3657"/>
      <c r="C46" s="3657"/>
      <c r="D46" s="3657"/>
      <c r="E46" s="3657"/>
      <c r="F46" s="3657"/>
      <c r="G46" s="3658"/>
      <c r="H46" s="2451"/>
      <c r="I46" s="168"/>
      <c r="J46" s="2936">
        <v>1</v>
      </c>
      <c r="K46" s="3587" t="s">
        <v>2175</v>
      </c>
      <c r="L46" s="3587"/>
      <c r="M46" s="3588"/>
      <c r="N46" s="3588"/>
      <c r="O46" s="3588"/>
    </row>
    <row r="47" spans="1:15" ht="12" customHeight="1">
      <c r="A47" s="169" t="s">
        <v>2176</v>
      </c>
      <c r="B47" s="170"/>
      <c r="C47" s="171"/>
      <c r="D47" s="172" t="s">
        <v>2177</v>
      </c>
      <c r="E47" s="24" t="s">
        <v>2178</v>
      </c>
      <c r="F47" s="173" t="s">
        <v>2179</v>
      </c>
      <c r="G47" s="174" t="s">
        <v>2180</v>
      </c>
      <c r="H47" s="2451"/>
      <c r="I47" s="168"/>
      <c r="J47" s="2936">
        <v>2</v>
      </c>
      <c r="K47" s="3587" t="s">
        <v>2181</v>
      </c>
      <c r="L47" s="3587"/>
      <c r="M47" s="3589">
        <f>'数据-取费表'!B2</f>
        <v>43836</v>
      </c>
      <c r="N47" s="3589"/>
      <c r="O47" s="3589"/>
    </row>
    <row r="48" spans="1:15" ht="26.4">
      <c r="A48" s="3646" t="s">
        <v>2182</v>
      </c>
      <c r="B48" s="3647"/>
      <c r="C48" s="3647"/>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87" t="s">
        <v>2185</v>
      </c>
      <c r="L48" s="3587"/>
      <c r="M48" s="3590" t="e">
        <f ca="1">H101</f>
        <v>#N/A</v>
      </c>
      <c r="N48" s="3590"/>
      <c r="O48" s="3590"/>
    </row>
    <row r="49" spans="1:35" ht="25.5" customHeight="1">
      <c r="A49" s="176" t="s">
        <v>2186</v>
      </c>
      <c r="B49" s="3629" t="s">
        <v>2187</v>
      </c>
      <c r="C49" s="3629"/>
      <c r="D49" s="177">
        <v>0</v>
      </c>
      <c r="E49" s="23" t="s">
        <v>2188</v>
      </c>
      <c r="F49" s="28" t="s">
        <v>34</v>
      </c>
      <c r="G49" s="3610"/>
      <c r="H49" s="138"/>
      <c r="I49" s="2454"/>
      <c r="J49" s="2936">
        <v>4</v>
      </c>
      <c r="K49" s="3587" t="str">
        <f>IF(项目基本情况!E8="房地产抵押价值","房地产抵押价值","抵押担保权已注销时的房地产抵押价值")</f>
        <v>房地产抵押价值</v>
      </c>
      <c r="L49" s="3587"/>
      <c r="M49" s="3590" t="e">
        <f ca="1">IF(项目基本情况!E8="房地产抵押价值",H107,H109)</f>
        <v>#N/A</v>
      </c>
      <c r="N49" s="3590"/>
      <c r="O49" s="3590"/>
    </row>
    <row r="50" spans="1:35" ht="25.5" customHeight="1">
      <c r="A50" s="178"/>
      <c r="B50" s="3629" t="s">
        <v>2189</v>
      </c>
      <c r="C50" s="3629"/>
      <c r="D50" s="179"/>
      <c r="E50" s="31"/>
      <c r="F50" s="180"/>
      <c r="G50" s="3611"/>
      <c r="H50" s="138"/>
      <c r="I50" s="2454"/>
      <c r="J50" s="3587" t="s">
        <v>2190</v>
      </c>
      <c r="K50" s="3587"/>
      <c r="L50" s="3587"/>
      <c r="M50" s="3587"/>
      <c r="N50" s="3587"/>
      <c r="O50" s="3587"/>
    </row>
    <row r="51" spans="1:35" ht="12" customHeight="1">
      <c r="A51" s="181"/>
      <c r="B51" s="3629" t="s">
        <v>2191</v>
      </c>
      <c r="C51" s="3629"/>
      <c r="D51" s="182"/>
      <c r="E51" s="30"/>
      <c r="F51" s="180"/>
      <c r="G51" s="3612"/>
      <c r="H51" s="138"/>
      <c r="I51" s="2454"/>
      <c r="J51" s="2935" t="s">
        <v>2192</v>
      </c>
      <c r="K51" s="3587" t="s">
        <v>2193</v>
      </c>
      <c r="L51" s="3587"/>
      <c r="M51" s="2935" t="s">
        <v>2194</v>
      </c>
      <c r="N51" s="2935" t="s">
        <v>2195</v>
      </c>
      <c r="O51" s="2935" t="s">
        <v>2196</v>
      </c>
    </row>
    <row r="52" spans="1:35" ht="24" customHeight="1">
      <c r="A52" s="183" t="s">
        <v>2197</v>
      </c>
      <c r="B52" s="3629" t="s">
        <v>2198</v>
      </c>
      <c r="C52" s="3629"/>
      <c r="D52" s="182" t="e">
        <f ca="1">ROUND(D45*'数据-取费表'!B41/(1+'数据-取费表'!C42),0)</f>
        <v>#N/A</v>
      </c>
      <c r="E52" s="11" t="s">
        <v>2199</v>
      </c>
      <c r="F52" s="184">
        <f>'数据-取费表'!B41</f>
        <v>5.6000000000000001E-2</v>
      </c>
      <c r="G52" s="2456"/>
      <c r="H52" s="138"/>
      <c r="I52" s="2454"/>
      <c r="J52" s="2936">
        <v>1</v>
      </c>
      <c r="K52" s="3604" t="s">
        <v>2200</v>
      </c>
      <c r="L52" s="3604"/>
      <c r="M52" s="1731">
        <f>D48</f>
        <v>0</v>
      </c>
      <c r="N52" s="2936" t="str">
        <f>E48</f>
        <v>销售额×税（费）率</v>
      </c>
      <c r="O52" s="1732" t="str">
        <f>F48</f>
        <v>免征</v>
      </c>
    </row>
    <row r="53" spans="1:35" ht="12" customHeight="1">
      <c r="A53" s="183" t="s">
        <v>2201</v>
      </c>
      <c r="B53" s="3630" t="s">
        <v>2202</v>
      </c>
      <c r="C53" s="3631"/>
      <c r="D53" s="182" t="e">
        <f ca="1">ROUND(D45*'数据-取费表'!B41/(1+'数据-取费表'!C42),0)</f>
        <v>#N/A</v>
      </c>
      <c r="E53" s="11" t="s">
        <v>2199</v>
      </c>
      <c r="F53" s="184">
        <f>'数据-取费表'!B41</f>
        <v>5.6000000000000001E-2</v>
      </c>
      <c r="G53" s="2456"/>
      <c r="H53" s="138"/>
      <c r="I53" s="2454"/>
      <c r="J53" s="2936">
        <v>2</v>
      </c>
      <c r="K53" s="3604" t="s">
        <v>2203</v>
      </c>
      <c r="L53" s="3604"/>
      <c r="M53" s="1731" t="e">
        <f t="shared" ref="M53:O54" ca="1" si="0">D55</f>
        <v>#N/A</v>
      </c>
      <c r="N53" s="2936" t="str">
        <f t="shared" si="0"/>
        <v>销售额×税（费）率</v>
      </c>
      <c r="O53" s="1732">
        <f t="shared" si="0"/>
        <v>5.0000000000000001E-4</v>
      </c>
    </row>
    <row r="54" spans="1:35" ht="12" customHeight="1">
      <c r="A54" s="183" t="s">
        <v>2204</v>
      </c>
      <c r="B54" s="3630" t="s">
        <v>2205</v>
      </c>
      <c r="C54" s="3631"/>
      <c r="D54" s="182" t="e">
        <f ca="1">C68</f>
        <v>#N/A</v>
      </c>
      <c r="E54" s="30" t="s">
        <v>2206</v>
      </c>
      <c r="F54" s="184">
        <f>'数据-取费表'!B41</f>
        <v>5.6000000000000001E-2</v>
      </c>
      <c r="G54" s="2456"/>
      <c r="H54" s="2457"/>
      <c r="I54" s="2454"/>
      <c r="J54" s="2936">
        <v>3</v>
      </c>
      <c r="K54" s="3604" t="s">
        <v>2207</v>
      </c>
      <c r="L54" s="3604"/>
      <c r="M54" s="1731" t="e">
        <f t="shared" ca="1" si="0"/>
        <v>#N/A</v>
      </c>
      <c r="N54" s="2936" t="str">
        <f t="shared" si="0"/>
        <v>增值额×税（费）率</v>
      </c>
      <c r="O54" s="1733" t="str">
        <f t="shared" si="0"/>
        <v>——</v>
      </c>
    </row>
    <row r="55" spans="1:35" ht="24" customHeight="1">
      <c r="A55" s="3665" t="s">
        <v>2208</v>
      </c>
      <c r="B55" s="3647"/>
      <c r="C55" s="3647"/>
      <c r="D55" s="185" t="e">
        <f ca="1">IF(H55="个人住宅",0,ROUND(D45*I55,0))</f>
        <v>#N/A</v>
      </c>
      <c r="E55" s="11" t="s">
        <v>2209</v>
      </c>
      <c r="F55" s="184">
        <f>IF(H55="正常",I55,"免征")</f>
        <v>5.0000000000000001E-4</v>
      </c>
      <c r="G55" s="2456"/>
      <c r="H55" s="2453" t="s">
        <v>2210</v>
      </c>
      <c r="I55" s="186">
        <f>'数据-取费表'!B49</f>
        <v>5.0000000000000001E-4</v>
      </c>
      <c r="J55" s="2936" t="str">
        <f>IF(H59="非个人房产","",4)</f>
        <v/>
      </c>
      <c r="K55" s="3604" t="str">
        <f>IF(H59="非个人房产","——","个人所得税")</f>
        <v>——</v>
      </c>
      <c r="L55" s="3604"/>
      <c r="M55" s="1734" t="str">
        <f>D59</f>
        <v>——</v>
      </c>
      <c r="N55" s="2937" t="str">
        <f>E59</f>
        <v>——</v>
      </c>
      <c r="O55" s="1735" t="str">
        <f>F59</f>
        <v>——</v>
      </c>
    </row>
    <row r="56" spans="1:35" ht="25.2">
      <c r="A56" s="3665" t="s">
        <v>2211</v>
      </c>
      <c r="B56" s="3647"/>
      <c r="C56" s="3647"/>
      <c r="D56" s="185" t="e">
        <f ca="1">IF(H56="个人住宅",D57,D58)</f>
        <v>#N/A</v>
      </c>
      <c r="E56" s="11" t="s">
        <v>2212</v>
      </c>
      <c r="F56" s="184" t="str">
        <f>IF(H56="正常",F58,"免征")</f>
        <v>——</v>
      </c>
      <c r="G56" s="2458" t="s">
        <v>2213</v>
      </c>
      <c r="H56" s="2459" t="s">
        <v>2210</v>
      </c>
      <c r="I56" s="2460"/>
      <c r="J56" s="2936" t="str">
        <f>IF(项目基本情况!K6="上海银行",IF(J55="",4,J55+1),"")</f>
        <v/>
      </c>
      <c r="K56" s="3593" t="str">
        <f>IF(项目基本情况!K6="上海银行","其他处置费用","")</f>
        <v/>
      </c>
      <c r="L56" s="3594"/>
      <c r="M56" s="1731" t="str">
        <f>IF(项目基本情况!K6="上海银行",M69,"")</f>
        <v/>
      </c>
      <c r="N56" s="3596" t="str">
        <f>IF(项目基本情况!K6="上海银行","包含处置中涉及的律师、诉讼、拍卖、评估等费用","")</f>
        <v/>
      </c>
      <c r="O56" s="3597"/>
    </row>
    <row r="57" spans="1:35" ht="13.2">
      <c r="A57" s="183" t="s">
        <v>2186</v>
      </c>
      <c r="B57" s="3635" t="s">
        <v>2214</v>
      </c>
      <c r="C57" s="3636"/>
      <c r="D57" s="187">
        <v>0</v>
      </c>
      <c r="E57" s="23" t="s">
        <v>2188</v>
      </c>
      <c r="F57" s="155"/>
      <c r="G57" s="2456"/>
      <c r="H57" s="2460"/>
      <c r="I57" s="2460"/>
      <c r="J57" s="3604">
        <f>IF(AND(J55="",J56=""),4,IF(项目基本情况!K6="上海银行",结果表酒店!J56+1,结果表酒店!J55+1))</f>
        <v>4</v>
      </c>
      <c r="K57" s="3604" t="s">
        <v>2215</v>
      </c>
      <c r="L57" s="2461" t="s">
        <v>2216</v>
      </c>
      <c r="M57" s="1736"/>
      <c r="N57" s="1737">
        <f ca="1">SUMIF(M52:M56,"&lt;9e307")</f>
        <v>0</v>
      </c>
      <c r="O57" s="2462"/>
      <c r="P57" s="1730" t="e">
        <f ca="1">N57/M49</f>
        <v>#N/A</v>
      </c>
    </row>
    <row r="58" spans="1:35" ht="25.2">
      <c r="A58" s="183" t="s">
        <v>2197</v>
      </c>
      <c r="B58" s="3635" t="s">
        <v>2217</v>
      </c>
      <c r="C58" s="3645"/>
      <c r="D58" s="185" t="e">
        <f ca="1">IF(H58="转让取得",C81,C97)</f>
        <v>#N/A</v>
      </c>
      <c r="E58" s="11" t="s">
        <v>2212</v>
      </c>
      <c r="F58" s="24" t="s">
        <v>34</v>
      </c>
      <c r="G58" s="2456"/>
      <c r="H58" s="2459" t="s">
        <v>2218</v>
      </c>
      <c r="I58" s="2460"/>
      <c r="J58" s="3604"/>
      <c r="K58" s="3604"/>
      <c r="L58" s="2461" t="s">
        <v>2219</v>
      </c>
      <c r="M58" s="1738"/>
      <c r="N58" s="2463" t="str">
        <f ca="1">NUMBERSTRING(INT(N57*10000),2)&amp;"元整"</f>
        <v>零元整</v>
      </c>
      <c r="O58" s="2464"/>
    </row>
    <row r="59" spans="1:35" ht="24.6"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4" t="s">
        <v>2222</v>
      </c>
      <c r="L59" s="2936" t="s">
        <v>2216</v>
      </c>
      <c r="M59" s="1739"/>
      <c r="N59" s="1740" t="e">
        <f ca="1">M49-N57</f>
        <v>#N/A</v>
      </c>
      <c r="O59" s="2466"/>
    </row>
    <row r="60" spans="1:35" ht="12" customHeight="1">
      <c r="A60" s="2467"/>
      <c r="B60" s="2389"/>
      <c r="C60" s="2389"/>
      <c r="D60" s="2389"/>
      <c r="E60" s="2141"/>
      <c r="F60" s="2460"/>
      <c r="G60" s="2460"/>
      <c r="H60" s="2468"/>
      <c r="I60" s="138"/>
      <c r="J60" s="3607"/>
      <c r="K60" s="3604"/>
      <c r="L60" s="2461" t="s">
        <v>2219</v>
      </c>
      <c r="M60" s="1738"/>
      <c r="N60" s="2463" t="e">
        <f ca="1">NUMBERSTRING(INT(N59*10000),2)&amp;"元整"</f>
        <v>#N/A</v>
      </c>
      <c r="O60" s="2464"/>
    </row>
    <row r="61" spans="1:35" ht="13.8" thickBot="1">
      <c r="A61" s="3664" t="s">
        <v>2223</v>
      </c>
      <c r="B61" s="3664"/>
      <c r="C61" s="3664"/>
      <c r="D61" s="3664"/>
      <c r="E61" s="3664"/>
      <c r="F61" s="2460"/>
      <c r="G61" s="2460"/>
      <c r="H61" s="2468"/>
      <c r="I61" s="138"/>
      <c r="J61" s="2936">
        <f>J59+1</f>
        <v>6</v>
      </c>
      <c r="K61" s="3604" t="s">
        <v>2224</v>
      </c>
      <c r="L61" s="3604"/>
      <c r="M61" s="1741"/>
      <c r="N61" s="1742" t="e">
        <f ca="1">ROUND(N59*10000/'数据-汇总表'!E3,0)</f>
        <v>#N/A</v>
      </c>
      <c r="O61" s="2469"/>
    </row>
    <row r="62" spans="1:35" ht="13.2">
      <c r="A62" s="3624" t="s">
        <v>2225</v>
      </c>
      <c r="B62" s="3625"/>
      <c r="C62" s="2931"/>
      <c r="D62" s="2931" t="s">
        <v>2226</v>
      </c>
      <c r="E62" s="192" t="s">
        <v>2227</v>
      </c>
      <c r="F62" s="2460"/>
      <c r="G62" s="2460"/>
      <c r="H62" s="2468"/>
      <c r="I62" s="138"/>
    </row>
    <row r="63" spans="1:35" ht="13.2">
      <c r="A63" s="203" t="s">
        <v>775</v>
      </c>
      <c r="B63" s="193" t="s">
        <v>2228</v>
      </c>
      <c r="C63" s="194" t="e">
        <f ca="1">ROUND((C64+C65)/(1+'数据-取费表'!C42),0)</f>
        <v>#N/A</v>
      </c>
      <c r="D63" s="195"/>
      <c r="E63" s="196"/>
      <c r="F63" s="2460"/>
      <c r="G63" s="2460"/>
      <c r="H63" s="2468"/>
      <c r="I63" s="138"/>
      <c r="J63" s="3595" t="s">
        <v>2229</v>
      </c>
      <c r="K63" s="2940" t="s">
        <v>2230</v>
      </c>
      <c r="L63" s="1729" t="e">
        <f ca="1">IF(M49&gt;10000,M49*0.5%,IF(AND(M49&gt;1000,M49&lt;=10000),M49*1%,IF(AND(M49&gt;100,M49&lt;=1000),M49*3%,IF(AND(M49&gt;10,M49&lt;=100),M49*5%,M49*8%))))</f>
        <v>#N/A</v>
      </c>
      <c r="M63" s="24" t="e">
        <f ca="1">ROUND(L63,1)</f>
        <v>#N/A</v>
      </c>
      <c r="Z63" s="2394"/>
      <c r="AI63" s="2395"/>
    </row>
    <row r="64" spans="1:35" ht="14.25" customHeight="1">
      <c r="A64" s="197" t="s">
        <v>770</v>
      </c>
      <c r="B64" s="198" t="s">
        <v>2231</v>
      </c>
      <c r="C64" s="199" t="e">
        <f ca="1">D45</f>
        <v>#N/A</v>
      </c>
      <c r="D64" s="200" t="s">
        <v>32</v>
      </c>
      <c r="E64" s="201"/>
      <c r="F64" s="2460"/>
      <c r="G64" s="2460"/>
      <c r="H64" s="2468"/>
      <c r="I64" s="138"/>
      <c r="J64" s="3595"/>
      <c r="K64" s="2940"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4"/>
      <c r="AI64" s="2395"/>
    </row>
    <row r="65" spans="1:35" ht="14.25" customHeight="1">
      <c r="A65" s="197" t="s">
        <v>771</v>
      </c>
      <c r="B65" s="198" t="s">
        <v>2234</v>
      </c>
      <c r="C65" s="202"/>
      <c r="D65" s="200"/>
      <c r="E65" s="201"/>
      <c r="F65" s="2460"/>
      <c r="G65" s="2460"/>
      <c r="H65" s="2468"/>
      <c r="I65" s="138"/>
      <c r="J65" s="3595"/>
      <c r="K65" s="2940" t="s">
        <v>2235</v>
      </c>
      <c r="L65" s="1729" t="e">
        <f ca="1">IF(M49&gt;1000,M49*0.1%,IF(AND(M49&gt;500,M49&lt;=1000),M49*0.5%,IF(AND(M49&gt;50,M49&lt;=500),M49*1%,IF(AND(M49&gt;1,M49&lt;=50),M49*1.5%))))</f>
        <v>#N/A</v>
      </c>
      <c r="M65" s="24" t="e">
        <f t="shared" ca="1" si="1"/>
        <v>#N/A</v>
      </c>
      <c r="N65" s="138" t="s">
        <v>2233</v>
      </c>
      <c r="Z65" s="2394"/>
      <c r="AI65" s="2395"/>
    </row>
    <row r="66" spans="1:35" ht="14.25" customHeight="1">
      <c r="A66" s="203" t="s">
        <v>772</v>
      </c>
      <c r="B66" s="204" t="s">
        <v>2236</v>
      </c>
      <c r="C66" s="205"/>
      <c r="D66" s="206" t="s">
        <v>32</v>
      </c>
      <c r="E66" s="1753" t="s">
        <v>1360</v>
      </c>
      <c r="F66" s="2460"/>
      <c r="G66" s="2460"/>
      <c r="H66" s="2468"/>
      <c r="I66" s="138"/>
      <c r="J66" s="3595"/>
      <c r="K66" s="2940" t="s">
        <v>2237</v>
      </c>
      <c r="L66" s="1729" t="e">
        <f ca="1">M49*0.5%</f>
        <v>#N/A</v>
      </c>
      <c r="M66" s="24" t="e">
        <f ca="1">IF(L66&gt;0.5,0.5,ROUND(L66,0))</f>
        <v>#N/A</v>
      </c>
      <c r="N66" s="138" t="s">
        <v>2238</v>
      </c>
      <c r="Z66" s="2394"/>
      <c r="AI66" s="2395"/>
    </row>
    <row r="67" spans="1:35" ht="14.25" customHeight="1">
      <c r="A67" s="203" t="s">
        <v>773</v>
      </c>
      <c r="B67" s="204" t="s">
        <v>2239</v>
      </c>
      <c r="C67" s="207" t="e">
        <f ca="1">C63-C66</f>
        <v>#N/A</v>
      </c>
      <c r="D67" s="200" t="s">
        <v>32</v>
      </c>
      <c r="E67" s="201"/>
      <c r="F67" s="2460"/>
      <c r="G67" s="2460"/>
      <c r="H67" s="2468"/>
      <c r="I67" s="138"/>
      <c r="J67" s="3595"/>
      <c r="K67" s="2940"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4"/>
      <c r="AI67" s="2395"/>
    </row>
    <row r="68" spans="1:35" ht="14.25" customHeight="1" thickBot="1">
      <c r="A68" s="208" t="s">
        <v>774</v>
      </c>
      <c r="B68" s="209" t="s">
        <v>2241</v>
      </c>
      <c r="C68" s="210" t="e">
        <f ca="1">IF(C67&lt;=0,0,ROUND(C67*D68,0))</f>
        <v>#N/A</v>
      </c>
      <c r="D68" s="211">
        <f>'数据-取费表'!B41</f>
        <v>5.6000000000000001E-2</v>
      </c>
      <c r="E68" s="212"/>
      <c r="F68" s="2460"/>
      <c r="G68" s="2460"/>
      <c r="H68" s="2468"/>
      <c r="I68" s="138"/>
      <c r="J68" s="3595"/>
      <c r="K68" s="2940" t="s">
        <v>2242</v>
      </c>
      <c r="L68" s="1729" t="e">
        <f ca="1">IF(M49&gt;10000,M49*0.5%,IF(AND(M49&gt;5000,M49&lt;=10000),M49*1%,IF(AND(M49&gt;1000,M49&lt;=5000),M49*2%,IF(AND(M49&gt;200,M49&lt;=1000),M49*3%,M49*5%))))</f>
        <v>#N/A</v>
      </c>
      <c r="M68" s="24" t="e">
        <f ca="1">ROUND(L68,1)</f>
        <v>#N/A</v>
      </c>
      <c r="Z68" s="2394"/>
      <c r="AI68" s="2395"/>
    </row>
    <row r="69" spans="1:35" s="2417" customFormat="1" ht="16.5" customHeight="1">
      <c r="A69" s="2471"/>
      <c r="B69" s="2472"/>
      <c r="C69" s="2473"/>
      <c r="D69" s="2474"/>
      <c r="E69" s="2475"/>
      <c r="F69" s="2141"/>
      <c r="G69" s="2141"/>
      <c r="H69" s="2140"/>
      <c r="I69" s="2389"/>
      <c r="J69" s="3595"/>
      <c r="K69" s="2940" t="s">
        <v>2243</v>
      </c>
      <c r="L69" s="2476"/>
      <c r="M69" s="24" t="e">
        <f ca="1">ROUND(SUM(M63:M68),0)</f>
        <v>#N/A</v>
      </c>
      <c r="N69" s="1730" t="e">
        <f ca="1">M69/M49</f>
        <v>#N/A</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4.4" thickBot="1">
      <c r="A70" s="3633" t="s">
        <v>2244</v>
      </c>
      <c r="B70" s="3634"/>
      <c r="C70" s="3634"/>
      <c r="D70" s="3634"/>
      <c r="E70" s="3634"/>
      <c r="F70" s="3634"/>
      <c r="G70" s="3634"/>
      <c r="H70" s="3634"/>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3.8">
      <c r="A71" s="3624" t="s">
        <v>2225</v>
      </c>
      <c r="B71" s="3625"/>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3.8">
      <c r="A72" s="203" t="s">
        <v>775</v>
      </c>
      <c r="B72" s="204" t="s">
        <v>2245</v>
      </c>
      <c r="C72" s="207" t="e">
        <f ca="1">ROUND(D45/(1+'数据-取费表'!C42),0)</f>
        <v>#N/A</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3.8">
      <c r="A73" s="203" t="s">
        <v>772</v>
      </c>
      <c r="B73" s="173" t="s">
        <v>2246</v>
      </c>
      <c r="C73" s="207" t="e">
        <f ca="1">C74+C78</f>
        <v>#N/A</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28.8">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30" t="s">
        <v>2253</v>
      </c>
      <c r="F76" s="3629"/>
      <c r="G76" s="3629"/>
      <c r="H76" s="3632"/>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t="e">
        <f ca="1">ROUND(D45*D78/(1+'数据-取费表'!C42),0)</f>
        <v>#N/A</v>
      </c>
      <c r="D78" s="226">
        <f>'数据-取费表'!B43</f>
        <v>6.000000000000001E-3</v>
      </c>
      <c r="E78" s="3621" t="s">
        <v>2258</v>
      </c>
      <c r="F78" s="3622"/>
      <c r="G78" s="3622"/>
      <c r="H78" s="3623"/>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3.8">
      <c r="A79" s="2486" t="s">
        <v>773</v>
      </c>
      <c r="B79" s="204" t="s">
        <v>2259</v>
      </c>
      <c r="C79" s="207" t="e">
        <f ca="1">C72-C73</f>
        <v>#N/A</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t="e">
        <f ca="1">IF(C79&lt;=0,0,C79/C73)</f>
        <v>#N/A</v>
      </c>
      <c r="D80" s="200" t="s">
        <v>32</v>
      </c>
      <c r="E80" s="2941" t="e">
        <f ca="1">IF(C80&gt;=200%,"增值额超过扣除项目金额200%",IF(C80&gt;=100%,"增值额超过扣除项目金额100%，未超过200%",IF(C80&gt;=50%,"增值额超过扣除项目金额50%，未超过100%",IF(C80&lt;50%,"增值额未超过扣除项目金额50%"))))</f>
        <v>#N/A</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6" thickBot="1">
      <c r="A81" s="2487"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4.4" thickBot="1">
      <c r="A83" s="3633" t="s">
        <v>2262</v>
      </c>
      <c r="B83" s="3634"/>
      <c r="C83" s="3634"/>
      <c r="D83" s="3634"/>
      <c r="E83" s="3634"/>
      <c r="F83" s="3634"/>
      <c r="G83" s="3634"/>
      <c r="H83" s="3634"/>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3.8">
      <c r="A84" s="3624" t="s">
        <v>2225</v>
      </c>
      <c r="B84" s="3625"/>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3.8">
      <c r="A85" s="203" t="s">
        <v>775</v>
      </c>
      <c r="B85" s="204" t="s">
        <v>2245</v>
      </c>
      <c r="C85" s="207" t="e">
        <f ca="1">ROUND(D45/(1+'数据-取费表'!C42),0)</f>
        <v>#N/A</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3.8">
      <c r="A86" s="203" t="s">
        <v>772</v>
      </c>
      <c r="B86" s="173" t="s">
        <v>2246</v>
      </c>
      <c r="C86" s="207" t="e">
        <f ca="1">IF(H88="仅含出让金",C87+C90+C91+C92+C93+C94,C87+C91+C92+C93+C94)</f>
        <v>#N/A</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3.8">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3.8">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3.8">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3.8">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621" t="s">
        <v>2271</v>
      </c>
      <c r="F91" s="3622"/>
      <c r="G91" s="3622"/>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621" t="s">
        <v>2275</v>
      </c>
      <c r="F92" s="3622"/>
      <c r="G92" s="3622"/>
      <c r="H92" s="3623"/>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t="e">
        <f ca="1">ROUND(D45*D93/(1+'数据-取费表'!C42),0)</f>
        <v>#N/A</v>
      </c>
      <c r="D93" s="226">
        <f>'数据-取费表'!B43</f>
        <v>6.000000000000001E-3</v>
      </c>
      <c r="E93" s="3621" t="s">
        <v>2258</v>
      </c>
      <c r="F93" s="3622"/>
      <c r="G93" s="3622"/>
      <c r="H93" s="3623"/>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66" t="s">
        <v>2279</v>
      </c>
      <c r="F94" s="3667"/>
      <c r="G94" s="3667"/>
      <c r="H94" s="3668"/>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3.8">
      <c r="A95" s="2486" t="s">
        <v>773</v>
      </c>
      <c r="B95" s="204" t="s">
        <v>2259</v>
      </c>
      <c r="C95" s="207" t="e">
        <f ca="1">ROUND(C85-C86,0)</f>
        <v>#N/A</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t="e">
        <f ca="1">IF(C95&lt;=0,0,C95/C86)</f>
        <v>#N/A</v>
      </c>
      <c r="D96" s="200" t="s">
        <v>32</v>
      </c>
      <c r="E96" s="2941" t="e">
        <f ca="1">IF(C96&gt;=200%,"增值额超过扣除项目金额200%",IF(C96&gt;=100%,"增值额超过扣除项目金额100%，未超过200%",IF(C96&gt;=50%,"增值额超过扣除项目金额50%，未超过100%",IF(C96&lt;50%,"增值额未超过扣除项目金额50%"))))</f>
        <v>#N/A</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6" thickBot="1">
      <c r="A97" s="2487"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605"/>
      <c r="E100" s="3572" t="s">
        <v>2282</v>
      </c>
      <c r="F100" s="3572"/>
      <c r="G100" s="3572"/>
      <c r="H100" s="3605"/>
      <c r="I100" s="138"/>
    </row>
    <row r="101" spans="1:35" ht="18.75" customHeight="1">
      <c r="A101" s="3613" t="s">
        <v>2283</v>
      </c>
      <c r="B101" s="3614"/>
      <c r="C101" s="732" t="str">
        <f>C4</f>
        <v>成本法酒店</v>
      </c>
      <c r="D101" s="733" t="str">
        <f>D4</f>
        <v>收益法酒店</v>
      </c>
      <c r="E101" s="3591" t="s">
        <v>2284</v>
      </c>
      <c r="F101" s="3592"/>
      <c r="G101" s="2491" t="s">
        <v>2285</v>
      </c>
      <c r="H101" s="1035" t="e">
        <f ca="1">H118</f>
        <v>#N/A</v>
      </c>
      <c r="I101" s="138"/>
    </row>
    <row r="102" spans="1:35" ht="18.75" customHeight="1">
      <c r="A102" s="3615" t="s">
        <v>2286</v>
      </c>
      <c r="B102" s="2491" t="s">
        <v>2285</v>
      </c>
      <c r="C102" s="732" t="e">
        <f ca="1">C19</f>
        <v>#N/A</v>
      </c>
      <c r="D102" s="733" t="e">
        <f ca="1">D19</f>
        <v>#N/A</v>
      </c>
      <c r="E102" s="3591"/>
      <c r="F102" s="3592"/>
      <c r="G102" s="2491" t="s">
        <v>2287</v>
      </c>
      <c r="H102" s="371" t="e">
        <f ca="1">I118</f>
        <v>#N/A</v>
      </c>
      <c r="I102" s="138"/>
    </row>
    <row r="103" spans="1:35" ht="42.75" customHeight="1">
      <c r="A103" s="3615"/>
      <c r="B103" s="2491" t="s">
        <v>2287</v>
      </c>
      <c r="C103" s="734" t="e">
        <f ca="1">C20</f>
        <v>#N/A</v>
      </c>
      <c r="D103" s="735">
        <f ca="1">D20</f>
        <v>0</v>
      </c>
      <c r="E103" s="3585" t="s">
        <v>2288</v>
      </c>
      <c r="F103" s="3586"/>
      <c r="G103" s="2492" t="s">
        <v>2289</v>
      </c>
      <c r="H103" s="1035">
        <f>IF(D36="正常操作",H104+H105+H106,H105+H106)</f>
        <v>0</v>
      </c>
      <c r="I103" s="138"/>
    </row>
    <row r="104" spans="1:35" ht="18.75" customHeight="1">
      <c r="A104" s="3615" t="s">
        <v>2290</v>
      </c>
      <c r="B104" s="2493" t="s">
        <v>2285</v>
      </c>
      <c r="C104" s="736" t="e">
        <f ca="1">H118</f>
        <v>#N/A</v>
      </c>
      <c r="D104" s="737"/>
      <c r="E104" s="2241" t="s">
        <v>2291</v>
      </c>
      <c r="F104" s="2233"/>
      <c r="G104" s="2492" t="s">
        <v>2289</v>
      </c>
      <c r="H104" s="1036">
        <f>IF(D36="同一抵押权人同一抵押物续贷",C36&amp;"（未扣减，详见特别提示）",C36)</f>
        <v>0</v>
      </c>
      <c r="I104" s="138"/>
    </row>
    <row r="105" spans="1:35" ht="18.75" customHeight="1" thickBot="1">
      <c r="A105" s="3627"/>
      <c r="B105" s="2494" t="s">
        <v>2287</v>
      </c>
      <c r="C105" s="738" t="e">
        <f ca="1">I118</f>
        <v>#N/A</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16" t="str">
        <f>IF(项目基本情况!E8="已注销","——","3.房地产抵押价值")</f>
        <v>3.房地产抵押价值</v>
      </c>
      <c r="F107" s="3592"/>
      <c r="G107" s="2491" t="s">
        <v>2285</v>
      </c>
      <c r="H107" s="1035" t="e">
        <f ca="1">IF(E107="——","——",H101-H103)</f>
        <v>#N/A</v>
      </c>
      <c r="I107" s="138"/>
    </row>
    <row r="108" spans="1:35" ht="18.75" customHeight="1">
      <c r="A108" s="138"/>
      <c r="B108" s="138"/>
      <c r="C108" s="138"/>
      <c r="D108" s="138"/>
      <c r="E108" s="3616"/>
      <c r="F108" s="3592"/>
      <c r="G108" s="2491" t="s">
        <v>2287</v>
      </c>
      <c r="H108" s="371" t="e">
        <f ca="1">ROUND(H107*10000/'数据-汇总表'!E3,0)</f>
        <v>#N/A</v>
      </c>
      <c r="I108" s="138"/>
    </row>
    <row r="109" spans="1:35" ht="18.75" customHeight="1">
      <c r="A109" s="138"/>
      <c r="B109" s="138"/>
      <c r="C109" s="138"/>
      <c r="D109" s="138"/>
      <c r="E109" s="3616" t="str">
        <f>IF(项目基本情况!E8="已注销及未注销","4.抵押担保权已注销时的房地产抵押价值",IF(项目基本情况!E8="已注销","3.抵押担保权已注销时的房地产抵押价值","——"))</f>
        <v>——</v>
      </c>
      <c r="F109" s="3592"/>
      <c r="G109" s="2491" t="s">
        <v>2285</v>
      </c>
      <c r="H109" s="348" t="str">
        <f>IF(E109="——","——",H101-H105-H106)</f>
        <v>——</v>
      </c>
      <c r="I109" s="138"/>
    </row>
    <row r="110" spans="1:35" ht="18.75" customHeight="1">
      <c r="A110" s="138"/>
      <c r="B110" s="138"/>
      <c r="C110" s="138"/>
      <c r="D110" s="138"/>
      <c r="E110" s="3616"/>
      <c r="F110" s="3592"/>
      <c r="G110" s="2491" t="s">
        <v>2287</v>
      </c>
      <c r="H110" s="371" t="str">
        <f>IF(H109="——","——",ROUND(H109*10000/'数据-汇总表'!E3,0))</f>
        <v>——</v>
      </c>
      <c r="I110" s="138"/>
    </row>
    <row r="111" spans="1:35" ht="18.75" customHeight="1">
      <c r="A111" s="138"/>
      <c r="B111" s="138"/>
      <c r="C111" s="138"/>
      <c r="D111" s="138"/>
      <c r="E111" s="3617" t="str">
        <f>IF(项目基本情况!E9="抵押净值",IF(OR(项目基本情况!E8="已注销",项目基本情况!E8="房地产抵押价值"),"4.抵押净值","5.抵押净值"),"——")</f>
        <v>——</v>
      </c>
      <c r="F111" s="3618"/>
      <c r="G111" s="2491" t="s">
        <v>2285</v>
      </c>
      <c r="H111" s="1035" t="str">
        <f>IF(E111="——","——",N59)</f>
        <v>——</v>
      </c>
      <c r="I111" s="138"/>
    </row>
    <row r="112" spans="1:35" ht="18.75" customHeight="1" thickBot="1">
      <c r="A112" s="138"/>
      <c r="B112" s="138"/>
      <c r="C112" s="138"/>
      <c r="D112" s="138"/>
      <c r="E112" s="3619"/>
      <c r="F112" s="3620"/>
      <c r="G112" s="2496" t="s">
        <v>2287</v>
      </c>
      <c r="H112" s="785" t="str">
        <f>IF(E111="——","——",N61)</f>
        <v>——</v>
      </c>
      <c r="I112" s="138"/>
    </row>
    <row r="113" spans="1:11" ht="18.75" customHeight="1">
      <c r="A113" s="138"/>
      <c r="B113" s="138"/>
      <c r="C113" s="138"/>
      <c r="D113" s="138"/>
      <c r="E113" s="3628" t="s">
        <v>2293</v>
      </c>
      <c r="F113" s="3628"/>
      <c r="G113" s="3628"/>
      <c r="H113" s="3628"/>
      <c r="I113" s="138"/>
    </row>
    <row r="114" spans="1:11" ht="3.75" customHeight="1">
      <c r="A114" s="2389"/>
      <c r="B114" s="2389"/>
      <c r="C114" s="2389"/>
      <c r="D114" s="2389"/>
      <c r="E114" s="2467"/>
      <c r="F114" s="2467"/>
      <c r="G114" s="2467"/>
      <c r="H114" s="2467"/>
      <c r="I114" s="2389"/>
    </row>
    <row r="115" spans="1:11" ht="18.75" customHeight="1">
      <c r="A115" s="3638" t="s">
        <v>2295</v>
      </c>
      <c r="B115" s="3639"/>
      <c r="C115" s="3639"/>
      <c r="D115" s="3639"/>
      <c r="E115" s="3639"/>
      <c r="F115" s="3639"/>
      <c r="G115" s="3639"/>
      <c r="H115" s="3639"/>
      <c r="I115" s="3640"/>
    </row>
    <row r="116" spans="1:11" ht="27" customHeight="1">
      <c r="A116" s="3521" t="s">
        <v>2296</v>
      </c>
      <c r="B116" s="3522" t="s">
        <v>2297</v>
      </c>
      <c r="C116" s="3522" t="s">
        <v>2298</v>
      </c>
      <c r="D116" s="3524" t="s">
        <v>2299</v>
      </c>
      <c r="E116" s="3525"/>
      <c r="F116" s="3527" t="s">
        <v>3158</v>
      </c>
      <c r="G116" s="3527"/>
      <c r="H116" s="3521" t="s">
        <v>2301</v>
      </c>
      <c r="I116" s="3521"/>
    </row>
    <row r="117" spans="1:11" ht="18.75" customHeight="1">
      <c r="A117" s="3521"/>
      <c r="B117" s="3523"/>
      <c r="C117" s="3523"/>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#N/A</v>
      </c>
      <c r="E118" s="2923" t="e">
        <f ca="1">ROUND(IF(C33="自定义",IF(D32="楼面单价",C34,D118*10000/B118),I118-G118),0)</f>
        <v>#N/A</v>
      </c>
      <c r="F118" s="2923" t="e">
        <f ca="1">ROUND(IF(D32="总价",C35,G118*B118/10000),0)</f>
        <v>#N/A</v>
      </c>
      <c r="G118" s="2923" t="e">
        <f ca="1">ROUND(IF(D32="楼面单价",C35,F118*10000/B118),0)</f>
        <v>#N/A</v>
      </c>
      <c r="H118" s="2923" t="e">
        <f ca="1">ROUND(IF(D32="总价",C32,I118*B118/10000),0)</f>
        <v>#N/A</v>
      </c>
      <c r="I118" s="2923" t="e">
        <f ca="1">ROUND(IF(D32="楼面单价",C32,H118*10000/B118),0)</f>
        <v>#N/A</v>
      </c>
    </row>
    <row r="119" spans="1:11" ht="18.75" customHeight="1">
      <c r="A119" s="3521" t="s">
        <v>2305</v>
      </c>
      <c r="B119" s="3521"/>
      <c r="C119" s="3521"/>
      <c r="D119" s="3516" t="e">
        <f ca="1">NUMBERSTRING(INT(D118*10000),2)&amp;"元整"</f>
        <v>#N/A</v>
      </c>
      <c r="E119" s="3517"/>
      <c r="F119" s="3516" t="e">
        <f ca="1">NUMBERSTRING(INT(F118*10000),2)&amp;"元整"</f>
        <v>#N/A</v>
      </c>
      <c r="G119" s="3517"/>
      <c r="H119" s="3516" t="e">
        <f ca="1">NUMBERSTRING(INT(H118*10000),2)&amp;"元整"</f>
        <v>#N/A</v>
      </c>
      <c r="I119" s="3517"/>
    </row>
    <row r="120" spans="1:11" ht="18.75" customHeight="1">
      <c r="A120" s="3598" t="str">
        <f>IF(项目基本情况!B9="房地产市场价值","",MID(E103,3,LEN(E103)-2))</f>
        <v>估价师知悉的法定优先受偿款</v>
      </c>
      <c r="B120" s="3599"/>
      <c r="C120" s="3600"/>
      <c r="D120" s="3598">
        <f>H103</f>
        <v>0</v>
      </c>
      <c r="E120" s="3599"/>
      <c r="F120" s="3599"/>
      <c r="G120" s="3599"/>
      <c r="H120" s="3599"/>
      <c r="I120" s="3600"/>
      <c r="K120" s="2394" t="str">
        <f>IF(D120=0,"故，本次评估不存在"&amp;A120,"故，本次评估"&amp;A120&amp;"为人民币"&amp;D120&amp;"万元整。")</f>
        <v>故，本次评估不存在估价师知悉的法定优先受偿款</v>
      </c>
    </row>
    <row r="121" spans="1:11" ht="18.75" customHeight="1">
      <c r="A121" s="3518" t="s">
        <v>2305</v>
      </c>
      <c r="B121" s="3637"/>
      <c r="C121" s="3519"/>
      <c r="D121" s="3516" t="str">
        <f>IF(D120=0,"零元整",NUMBERSTRING(INT(D120*10000),2)&amp;"元整")</f>
        <v>零元整</v>
      </c>
      <c r="E121" s="3601"/>
      <c r="F121" s="3601"/>
      <c r="G121" s="3601"/>
      <c r="H121" s="3601"/>
      <c r="I121" s="3517"/>
    </row>
    <row r="122" spans="1:11" ht="18.75" customHeight="1">
      <c r="A122" s="3603" t="str">
        <f>IF(项目基本情况!B9="房地产市场价值","",MID(E107,3,LEN(E107)-2))</f>
        <v>房地产抵押价值</v>
      </c>
      <c r="B122" s="3603"/>
      <c r="C122" s="3603"/>
      <c r="D122" s="3598" t="e">
        <f ca="1">H107</f>
        <v>#N/A</v>
      </c>
      <c r="E122" s="3599"/>
      <c r="F122" s="3599"/>
      <c r="G122" s="3599"/>
      <c r="H122" s="3599"/>
      <c r="I122" s="3600"/>
    </row>
    <row r="123" spans="1:11" ht="18.75" customHeight="1">
      <c r="A123" s="3521" t="s">
        <v>2305</v>
      </c>
      <c r="B123" s="3521"/>
      <c r="C123" s="3521"/>
      <c r="D123" s="3516" t="e">
        <f ca="1">NUMBERSTRING(INT(D122*10000),2)&amp;"元整"</f>
        <v>#N/A</v>
      </c>
      <c r="E123" s="3601"/>
      <c r="F123" s="3601"/>
      <c r="G123" s="3601"/>
      <c r="H123" s="3601"/>
      <c r="I123" s="3517"/>
    </row>
    <row r="124" spans="1:11" ht="18.75" customHeight="1">
      <c r="A124" s="3603" t="str">
        <f>IF(项目基本情况!B9="房地产市场价值","",MID(E109,3,LEN(E109)-2))</f>
        <v/>
      </c>
      <c r="B124" s="3603"/>
      <c r="C124" s="3603"/>
      <c r="D124" s="3598" t="str">
        <f>H109</f>
        <v>——</v>
      </c>
      <c r="E124" s="3599"/>
      <c r="F124" s="3599"/>
      <c r="G124" s="3599"/>
      <c r="H124" s="3599"/>
      <c r="I124" s="3600"/>
    </row>
    <row r="125" spans="1:11" ht="18.75" customHeight="1">
      <c r="A125" s="3521" t="s">
        <v>2305</v>
      </c>
      <c r="B125" s="3521"/>
      <c r="C125" s="3521"/>
      <c r="D125" s="3516" t="e">
        <f>NUMBERSTRING(INT(D124*10000),2)&amp;"元整"</f>
        <v>#VALUE!</v>
      </c>
      <c r="E125" s="3601"/>
      <c r="F125" s="3601"/>
      <c r="G125" s="3601"/>
      <c r="H125" s="3601"/>
      <c r="I125" s="3517"/>
    </row>
    <row r="126" spans="1:11" ht="18.75" customHeight="1">
      <c r="A126" s="3603" t="str">
        <f>IF(项目基本情况!B9="房地产市场价值","",MID(E111,3,LEN(E111)-2))</f>
        <v/>
      </c>
      <c r="B126" s="3603"/>
      <c r="C126" s="3603"/>
      <c r="D126" s="3598" t="str">
        <f>H111</f>
        <v>——</v>
      </c>
      <c r="E126" s="3599"/>
      <c r="F126" s="3599"/>
      <c r="G126" s="3599"/>
      <c r="H126" s="3599"/>
      <c r="I126" s="3600"/>
    </row>
    <row r="127" spans="1:11" ht="18.75" customHeight="1">
      <c r="A127" s="3521" t="s">
        <v>2305</v>
      </c>
      <c r="B127" s="3521"/>
      <c r="C127" s="3521"/>
      <c r="D127" s="3516" t="e">
        <f>NUMBERSTRING(INT(D126*10000),2)&amp;"元整"</f>
        <v>#VALUE!</v>
      </c>
      <c r="E127" s="3601"/>
      <c r="F127" s="3601"/>
      <c r="G127" s="3601"/>
      <c r="H127" s="3601"/>
      <c r="I127" s="3517"/>
    </row>
    <row r="128" spans="1:11" ht="21.75" customHeight="1">
      <c r="A128" s="3602" t="s">
        <v>2306</v>
      </c>
      <c r="B128" s="3602"/>
      <c r="C128" s="3602"/>
      <c r="D128" s="3602"/>
      <c r="E128" s="3602"/>
      <c r="F128" s="3602"/>
      <c r="G128" s="3602"/>
      <c r="H128" s="3602"/>
      <c r="I128" s="360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xr:uid="{00000000-0002-0000-3000-000000000000}">
      <formula1>"2.估价师知悉的法定优先受偿款,2.估价师知悉的除抵押担保权以外的法定优先受偿款"</formula1>
    </dataValidation>
    <dataValidation type="list" allowBlank="1" showInputMessage="1" showErrorMessage="1" sqref="G77" xr:uid="{00000000-0002-0000-3000-000001000000}">
      <formula1>"个人住宅,2016年5月1日前购买,2016年5月1日后购买"</formula1>
    </dataValidation>
    <dataValidation type="list" allowBlank="1" showInputMessage="1" showErrorMessage="1" sqref="C1" xr:uid="{00000000-0002-0000-3000-000002000000}">
      <formula1>项目类型</formula1>
    </dataValidation>
    <dataValidation type="list" allowBlank="1" showInputMessage="1" showErrorMessage="1" sqref="I1" xr:uid="{00000000-0002-0000-3000-000003000000}">
      <formula1>"项目局部,项目全部,——"</formula1>
    </dataValidation>
    <dataValidation type="list" showInputMessage="1" showErrorMessage="1" sqref="G1" xr:uid="{00000000-0002-0000-3000-000004000000}">
      <formula1>"现房,在建,土地,-"</formula1>
    </dataValidation>
    <dataValidation type="list" allowBlank="1" showInputMessage="1" showErrorMessage="1" sqref="H59" xr:uid="{00000000-0002-0000-3000-000005000000}">
      <formula1>"非个人房产,个人住宅,个人非住宅"</formula1>
    </dataValidation>
    <dataValidation type="list" allowBlank="1" showInputMessage="1" showErrorMessage="1" sqref="C129" xr:uid="{00000000-0002-0000-3000-000006000000}">
      <formula1>"无,有"</formula1>
    </dataValidation>
    <dataValidation type="list" allowBlank="1" showInputMessage="1" showErrorMessage="1" sqref="F116:G116" xr:uid="{00000000-0002-0000-3000-000007000000}">
      <formula1>"建筑物价值,在建建筑物价值,建筑物/在建建筑物价值"</formula1>
    </dataValidation>
    <dataValidation type="list" allowBlank="1" showInputMessage="1" showErrorMessage="1" sqref="D116:E116" xr:uid="{00000000-0002-0000-3000-000008000000}">
      <formula1>"出让国有建设用地使用权价值,划拨国有建设用地使用权价值"</formula1>
    </dataValidation>
    <dataValidation type="list" allowBlank="1" showInputMessage="1" showErrorMessage="1" sqref="C116:C117" xr:uid="{00000000-0002-0000-3000-000009000000}">
      <formula1>"土地面积,分摊土地面积,（分摊）土地面积"</formula1>
    </dataValidation>
    <dataValidation type="list" allowBlank="1" showInputMessage="1" showErrorMessage="1" sqref="B116:B117" xr:uid="{00000000-0002-0000-3000-00000A000000}">
      <formula1>"建筑面积,规划建筑面积,（规划）建筑面积"</formula1>
    </dataValidation>
    <dataValidation type="list" allowBlank="1" showInputMessage="1" showErrorMessage="1" sqref="D36" xr:uid="{00000000-0002-0000-3000-00000B000000}">
      <formula1>"同一抵押权人同一抵押物续贷,注销后放款,正常操作"</formula1>
    </dataValidation>
    <dataValidation type="list" allowBlank="1" showInputMessage="1" showErrorMessage="1" sqref="F75" xr:uid="{00000000-0002-0000-3000-00000C000000}">
      <formula1>"买卖合同,购房发票"</formula1>
    </dataValidation>
    <dataValidation type="list" allowBlank="1" showInputMessage="1" showErrorMessage="1" sqref="H88" xr:uid="{00000000-0002-0000-3000-00000D000000}">
      <formula1>"仅含出让金,出让金+开发费"</formula1>
    </dataValidation>
    <dataValidation type="list" allowBlank="1" showInputMessage="1" showErrorMessage="1" sqref="H91" xr:uid="{00000000-0002-0000-3000-00000E000000}">
      <formula1>"企业提供（在右侧录入）,——"</formula1>
    </dataValidation>
    <dataValidation type="list" allowBlank="1" showInputMessage="1" showErrorMessage="1" sqref="C33" xr:uid="{00000000-0002-0000-3000-00000F000000}">
      <formula1>"成本比率,收益比率,自定义"</formula1>
    </dataValidation>
    <dataValidation type="list" allowBlank="1" showInputMessage="1" showErrorMessage="1" sqref="F45" xr:uid="{00000000-0002-0000-3000-000010000000}">
      <formula1>"100%,80%,60%,64%"</formula1>
    </dataValidation>
    <dataValidation type="list" allowBlank="1" showInputMessage="1" showErrorMessage="1" sqref="D32" xr:uid="{00000000-0002-0000-3000-000011000000}">
      <formula1>"总价,楼面单价"</formula1>
    </dataValidation>
    <dataValidation type="list" allowBlank="1" showInputMessage="1" showErrorMessage="1" sqref="H58" xr:uid="{00000000-0002-0000-3000-000012000000}">
      <formula1>"转让取得,自行开发建设"</formula1>
    </dataValidation>
    <dataValidation type="list" allowBlank="1" showInputMessage="1" showErrorMessage="1" sqref="H48" xr:uid="{00000000-0002-0000-3000-000013000000}">
      <formula1>"情况1,情况2,情况3,情况4"</formula1>
    </dataValidation>
    <dataValidation type="list" allowBlank="1" showInputMessage="1" showErrorMessage="1" sqref="H55:H56" xr:uid="{00000000-0002-0000-3000-000014000000}">
      <formula1>"个人住宅,正常"</formula1>
    </dataValidation>
    <dataValidation type="list" allowBlank="1" showInputMessage="1" showErrorMessage="1" sqref="C4:D4 D33" xr:uid="{00000000-0002-0000-30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4" customWidth="1"/>
    <col min="2" max="9" width="12.109375" style="1924" customWidth="1"/>
    <col min="10" max="16384" width="9" style="1924"/>
  </cols>
  <sheetData>
    <row r="1" spans="1:9" ht="18"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1629</v>
      </c>
      <c r="B2" s="3485" t="s">
        <v>1630</v>
      </c>
      <c r="C2" s="3485" t="s">
        <v>1631</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6">
      <c r="A3" s="3486"/>
      <c r="B3" s="3486"/>
      <c r="C3" s="3486"/>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42164.249999999993</v>
      </c>
      <c r="C4" s="1034">
        <f>项目基本情况!C18</f>
        <v>9680.74</v>
      </c>
      <c r="D4" s="1034" t="e">
        <f ca="1">结果表!D118</f>
        <v>#REF!</v>
      </c>
      <c r="E4" s="1034" t="e">
        <f ca="1">结果表!E118</f>
        <v>#REF!</v>
      </c>
      <c r="F4" s="1034" t="e">
        <f ca="1">结果表!F118</f>
        <v>#REF!</v>
      </c>
      <c r="G4" s="1034" t="e">
        <f ca="1">结果表!G118</f>
        <v>#REF!</v>
      </c>
      <c r="H4" s="1034">
        <f ca="1">结果表!H118</f>
        <v>167491</v>
      </c>
      <c r="I4" s="1034">
        <f ca="1">结果表!I118</f>
        <v>39723</v>
      </c>
    </row>
    <row r="5" spans="1:9" ht="30" customHeight="1">
      <c r="A5" s="3486" t="s">
        <v>1628</v>
      </c>
      <c r="B5" s="3486"/>
      <c r="C5" s="3486"/>
      <c r="D5" s="3487" t="e">
        <f ca="1">结果表!D119</f>
        <v>#REF!</v>
      </c>
      <c r="E5" s="3487"/>
      <c r="F5" s="3487" t="e">
        <f ca="1">结果表!F119</f>
        <v>#REF!</v>
      </c>
      <c r="G5" s="3487"/>
      <c r="H5" s="3487" t="str">
        <f ca="1">结果表!H119</f>
        <v>壹拾陆亿柒仟肆佰玖拾壹万元整</v>
      </c>
      <c r="I5" s="3487"/>
    </row>
    <row r="6" spans="1:9" ht="15.6">
      <c r="A6" s="3488" t="str">
        <f>结果表!A120</f>
        <v>估价师知悉的法定优先受偿款</v>
      </c>
      <c r="B6" s="3488"/>
      <c r="C6" s="3488"/>
      <c r="D6" s="3488">
        <f>结果表!D120</f>
        <v>0</v>
      </c>
      <c r="E6" s="3488"/>
      <c r="F6" s="3488"/>
      <c r="G6" s="3488"/>
      <c r="H6" s="3488"/>
      <c r="I6" s="3488"/>
    </row>
    <row r="7" spans="1:9" ht="15">
      <c r="A7" s="3486" t="s">
        <v>1628</v>
      </c>
      <c r="B7" s="3486"/>
      <c r="C7" s="3486"/>
      <c r="D7" s="3489" t="str">
        <f>结果表!D121</f>
        <v>零元整</v>
      </c>
      <c r="E7" s="3490"/>
      <c r="F7" s="3490"/>
      <c r="G7" s="3490"/>
      <c r="H7" s="3490"/>
      <c r="I7" s="3491"/>
    </row>
    <row r="8" spans="1:9" ht="15.6">
      <c r="A8" s="3488" t="str">
        <f>结果表!A122</f>
        <v>房地产抵押价值</v>
      </c>
      <c r="B8" s="3488"/>
      <c r="C8" s="3488"/>
      <c r="D8" s="3488">
        <f ca="1">结果表!D122</f>
        <v>167491</v>
      </c>
      <c r="E8" s="3488"/>
      <c r="F8" s="3488"/>
      <c r="G8" s="3488"/>
      <c r="H8" s="3488"/>
      <c r="I8" s="3488"/>
    </row>
    <row r="9" spans="1:9" ht="15">
      <c r="A9" s="3486" t="s">
        <v>1628</v>
      </c>
      <c r="B9" s="3486"/>
      <c r="C9" s="3486"/>
      <c r="D9" s="3487" t="str">
        <f ca="1">结果表!D123</f>
        <v>壹拾陆亿柒仟肆佰玖拾壹万元整</v>
      </c>
      <c r="E9" s="3487"/>
      <c r="F9" s="3487"/>
      <c r="G9" s="3487"/>
      <c r="H9" s="3487"/>
      <c r="I9" s="3487"/>
    </row>
    <row r="10" spans="1:9" ht="15.6">
      <c r="A10" s="3488" t="str">
        <f>结果表!A124</f>
        <v/>
      </c>
      <c r="B10" s="3488"/>
      <c r="C10" s="3488"/>
      <c r="D10" s="3488" t="str">
        <f>结果表!D124</f>
        <v>——</v>
      </c>
      <c r="E10" s="3488"/>
      <c r="F10" s="3488"/>
      <c r="G10" s="3488"/>
      <c r="H10" s="3488"/>
      <c r="I10" s="3488"/>
    </row>
    <row r="11" spans="1:9" ht="15">
      <c r="A11" s="3486" t="s">
        <v>1628</v>
      </c>
      <c r="B11" s="3486"/>
      <c r="C11" s="3486"/>
      <c r="D11" s="3487" t="e">
        <f>结果表!D125</f>
        <v>#VALUE!</v>
      </c>
      <c r="E11" s="3487"/>
      <c r="F11" s="3487"/>
      <c r="G11" s="3487"/>
      <c r="H11" s="3487"/>
      <c r="I11" s="3487"/>
    </row>
    <row r="12" spans="1:9" ht="15.6">
      <c r="A12" s="3488" t="str">
        <f>结果表!A126</f>
        <v/>
      </c>
      <c r="B12" s="3488"/>
      <c r="C12" s="3488"/>
      <c r="D12" s="3488" t="str">
        <f>结果表!D126</f>
        <v>——</v>
      </c>
      <c r="E12" s="3488"/>
      <c r="F12" s="3488"/>
      <c r="G12" s="3488"/>
      <c r="H12" s="3488"/>
      <c r="I12" s="3488"/>
    </row>
    <row r="13" spans="1:9" ht="15.6" thickBot="1">
      <c r="A13" s="3492" t="s">
        <v>1628</v>
      </c>
      <c r="B13" s="3492"/>
      <c r="C13" s="3492"/>
      <c r="D13" s="3493" t="e">
        <f>结果表!D127</f>
        <v>#VALUE!</v>
      </c>
      <c r="E13" s="3493"/>
      <c r="F13" s="3493"/>
      <c r="G13" s="3493"/>
      <c r="H13" s="3493"/>
      <c r="I13" s="3493"/>
    </row>
    <row r="14" spans="1:9" ht="14.4" thickTop="1">
      <c r="A14" s="3494" t="s">
        <v>1633</v>
      </c>
      <c r="B14" s="3494"/>
      <c r="C14" s="3494"/>
      <c r="D14" s="3494"/>
      <c r="E14" s="3494"/>
      <c r="F14" s="3494"/>
      <c r="G14" s="3494"/>
      <c r="H14" s="3494"/>
      <c r="I14" s="3494"/>
    </row>
    <row r="16" spans="1:9" ht="17.399999999999999">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topLeftCell="A22" workbookViewId="0">
      <selection activeCell="G14" sqref="G1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2314</v>
      </c>
      <c r="B1" s="1916" t="s">
        <v>3634</v>
      </c>
      <c r="C1" s="242"/>
      <c r="D1" s="242"/>
      <c r="E1" s="242"/>
      <c r="F1" s="242"/>
      <c r="G1" s="1361" t="e">
        <f>MATCH(B1,'数据-取费表'!A6:A16,0)+5</f>
        <v>#N/A</v>
      </c>
    </row>
    <row r="2" spans="1:9" s="244" customFormat="1" ht="18" customHeight="1">
      <c r="A2" s="245" t="s">
        <v>2315</v>
      </c>
      <c r="B2" s="246" t="e">
        <f ca="1">IF(D2="——",C52,C52-E2)</f>
        <v>#N/A</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#N/A</v>
      </c>
      <c r="C3" s="243" t="s">
        <v>2318</v>
      </c>
      <c r="D3" s="243"/>
      <c r="E3" s="243"/>
      <c r="F3" s="243"/>
      <c r="G3" s="243"/>
    </row>
    <row r="4" spans="1:9" s="252" customFormat="1" ht="16.2">
      <c r="A4" s="249" t="s">
        <v>2319</v>
      </c>
      <c r="B4" s="250"/>
      <c r="C4" s="250"/>
      <c r="D4" s="250"/>
      <c r="E4" s="250"/>
      <c r="F4" s="250"/>
      <c r="G4" s="251"/>
    </row>
    <row r="5" spans="1:9" s="258" customFormat="1" ht="13.5" customHeight="1">
      <c r="A5" s="299" t="s">
        <v>782</v>
      </c>
      <c r="B5" s="254" t="s">
        <v>2321</v>
      </c>
      <c r="C5" s="255" t="e">
        <f ca="1">C6+C7+C8</f>
        <v>#N/A</v>
      </c>
      <c r="D5" s="255" t="s">
        <v>2322</v>
      </c>
      <c r="E5" s="256" t="s">
        <v>2323</v>
      </c>
      <c r="F5" s="256" t="s">
        <v>2324</v>
      </c>
      <c r="G5" s="257"/>
    </row>
    <row r="6" spans="1:9" s="258" customFormat="1" ht="13.5" customHeight="1">
      <c r="A6" s="939" t="s">
        <v>2325</v>
      </c>
      <c r="B6" s="259" t="s">
        <v>2326</v>
      </c>
      <c r="C6" s="260">
        <f>ROUND('土地比较法-住宅、综合'!B56*'数据-汇总表'!F22/10000,0)</f>
        <v>95</v>
      </c>
      <c r="D6" s="261"/>
      <c r="E6" s="262"/>
      <c r="F6" s="262"/>
      <c r="G6" s="263"/>
    </row>
    <row r="7" spans="1:9" s="258" customFormat="1" ht="13.5" customHeight="1">
      <c r="A7" s="939" t="s">
        <v>792</v>
      </c>
      <c r="B7" s="259" t="s">
        <v>2328</v>
      </c>
      <c r="C7" s="264">
        <f>ROUND(C6*F7,0)</f>
        <v>3</v>
      </c>
      <c r="D7" s="264"/>
      <c r="E7" s="262"/>
      <c r="F7" s="265">
        <f>IF(项目基本情况!B8="出让",0,'数据-取费表'!B48+'数据-取费表'!B49)</f>
        <v>3.0499999999999999E-2</v>
      </c>
      <c r="G7" s="263"/>
    </row>
    <row r="8" spans="1:9" s="267" customFormat="1">
      <c r="A8" s="939" t="s">
        <v>2329</v>
      </c>
      <c r="B8" s="259" t="s">
        <v>2330</v>
      </c>
      <c r="C8" s="264" t="e">
        <f ca="1">IF(G8="已包含在土地购买价格中","0",IF(B1="",'数据-取费表'!B29,IF(G9="全部缴纳",C9+C10,H9)))</f>
        <v>#N/A</v>
      </c>
      <c r="D8" s="266"/>
      <c r="E8" s="264"/>
      <c r="F8" s="265"/>
      <c r="G8" s="2523" t="s">
        <v>3626</v>
      </c>
    </row>
    <row r="9" spans="1:9" s="258" customFormat="1" ht="13.5" customHeight="1">
      <c r="A9" s="940" t="s">
        <v>800</v>
      </c>
      <c r="B9" s="268" t="s">
        <v>2331</v>
      </c>
      <c r="C9" s="269" t="e">
        <f ca="1">ROUND(D9*E9/10000,0)</f>
        <v>#N/A</v>
      </c>
      <c r="D9" s="1022" t="e">
        <f ca="1">IF(B1="",'数据-汇总表'!E5,IF(INDIRECT("'数据-取费表'!c"&amp;$G$1)="住宅",INDIRECT("'数据-取费表'!k"&amp;$G$1),0))</f>
        <v>#N/A</v>
      </c>
      <c r="E9" s="269">
        <f>'数据-取费表'!B27</f>
        <v>160</v>
      </c>
      <c r="F9" s="265"/>
      <c r="G9" s="2524" t="s">
        <v>3627</v>
      </c>
      <c r="H9" s="1371"/>
      <c r="I9" s="2525" t="s">
        <v>2332</v>
      </c>
    </row>
    <row r="10" spans="1:9" s="258" customFormat="1" ht="13.5" customHeight="1">
      <c r="A10" s="940" t="s">
        <v>801</v>
      </c>
      <c r="B10" s="268" t="s">
        <v>2333</v>
      </c>
      <c r="C10" s="269" t="e">
        <f ca="1">ROUND(D10*E10/10000,0)</f>
        <v>#N/A</v>
      </c>
      <c r="D10" s="102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t="e">
        <f ca="1">D9+D10</f>
        <v>#N/A</v>
      </c>
      <c r="E19" s="255">
        <f>'数据-取费表'!B31</f>
        <v>200</v>
      </c>
      <c r="F19" s="275"/>
      <c r="G19" s="2523" t="s">
        <v>3628</v>
      </c>
    </row>
    <row r="20" spans="1:7" s="258" customFormat="1" ht="13.5" customHeight="1">
      <c r="A20" s="299" t="s">
        <v>2346</v>
      </c>
      <c r="B20" s="254" t="s">
        <v>2347</v>
      </c>
      <c r="C20" s="276" t="e">
        <f ca="1">ROUND((C5+C19)*F20,0)</f>
        <v>#N/A</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t="e">
        <f ca="1">ROUND(SUM(C23:C25),0)</f>
        <v>#N/A</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t="e">
        <f ca="1">ROUND(IF('数据-取费表'!B22&lt;=1,C5*F22*'数据-取费表'!B23,C5*(POWER((1+F22),'数据-取费表'!B23)-1)),0)</f>
        <v>#N/A</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t="e">
        <f ca="1">ROUND(IF('数据-取费表'!B22&lt;=1,C20*F22*'数据-取费表'!B23/2,C20*(POWER((1+F22),'数据-取费表'!B23/2)-1)),0)</f>
        <v>#N/A</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6.4">
      <c r="A27" s="299" t="s">
        <v>2365</v>
      </c>
      <c r="B27" s="288" t="s">
        <v>2366</v>
      </c>
      <c r="C27" s="289" t="e">
        <f ca="1">C28</f>
        <v>#N/A</v>
      </c>
      <c r="D27" s="279" t="e">
        <f ca="1">C29</f>
        <v>#N/A</v>
      </c>
      <c r="E27" s="280" t="s">
        <v>2351</v>
      </c>
      <c r="F27" s="290" t="e">
        <f ca="1">IF(B1="",'数据-取费表'!Q16,INDIRECT("'数据-取费表'!q"&amp;$G$1))</f>
        <v>#N/A</v>
      </c>
      <c r="G27" s="291" t="s">
        <v>2368</v>
      </c>
    </row>
    <row r="28" spans="1:7" s="258" customFormat="1" ht="13.5" customHeight="1">
      <c r="A28" s="941" t="s">
        <v>791</v>
      </c>
      <c r="B28" s="292" t="s">
        <v>2369</v>
      </c>
      <c r="C28" s="293" t="e">
        <f ca="1">ROUND((C5+C19+C20)*F27*'数据-取费表'!B21/'数据-取费表'!B20,0)</f>
        <v>#N/A</v>
      </c>
      <c r="D28" s="279"/>
      <c r="E28" s="280"/>
      <c r="F28" s="290"/>
      <c r="G28" s="291"/>
    </row>
    <row r="29" spans="1:7" s="258" customFormat="1" ht="13.5" customHeight="1">
      <c r="A29" s="941" t="s">
        <v>792</v>
      </c>
      <c r="B29" s="292" t="s">
        <v>2370</v>
      </c>
      <c r="C29" s="282" t="e">
        <f ca="1">ROUND(C21*F27*'数据-取费表'!B21/'数据-取费表'!B20,4)</f>
        <v>#N/A</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t="e">
        <f ca="1">ROUND((C5+C19+C20+C22+C27)/(1-C21-D22-D27-C30),0)</f>
        <v>#N/A</v>
      </c>
      <c r="D31" s="274"/>
      <c r="E31" s="255"/>
      <c r="F31" s="294"/>
      <c r="G31" s="278" t="s">
        <v>2375</v>
      </c>
    </row>
    <row r="32" spans="1:7" s="252" customFormat="1" ht="16.2">
      <c r="A32" s="296" t="s">
        <v>2376</v>
      </c>
      <c r="B32" s="297"/>
      <c r="C32" s="297"/>
      <c r="D32" s="297"/>
      <c r="E32" s="297"/>
      <c r="F32" s="297"/>
      <c r="G32" s="298"/>
    </row>
    <row r="33" spans="1:7" s="258" customFormat="1" ht="13.5" customHeight="1">
      <c r="A33" s="299" t="s">
        <v>782</v>
      </c>
      <c r="B33" s="254" t="s">
        <v>2377</v>
      </c>
      <c r="C33" s="300" t="e">
        <f ca="1">SUM(C34:C38)</f>
        <v>#N/A</v>
      </c>
      <c r="D33" s="276"/>
      <c r="E33" s="256"/>
      <c r="F33" s="285"/>
      <c r="G33" s="278"/>
    </row>
    <row r="34" spans="1:7" s="302" customFormat="1" ht="13.5" customHeight="1">
      <c r="A34" s="941" t="s">
        <v>791</v>
      </c>
      <c r="B34" s="259" t="s">
        <v>2378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2379</v>
      </c>
    </row>
    <row r="35" spans="1:7" ht="13.5" customHeight="1">
      <c r="A35" s="941" t="s">
        <v>796</v>
      </c>
      <c r="B35" s="259" t="s">
        <v>2380</v>
      </c>
      <c r="C35" s="264" t="e">
        <f ca="1">ROUND(C34*F35,0)</f>
        <v>#N/A</v>
      </c>
      <c r="D35" s="264"/>
      <c r="E35" s="264"/>
      <c r="F35" s="303">
        <f>'数据-取费表'!B33</f>
        <v>0.03</v>
      </c>
      <c r="G35" s="263" t="s">
        <v>2381</v>
      </c>
    </row>
    <row r="36" spans="1:7" ht="24">
      <c r="A36" s="941" t="s">
        <v>797</v>
      </c>
      <c r="B36" s="259" t="s">
        <v>2382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2383</v>
      </c>
    </row>
    <row r="37" spans="1:7" s="302" customFormat="1" ht="13.5" customHeight="1">
      <c r="A37" s="941" t="s">
        <v>798</v>
      </c>
      <c r="B37" s="259" t="s">
        <v>2384</v>
      </c>
      <c r="C37" s="293" t="e">
        <f ca="1">ROUND(E37*D37*F34/10000,0)</f>
        <v>#N/A</v>
      </c>
      <c r="D37" s="261" t="e">
        <f ca="1">D19</f>
        <v>#N/A</v>
      </c>
      <c r="E37" s="293">
        <f>'数据-取费表'!B35</f>
        <v>200</v>
      </c>
      <c r="F37" s="303"/>
      <c r="G37" s="305" t="s">
        <v>2385</v>
      </c>
    </row>
    <row r="38" spans="1:7" ht="13.5" customHeight="1">
      <c r="A38" s="941" t="s">
        <v>799</v>
      </c>
      <c r="B38" s="259" t="s">
        <v>2386</v>
      </c>
      <c r="C38" s="264" t="e">
        <f ca="1">ROUND(C34*F38,0)</f>
        <v>#N/A</v>
      </c>
      <c r="D38" s="264"/>
      <c r="E38" s="264"/>
      <c r="F38" s="303">
        <f>'数据-取费表'!B36</f>
        <v>1.4999999999999999E-2</v>
      </c>
      <c r="G38" s="263" t="s">
        <v>2381</v>
      </c>
    </row>
    <row r="39" spans="1:7" s="258" customFormat="1" ht="13.5" customHeight="1">
      <c r="A39" s="299" t="s">
        <v>2387</v>
      </c>
      <c r="B39" s="254" t="s">
        <v>2388</v>
      </c>
      <c r="C39" s="276" t="e">
        <f ca="1">ROUND(C33*F20,0)</f>
        <v>#N/A</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t="e">
        <f ca="1">ROUND(SUM(C42:C43),0)</f>
        <v>#N/A</v>
      </c>
      <c r="D41" s="279">
        <f ca="1">C44</f>
        <v>1E-3</v>
      </c>
      <c r="E41" s="280" t="s">
        <v>2392</v>
      </c>
      <c r="F41" s="281"/>
      <c r="G41" s="278" t="str">
        <f>IF('数据-取费表'!B22&lt;=1,"单利计息","复利计息")</f>
        <v>复利计息</v>
      </c>
    </row>
    <row r="42" spans="1:7" ht="13.5" customHeight="1">
      <c r="A42" s="941" t="s">
        <v>791</v>
      </c>
      <c r="B42" s="259" t="s">
        <v>2396</v>
      </c>
      <c r="C42" s="282" t="e">
        <f ca="1">ROUND(IF('数据-取费表'!B22&lt;=1,C33*F22*'数据-取费表'!B21/2,C33*(POWER((1+F22),'数据-取费表'!B21/2)-1)),0)</f>
        <v>#N/A</v>
      </c>
      <c r="D42" s="282"/>
      <c r="E42" s="282"/>
      <c r="F42" s="283"/>
      <c r="G42" s="3713" t="s">
        <v>2397</v>
      </c>
    </row>
    <row r="43" spans="1:7" ht="13.5" customHeight="1">
      <c r="A43" s="941" t="s">
        <v>792</v>
      </c>
      <c r="B43" s="259" t="s">
        <v>2359</v>
      </c>
      <c r="C43" s="282" t="e">
        <f ca="1">ROUND(IF('数据-取费表'!B22&lt;=1,C39*F22*'数据-取费表'!B21/2,C39*(POWER((1+F22),'数据-取费表'!B21/2)-1)),0)</f>
        <v>#N/A</v>
      </c>
      <c r="D43" s="282"/>
      <c r="E43" s="282"/>
      <c r="F43" s="283"/>
      <c r="G43" s="3714"/>
    </row>
    <row r="44" spans="1:7" ht="13.5" customHeight="1">
      <c r="A44" s="941" t="s">
        <v>793</v>
      </c>
      <c r="B44" s="259" t="s">
        <v>2399</v>
      </c>
      <c r="C44" s="282">
        <f ca="1">ROUND(IF('数据-取费表'!B22&lt;=1,C40*F22*'数据-取费表'!B21/2,C40*(POWER((1+F22),'数据-取费表'!B21/2)-1)),4)</f>
        <v>1E-3</v>
      </c>
      <c r="D44" s="282"/>
      <c r="E44" s="282"/>
      <c r="F44" s="283"/>
      <c r="G44" s="3715"/>
    </row>
    <row r="45" spans="1:7" s="258" customFormat="1" ht="13.5" customHeight="1">
      <c r="A45" s="299" t="s">
        <v>2353</v>
      </c>
      <c r="B45" s="288" t="s">
        <v>2366</v>
      </c>
      <c r="C45" s="289" t="e">
        <f ca="1">C46</f>
        <v>#N/A</v>
      </c>
      <c r="D45" s="279" t="e">
        <f ca="1">C47</f>
        <v>#N/A</v>
      </c>
      <c r="E45" s="280" t="s">
        <v>2392</v>
      </c>
      <c r="F45" s="290"/>
      <c r="G45" s="291" t="s">
        <v>2401</v>
      </c>
    </row>
    <row r="46" spans="1:7" s="258" customFormat="1" ht="13.5" customHeight="1">
      <c r="A46" s="941" t="s">
        <v>791</v>
      </c>
      <c r="B46" s="292" t="s">
        <v>2402</v>
      </c>
      <c r="C46" s="293" t="e">
        <f ca="1">ROUND((C33+C39)*F27,0)</f>
        <v>#N/A</v>
      </c>
      <c r="D46" s="307"/>
      <c r="E46" s="280"/>
      <c r="F46" s="290"/>
      <c r="G46" s="291"/>
    </row>
    <row r="47" spans="1:7" s="258" customFormat="1" ht="13.5" customHeight="1">
      <c r="A47" s="941" t="s">
        <v>792</v>
      </c>
      <c r="B47" s="292" t="s">
        <v>2403</v>
      </c>
      <c r="C47" s="282" t="e">
        <f ca="1">ROUND(C40*F27,4)</f>
        <v>#N/A</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t="e">
        <f ca="1">ROUND((C33+C39+C41+C45)/(1-C40-D41-D45-C48),0)</f>
        <v>#N/A</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t="e">
        <f ca="1">ROUND(C49*F50,0)</f>
        <v>#N/A</v>
      </c>
      <c r="D51" s="276"/>
      <c r="E51" s="276"/>
      <c r="F51" s="308"/>
      <c r="G51" s="278" t="s">
        <v>2413</v>
      </c>
    </row>
    <row r="52" spans="1:7" s="252" customFormat="1" ht="16.8" thickBot="1">
      <c r="A52" s="309" t="s">
        <v>2414</v>
      </c>
      <c r="B52" s="310"/>
      <c r="C52" s="311" t="e">
        <f ca="1">C31+C51</f>
        <v>#N/A</v>
      </c>
      <c r="D52" s="310"/>
      <c r="E52" s="310"/>
      <c r="F52" s="310"/>
      <c r="G52" s="312"/>
    </row>
    <row r="55" spans="1:7" ht="15">
      <c r="B55" s="314" t="s">
        <v>2415</v>
      </c>
      <c r="C55" s="315"/>
    </row>
    <row r="56" spans="1:7">
      <c r="B56" s="317" t="s">
        <v>1501</v>
      </c>
      <c r="C56" s="319" t="e">
        <f ca="1">1-C57</f>
        <v>#N/A</v>
      </c>
    </row>
    <row r="57" spans="1:7">
      <c r="B57" s="317" t="s">
        <v>1502</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xr:uid="{00000000-0002-0000-3100-000000000000}">
      <formula1>"需扣减承租人权益,——"</formula1>
    </dataValidation>
    <dataValidation type="list" allowBlank="1" showInputMessage="1" showErrorMessage="1" sqref="G2" xr:uid="{00000000-0002-0000-3100-000001000000}">
      <formula1>估价方法</formula1>
    </dataValidation>
    <dataValidation type="list" allowBlank="1" showInputMessage="1" showErrorMessage="1" sqref="G9" xr:uid="{00000000-0002-0000-3100-000002000000}">
      <formula1>"部分缴纳,全部缴纳"</formula1>
    </dataValidation>
    <dataValidation type="list" allowBlank="1" showInputMessage="1" showErrorMessage="1" sqref="B1" xr:uid="{00000000-0002-0000-3100-000003000000}">
      <formula1>项目类型</formula1>
    </dataValidation>
    <dataValidation type="list" allowBlank="1" showInputMessage="1" showErrorMessage="1" sqref="G19" xr:uid="{00000000-0002-0000-3100-000004000000}">
      <formula1>"已包含在土地取得成本中,未包含在土地取得成本中"</formula1>
    </dataValidation>
    <dataValidation type="list" allowBlank="1" showInputMessage="1" showErrorMessage="1" sqref="G8" xr:uid="{00000000-0002-0000-31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118"/>
  <sheetViews>
    <sheetView topLeftCell="A52" zoomScale="80" zoomScaleNormal="80" zoomScaleSheetLayoutView="96" workbookViewId="0">
      <selection activeCell="E66" sqref="E66"/>
    </sheetView>
  </sheetViews>
  <sheetFormatPr defaultColWidth="12" defaultRowHeight="13.2"/>
  <cols>
    <col min="1" max="1" width="9.77734375" style="2759" customWidth="1"/>
    <col min="2" max="2" width="19.21875" style="2865" customWidth="1"/>
    <col min="3" max="4" width="12" style="2691"/>
    <col min="5" max="5" width="14.6640625" style="2691" customWidth="1"/>
    <col min="6" max="8" width="12" style="2691"/>
    <col min="9" max="9" width="12.21875" style="2691" bestFit="1" customWidth="1"/>
    <col min="10" max="10" width="12" style="2691"/>
    <col min="11" max="11" width="8.109375" style="2754" customWidth="1"/>
    <col min="12" max="12" width="12" style="2691"/>
    <col min="13" max="13" width="8.44140625" style="2691" customWidth="1"/>
    <col min="14" max="14" width="9.77734375" style="2691" customWidth="1"/>
    <col min="15" max="25" width="12" style="2691"/>
    <col min="26" max="26" width="9.33203125" style="2759" customWidth="1"/>
    <col min="27" max="32" width="9.33203125" style="1354" customWidth="1"/>
    <col min="33" max="36" width="9.33203125" style="2759" customWidth="1"/>
    <col min="37" max="38" width="9.33203125" style="2691" customWidth="1"/>
    <col min="39" max="16384" width="12" style="2691"/>
  </cols>
  <sheetData>
    <row r="1" spans="1:36" ht="31.2">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6">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6.4">
      <c r="A3" s="247" t="s">
        <v>2796</v>
      </c>
      <c r="B3" s="248" t="e">
        <f ca="1">ROUND(B2*10000/D1,0)</f>
        <v>#DIV/0!</v>
      </c>
      <c r="C3" s="2692" t="s">
        <v>2797</v>
      </c>
      <c r="D3" s="2693" t="s">
        <v>2798</v>
      </c>
      <c r="E3" s="2698" t="s">
        <v>3053</v>
      </c>
      <c r="F3" s="2699" t="s">
        <v>2799</v>
      </c>
      <c r="G3" s="906">
        <f>IF(F3="宗地容积率",'数据-汇总表'!I4,IF(F3="估价对象容积率",'数据-汇总表'!I6,'数据-汇总表'!I7))</f>
        <v>3.72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6">
      <c r="A4" s="3820"/>
      <c r="B4" s="3821"/>
      <c r="C4" s="3821"/>
      <c r="D4" s="3822"/>
      <c r="E4" s="3822"/>
      <c r="F4" s="3822"/>
      <c r="G4" s="3822"/>
      <c r="H4" s="3822"/>
      <c r="I4" s="3822"/>
      <c r="J4" s="3823"/>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6"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6"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804"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3.72</v>
      </c>
      <c r="AA7" s="1586"/>
      <c r="AB7" s="1586"/>
      <c r="AC7" s="1587"/>
      <c r="AD7" s="1588"/>
      <c r="AE7" s="1588"/>
      <c r="AF7" s="1588"/>
      <c r="AG7" s="1588"/>
      <c r="AH7" s="1588"/>
      <c r="AI7" s="1588"/>
      <c r="AJ7" s="1589"/>
    </row>
    <row r="8" spans="1:36" ht="26.4">
      <c r="A8" s="3824"/>
      <c r="B8" s="198" t="s">
        <v>2815</v>
      </c>
      <c r="C8" s="2721" t="s">
        <v>3054</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817" t="s">
        <v>2818</v>
      </c>
      <c r="X8" s="3818"/>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824"/>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819"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824"/>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819"/>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6" thickBot="1">
      <c r="A11" s="3824"/>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819" t="s">
        <v>2842</v>
      </c>
      <c r="X11" s="1594" t="s">
        <v>2843</v>
      </c>
      <c r="Y11" s="1595">
        <f>$G$3</f>
        <v>3.72</v>
      </c>
      <c r="Z11" s="1595">
        <f t="shared" ref="Z11:AJ11" si="3">$G$3</f>
        <v>3.72</v>
      </c>
      <c r="AA11" s="1595">
        <f t="shared" si="3"/>
        <v>3.72</v>
      </c>
      <c r="AB11" s="1595">
        <f t="shared" si="3"/>
        <v>3.72</v>
      </c>
      <c r="AC11" s="1595">
        <f t="shared" si="3"/>
        <v>3.72</v>
      </c>
      <c r="AD11" s="1595">
        <f t="shared" si="3"/>
        <v>3.72</v>
      </c>
      <c r="AE11" s="1595">
        <f t="shared" si="3"/>
        <v>3.72</v>
      </c>
      <c r="AF11" s="1595">
        <f t="shared" si="3"/>
        <v>3.72</v>
      </c>
      <c r="AG11" s="1595">
        <f t="shared" si="3"/>
        <v>3.72</v>
      </c>
      <c r="AH11" s="1595">
        <f t="shared" si="3"/>
        <v>3.72</v>
      </c>
      <c r="AI11" s="1595">
        <f t="shared" si="3"/>
        <v>3.72</v>
      </c>
      <c r="AJ11" s="1595">
        <f t="shared" si="3"/>
        <v>3.72</v>
      </c>
    </row>
    <row r="12" spans="1:36" ht="25.8" thickBot="1">
      <c r="A12" s="3804"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819"/>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825"/>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819"/>
      <c r="X13" s="1596"/>
      <c r="Y13" s="1593">
        <f>(-0.163*(Y12^2)-0.59*Y12+7617)*(10^(-4))/Y11</f>
        <v>0.20475806451612905</v>
      </c>
      <c r="Z13" s="1593">
        <f t="shared" ref="Z13:AJ13" si="5">(-0.163*(Z12^2)-0.59*Z12+7617)*(10^(-4))/Z11</f>
        <v>0.20475806451612905</v>
      </c>
      <c r="AA13" s="1593">
        <f t="shared" si="5"/>
        <v>0.20475806451612905</v>
      </c>
      <c r="AB13" s="1593">
        <f t="shared" si="5"/>
        <v>0.20475806451612905</v>
      </c>
      <c r="AC13" s="1593">
        <f t="shared" si="5"/>
        <v>0.20475806451612905</v>
      </c>
      <c r="AD13" s="1593">
        <f t="shared" si="5"/>
        <v>0.20475806451612905</v>
      </c>
      <c r="AE13" s="1593">
        <f t="shared" si="5"/>
        <v>0.20475806451612905</v>
      </c>
      <c r="AF13" s="1593">
        <f t="shared" si="5"/>
        <v>0.20475806451612905</v>
      </c>
      <c r="AG13" s="1593">
        <f t="shared" si="5"/>
        <v>0.20475806451612905</v>
      </c>
      <c r="AH13" s="1593">
        <f t="shared" si="5"/>
        <v>0.20475806451612905</v>
      </c>
      <c r="AI13" s="1593">
        <f t="shared" si="5"/>
        <v>0.20475806451612905</v>
      </c>
      <c r="AJ13" s="1593">
        <f t="shared" si="5"/>
        <v>0.20475806451612905</v>
      </c>
    </row>
    <row r="14" spans="1:36" ht="15">
      <c r="A14" s="3825"/>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6" thickBot="1">
      <c r="A15" s="3826"/>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804" t="s">
        <v>2861</v>
      </c>
      <c r="B16" s="2716" t="s">
        <v>2862</v>
      </c>
      <c r="C16" s="2903">
        <f>ROUND(IF(F17="与级别开发程度一致",0,(G17-E17)/C17),0)</f>
        <v>0</v>
      </c>
      <c r="D16" s="3815" t="s">
        <v>2866</v>
      </c>
      <c r="E16" s="3816"/>
      <c r="F16" s="3815" t="s">
        <v>2863</v>
      </c>
      <c r="G16" s="3816"/>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7" thickBot="1">
      <c r="A17" s="3805"/>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3055</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4" thickBot="1">
      <c r="A19" s="2755" t="s">
        <v>809</v>
      </c>
      <c r="B19" s="2756" t="s">
        <v>2869</v>
      </c>
      <c r="C19" s="914">
        <f>ROUND(IF(H19="按公示增长率计算",SUMPRODUCT((地价!A3:A28=YEAR(G19)&amp;"-"&amp;ROUNDUP(MONTH(G19)/3,0))*(地价!X2:AB2=E2)*(地价!X3:AB28)),IF(H19="地价指数",M20/M19,(1+I19)^O19)),4)</f>
        <v>1.6084000000000001</v>
      </c>
      <c r="D19" s="2760" t="s">
        <v>2870</v>
      </c>
      <c r="E19" s="915">
        <v>41640</v>
      </c>
      <c r="F19" s="2760" t="s">
        <v>2871</v>
      </c>
      <c r="G19" s="916">
        <f>'数据-取费表'!B2</f>
        <v>43836</v>
      </c>
      <c r="H19" s="2761" t="s">
        <v>3173</v>
      </c>
      <c r="I19" s="917">
        <f>IF(H19="季度增幅（自定义）",SUMIF(N21:N24,E2,O21:O24),"")</f>
        <v>0.02</v>
      </c>
      <c r="J19" s="2758"/>
      <c r="K19" s="1359"/>
      <c r="L19" s="2762" t="s">
        <v>2872</v>
      </c>
      <c r="M19" s="1714">
        <f>ROUND(SUMIF(地价!B2:F2,E2,地价!B28:F28),0)</f>
        <v>258</v>
      </c>
      <c r="N19" s="2763"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9.4"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4.4">
      <c r="A21" s="2774" t="s">
        <v>811</v>
      </c>
      <c r="B21" s="2775" t="s">
        <v>3056</v>
      </c>
      <c r="C21" s="927">
        <f>IF(B21="容积率修正",IF(G3&lt;=10,D22,J22),C23)</f>
        <v>0.88349999999999995</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4">
      <c r="A22" s="2637" t="s">
        <v>2882</v>
      </c>
      <c r="B22" s="2779" t="s">
        <v>2883</v>
      </c>
      <c r="C22" s="1790" t="s">
        <v>2884</v>
      </c>
      <c r="D22" s="1790">
        <f>IF(E22=G22,F22,IF(G3&lt;=10,ROUND(F22+(H22-F22)*(G3-E22)/(G22-E22),4),"——"))</f>
        <v>0.88349999999999995</v>
      </c>
      <c r="E22" s="906">
        <f>ROUNDDOWN(G3,1)</f>
        <v>3.7</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0.88480000000000003</v>
      </c>
      <c r="G22" s="906">
        <f>ROUNDUP(G3,1)</f>
        <v>3.8000000000000003</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9.4"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4.4">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8"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3.8">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36">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812"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3.8">
      <c r="A34" s="3813"/>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813"/>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8" thickBot="1">
      <c r="A36" s="3814"/>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8"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ht="24">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4.4">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5.2">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2.8">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79.2">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6.4">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50.4">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6.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36">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39.6">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6.4">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66.599999999999994"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4.4">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5.2">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2.8">
      <c r="A59" s="2841" t="s">
        <v>2940</v>
      </c>
      <c r="B59" s="2844" t="str">
        <f>估价对象房地状况!C17</f>
        <v>估价对象位于望京商圈，周边办公楼项目较多，入驻率较高，办公集聚程度较好</v>
      </c>
      <c r="C59" s="2956" t="s">
        <v>3057</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79.2">
      <c r="A60" s="2841" t="s">
        <v>2928</v>
      </c>
      <c r="B60" s="2845" t="str">
        <f>估价对象房地状况!C18</f>
        <v>估价对象周边道路状况较好、地铁14、15号线通过，公共交通通达情况较好、停车便捷程度较好，综合评价交通便捷度较好</v>
      </c>
      <c r="C60" s="2956" t="s">
        <v>3057</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6.4">
      <c r="A61" s="2841" t="s">
        <v>2929</v>
      </c>
      <c r="B61" s="2845" t="str">
        <f>估价对象房地状况!C19</f>
        <v>零星有其他用地，基本不影响本宗地</v>
      </c>
      <c r="C61" s="2956" t="s">
        <v>3058</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50.4">
      <c r="A62" s="2841" t="s">
        <v>2930</v>
      </c>
      <c r="B62" s="2846" t="s">
        <v>2931</v>
      </c>
      <c r="C62" s="2956" t="s">
        <v>3058</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6.4">
      <c r="A63" s="2841" t="s">
        <v>2932</v>
      </c>
      <c r="B63" s="2845" t="str">
        <f>估价对象房地状况!C24</f>
        <v>城市主干道——望京北路</v>
      </c>
      <c r="C63" s="2956" t="s">
        <v>3059</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36">
      <c r="A64" s="2841" t="s">
        <v>2933</v>
      </c>
      <c r="B64" s="2847" t="s">
        <v>2934</v>
      </c>
      <c r="C64" s="2956" t="s">
        <v>3057</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39.6">
      <c r="A65" s="2841" t="s">
        <v>2935</v>
      </c>
      <c r="B65" s="1705" t="str">
        <f>估价对象房地状况!C21</f>
        <v>估价对象所在区域公共配套设施齐备情况较好</v>
      </c>
      <c r="C65" s="2956" t="s">
        <v>3057</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6.4">
      <c r="A66" s="2841" t="s">
        <v>2936</v>
      </c>
      <c r="B66" s="1705" t="str">
        <f>估价对象房地状况!C22</f>
        <v>估价对象所在区域基础设施水平“七通一平</v>
      </c>
      <c r="C66" s="2956" t="s">
        <v>3057</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66.599999999999994" thickBot="1">
      <c r="A67" s="2849" t="s">
        <v>2937</v>
      </c>
      <c r="B67" s="2851" t="str">
        <f>估价对象房地状况!C20</f>
        <v>区域自然环境：望湖公园、北小河公园；人文环境：青年政治学院；综合评价环境状况较好</v>
      </c>
      <c r="C67" s="2956" t="s">
        <v>3058</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4.4">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5.2">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79.2">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6.4">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26.4">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39.6">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6.4">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36">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66">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36.6"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4.4">
      <c r="A79" s="2837" t="s">
        <v>2945</v>
      </c>
      <c r="B79" s="2838">
        <f>1+E81</f>
        <v>1</v>
      </c>
      <c r="C79" s="804"/>
      <c r="D79" s="804"/>
      <c r="E79" s="805"/>
      <c r="F79" s="2840"/>
      <c r="G79" s="6"/>
      <c r="H79" s="6"/>
      <c r="I79" s="6"/>
      <c r="J79" s="7"/>
      <c r="K79" s="7"/>
      <c r="L79" s="7"/>
      <c r="M79" s="7"/>
      <c r="N79" s="7"/>
      <c r="Z79" s="2691"/>
      <c r="AA79" s="2759"/>
      <c r="AG79" s="1354"/>
      <c r="AK79" s="2759"/>
    </row>
    <row r="80" spans="1:37" ht="25.2">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9.6">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66">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3.8">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6.4">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6.4">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36">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53.4"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806" t="s">
        <v>2949</v>
      </c>
      <c r="B90" s="3806"/>
      <c r="C90" s="3806"/>
      <c r="D90" s="3806"/>
      <c r="E90" s="3806"/>
      <c r="F90" s="3806"/>
      <c r="G90" s="3806"/>
      <c r="H90" s="3806"/>
      <c r="I90" s="3806"/>
      <c r="J90" s="3806"/>
      <c r="K90" s="2855"/>
      <c r="L90" s="2855"/>
      <c r="M90" s="2855"/>
      <c r="N90" s="2855"/>
    </row>
    <row r="91" spans="1:37">
      <c r="A91" s="3808" t="s">
        <v>2950</v>
      </c>
      <c r="B91" s="3808" t="s">
        <v>2951</v>
      </c>
      <c r="C91" s="2809" t="s">
        <v>2952</v>
      </c>
      <c r="D91" s="2810"/>
      <c r="E91" s="2810"/>
      <c r="F91" s="2810"/>
      <c r="G91" s="2810"/>
      <c r="H91" s="2810"/>
      <c r="I91" s="2810"/>
      <c r="J91" s="2856"/>
      <c r="K91" s="2857"/>
      <c r="L91" s="2857"/>
      <c r="M91" s="2857"/>
      <c r="N91" s="2857"/>
    </row>
    <row r="92" spans="1:37">
      <c r="A92" s="3808"/>
      <c r="B92" s="3808"/>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809"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810"/>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810"/>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810"/>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810"/>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810"/>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810"/>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811"/>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809" t="s">
        <v>2954</v>
      </c>
      <c r="B101" s="2862" t="s">
        <v>2955</v>
      </c>
      <c r="C101" s="2863">
        <f>$G$3</f>
        <v>3.72</v>
      </c>
      <c r="D101" s="2863">
        <f t="shared" ref="D101:N101" si="31">$G$3</f>
        <v>3.72</v>
      </c>
      <c r="E101" s="2863">
        <f t="shared" si="31"/>
        <v>3.72</v>
      </c>
      <c r="F101" s="2863">
        <f t="shared" si="31"/>
        <v>3.72</v>
      </c>
      <c r="G101" s="2863">
        <f t="shared" si="31"/>
        <v>3.72</v>
      </c>
      <c r="H101" s="2863">
        <f t="shared" si="31"/>
        <v>3.72</v>
      </c>
      <c r="I101" s="2863">
        <f t="shared" si="31"/>
        <v>3.72</v>
      </c>
      <c r="J101" s="2863">
        <f t="shared" si="31"/>
        <v>3.72</v>
      </c>
      <c r="K101" s="2863">
        <f t="shared" si="31"/>
        <v>3.72</v>
      </c>
      <c r="L101" s="2863">
        <f t="shared" si="31"/>
        <v>3.72</v>
      </c>
      <c r="M101" s="2863">
        <f t="shared" si="31"/>
        <v>3.72</v>
      </c>
      <c r="N101" s="2863">
        <f t="shared" si="31"/>
        <v>3.72</v>
      </c>
    </row>
    <row r="102" spans="1:14">
      <c r="A102" s="3810"/>
      <c r="B102" s="2858">
        <v>1</v>
      </c>
      <c r="C102" s="2859">
        <f>1.9362/C101</f>
        <v>0.52048387096774185</v>
      </c>
      <c r="D102" s="2859">
        <f>1.9362/D101</f>
        <v>0.52048387096774185</v>
      </c>
      <c r="E102" s="2859">
        <f>1.8629/E101</f>
        <v>0.50077956989247308</v>
      </c>
      <c r="F102" s="2859">
        <f>1.8629/F101</f>
        <v>0.50077956989247308</v>
      </c>
      <c r="G102" s="2859">
        <f>1.8629/G101</f>
        <v>0.50077956989247308</v>
      </c>
      <c r="H102" s="2859">
        <f>1.8629/H101</f>
        <v>0.50077956989247308</v>
      </c>
      <c r="I102" s="2859">
        <f>1.8629/I101</f>
        <v>0.50077956989247308</v>
      </c>
      <c r="J102" s="2859">
        <f>1.942/J101</f>
        <v>0.52204301075268811</v>
      </c>
      <c r="K102" s="2859">
        <f>1.942/K101</f>
        <v>0.52204301075268811</v>
      </c>
      <c r="L102" s="2859">
        <f>1.942/L101</f>
        <v>0.52204301075268811</v>
      </c>
      <c r="M102" s="2859">
        <f>1.942/M101</f>
        <v>0.52204301075268811</v>
      </c>
      <c r="N102" s="2859">
        <f>1.942/N101</f>
        <v>0.52204301075268811</v>
      </c>
    </row>
    <row r="103" spans="1:14">
      <c r="A103" s="3810"/>
      <c r="B103" s="2858">
        <v>2</v>
      </c>
      <c r="C103" s="2859">
        <f>1.4198/C101</f>
        <v>0.38166666666666665</v>
      </c>
      <c r="D103" s="2859">
        <f>1.4198/D101</f>
        <v>0.38166666666666665</v>
      </c>
      <c r="E103" s="2859">
        <f>1.3372/E101</f>
        <v>0.35946236559139783</v>
      </c>
      <c r="F103" s="2859">
        <f>1.3372/F101</f>
        <v>0.35946236559139783</v>
      </c>
      <c r="G103" s="2859">
        <f>1.3372/G101</f>
        <v>0.35946236559139783</v>
      </c>
      <c r="H103" s="2859">
        <f>1.3372/H101</f>
        <v>0.35946236559139783</v>
      </c>
      <c r="I103" s="2859">
        <f>1.3372/I101</f>
        <v>0.35946236559139783</v>
      </c>
      <c r="J103" s="2859">
        <f>1.2799/J101</f>
        <v>0.34405913978494623</v>
      </c>
      <c r="K103" s="2859">
        <f>1.2799/K101</f>
        <v>0.34405913978494623</v>
      </c>
      <c r="L103" s="2859">
        <f>1.2799/L101</f>
        <v>0.34405913978494623</v>
      </c>
      <c r="M103" s="2859">
        <f>1.2799/M101</f>
        <v>0.34405913978494623</v>
      </c>
      <c r="N103" s="2859">
        <f>1.2799/N101</f>
        <v>0.34405913978494623</v>
      </c>
    </row>
    <row r="104" spans="1:14">
      <c r="A104" s="3810"/>
      <c r="B104" s="2858">
        <v>3</v>
      </c>
      <c r="C104" s="2859">
        <f>1.1594/C101</f>
        <v>0.31166666666666665</v>
      </c>
      <c r="D104" s="2859">
        <f>1.1594/D101</f>
        <v>0.31166666666666665</v>
      </c>
      <c r="E104" s="2859">
        <f>1.0788/E101</f>
        <v>0.28999999999999998</v>
      </c>
      <c r="F104" s="2859">
        <f>1.0788/F101</f>
        <v>0.28999999999999998</v>
      </c>
      <c r="G104" s="2859">
        <f>1.0788/G101</f>
        <v>0.28999999999999998</v>
      </c>
      <c r="H104" s="2859">
        <f>1.0788/H101</f>
        <v>0.28999999999999998</v>
      </c>
      <c r="I104" s="2859">
        <f>1.0788/I101</f>
        <v>0.28999999999999998</v>
      </c>
      <c r="J104" s="2859">
        <f>1.0072/J101</f>
        <v>0.27075268817204301</v>
      </c>
      <c r="K104" s="2859">
        <f>1.0072/K101</f>
        <v>0.27075268817204301</v>
      </c>
      <c r="L104" s="2859">
        <f>1.0072/L101</f>
        <v>0.27075268817204301</v>
      </c>
      <c r="M104" s="2859">
        <f>1.0072/M101</f>
        <v>0.27075268817204301</v>
      </c>
      <c r="N104" s="2859">
        <f>1.0072/N101</f>
        <v>0.27075268817204301</v>
      </c>
    </row>
    <row r="105" spans="1:14">
      <c r="A105" s="3810"/>
      <c r="B105" s="2858">
        <v>4</v>
      </c>
      <c r="C105" s="2859">
        <f>0.9622/C101</f>
        <v>0.25865591397849463</v>
      </c>
      <c r="D105" s="2859">
        <f>0.9622/D101</f>
        <v>0.25865591397849463</v>
      </c>
      <c r="E105" s="2859">
        <f>0.8656/E101</f>
        <v>0.23268817204301076</v>
      </c>
      <c r="F105" s="2859">
        <f>0.8656/F101</f>
        <v>0.23268817204301076</v>
      </c>
      <c r="G105" s="2859">
        <f>0.8656/G101</f>
        <v>0.23268817204301076</v>
      </c>
      <c r="H105" s="2859">
        <f>0.8656/H101</f>
        <v>0.23268817204301076</v>
      </c>
      <c r="I105" s="2859">
        <f>0.8656/I101</f>
        <v>0.23268817204301076</v>
      </c>
      <c r="J105" s="2859">
        <f>0.7525/J101</f>
        <v>0.20228494623655913</v>
      </c>
      <c r="K105" s="2859">
        <f>0.7525/K101</f>
        <v>0.20228494623655913</v>
      </c>
      <c r="L105" s="2859">
        <f>0.7525/L101</f>
        <v>0.20228494623655913</v>
      </c>
      <c r="M105" s="2859">
        <f>0.7525/M101</f>
        <v>0.20228494623655913</v>
      </c>
      <c r="N105" s="2859">
        <f>0.7525/N101</f>
        <v>0.20228494623655913</v>
      </c>
    </row>
    <row r="106" spans="1:14">
      <c r="A106" s="3810"/>
      <c r="B106" s="2858">
        <v>5</v>
      </c>
      <c r="C106" s="2859">
        <f>0.8417/C101</f>
        <v>0.22626344086021505</v>
      </c>
      <c r="D106" s="2859">
        <f>0.8417/D101</f>
        <v>0.22626344086021505</v>
      </c>
      <c r="E106" s="2859">
        <f>0.7371/E101</f>
        <v>0.19814516129032256</v>
      </c>
      <c r="F106" s="2859">
        <f>0.7371/F101</f>
        <v>0.19814516129032256</v>
      </c>
      <c r="G106" s="2859">
        <f>0.7371/G101</f>
        <v>0.19814516129032256</v>
      </c>
      <c r="H106" s="2859">
        <f>0.7371/H101</f>
        <v>0.19814516129032256</v>
      </c>
      <c r="I106" s="2859">
        <f>0.7371/I101</f>
        <v>0.19814516129032256</v>
      </c>
      <c r="J106" s="2859">
        <f>0.5659/J101</f>
        <v>0.15212365591397847</v>
      </c>
      <c r="K106" s="2859">
        <f>0.5659/K101</f>
        <v>0.15212365591397847</v>
      </c>
      <c r="L106" s="2859">
        <f>0.5659/L101</f>
        <v>0.15212365591397847</v>
      </c>
      <c r="M106" s="2859">
        <f>0.5659/M101</f>
        <v>0.15212365591397847</v>
      </c>
      <c r="N106" s="2859">
        <f>0.5659/N101</f>
        <v>0.15212365591397847</v>
      </c>
    </row>
    <row r="107" spans="1:14">
      <c r="A107" s="3810"/>
      <c r="B107" s="2858">
        <v>6</v>
      </c>
      <c r="C107" s="2859">
        <f>0.7608/C101</f>
        <v>0.20451612903225808</v>
      </c>
      <c r="D107" s="2859">
        <f>0.7608/D101</f>
        <v>0.20451612903225808</v>
      </c>
      <c r="E107" s="2859">
        <f>0.6482/E101</f>
        <v>0.17424731182795697</v>
      </c>
      <c r="F107" s="2859">
        <f>0.6482/F101</f>
        <v>0.17424731182795697</v>
      </c>
      <c r="G107" s="2859">
        <f>0.6482/G101</f>
        <v>0.17424731182795697</v>
      </c>
      <c r="H107" s="2859">
        <f>0.6482/H101</f>
        <v>0.17424731182795697</v>
      </c>
      <c r="I107" s="2859">
        <f>0.6482/I101</f>
        <v>0.17424731182795697</v>
      </c>
      <c r="J107" s="2859">
        <f>0.4525/J101</f>
        <v>0.12163978494623656</v>
      </c>
      <c r="K107" s="2859">
        <f>0.4525/K101</f>
        <v>0.12163978494623656</v>
      </c>
      <c r="L107" s="2859">
        <f>0.4525/L101</f>
        <v>0.12163978494623656</v>
      </c>
      <c r="M107" s="2859">
        <f>0.4525/M101</f>
        <v>0.12163978494623656</v>
      </c>
      <c r="N107" s="2859">
        <f>0.4525/N101</f>
        <v>0.12163978494623656</v>
      </c>
    </row>
    <row r="108" spans="1:14">
      <c r="A108" s="3810"/>
      <c r="B108" s="3606"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811"/>
      <c r="B109" s="3607"/>
      <c r="C109" s="2861">
        <f>(-0.163*(C108^2)-0.59*C108+7617)*(10^(-4))/C101</f>
        <v>0.20475806451612905</v>
      </c>
      <c r="D109" s="2861">
        <f>(-0.163*(D108^2)-0.59*D108+7617)*(10^(-4))/D101</f>
        <v>0.20475806451612905</v>
      </c>
      <c r="E109" s="2861">
        <f>(-0.161*(E108^2)-7.509*E108+6533)*(10^(-4))/E101</f>
        <v>0.17561827956989245</v>
      </c>
      <c r="F109" s="2861">
        <f>(-0.161*(F108^2)-7.509*F108+6533)*(10^(-4))/F101</f>
        <v>0.17561827956989245</v>
      </c>
      <c r="G109" s="2861">
        <f>(-0.161*(G108^2)-7.509*G108+6533)*(10^(-4))/G101</f>
        <v>0.17561827956989245</v>
      </c>
      <c r="H109" s="2861">
        <f>(-0.161*(H108^2)-7.509*H108+6533)*(10^(-4))/H101</f>
        <v>0.17561827956989245</v>
      </c>
      <c r="I109" s="2861">
        <f>(-0.161*(I108^2)-7.509*I108+6533)*(10^(-4))/I101</f>
        <v>0.17561827956989245</v>
      </c>
      <c r="J109" s="2861">
        <f>(-0.214*(J108^2)-21.991*J108+4665)*(10^(-4))/J101</f>
        <v>0.12540322580645161</v>
      </c>
      <c r="K109" s="2861">
        <f>(-0.214*(K108^2)-21.991*K108+4665)*(10^(-4))/K101</f>
        <v>0.12540322580645161</v>
      </c>
      <c r="L109" s="2861">
        <f>(-0.214*(L108^2)-21.991*L108+4665)*(10^(-4))/L101</f>
        <v>0.12540322580645161</v>
      </c>
      <c r="M109" s="2861">
        <f>(-0.214*(M108^2)-21.991*M108+4665)*(10^(-4))/M101</f>
        <v>0.12540322580645161</v>
      </c>
      <c r="N109" s="2861">
        <f>(-0.214*(N108^2)-21.991*N108+4665)*(10^(-4))/N101</f>
        <v>0.12540322580645161</v>
      </c>
    </row>
    <row r="110" spans="1:14">
      <c r="A110" s="3807" t="s">
        <v>2957</v>
      </c>
      <c r="B110" s="3807"/>
      <c r="C110" s="3807"/>
      <c r="D110" s="3807"/>
      <c r="E110" s="3807"/>
      <c r="F110" s="3807"/>
      <c r="G110" s="3807"/>
      <c r="H110" s="3807"/>
      <c r="I110" s="3807"/>
      <c r="J110" s="3807"/>
      <c r="K110" s="2864"/>
      <c r="L110" s="2864"/>
      <c r="M110" s="2864"/>
      <c r="N110" s="2864"/>
    </row>
    <row r="112" spans="1:14" ht="13.8" thickBot="1"/>
    <row r="113" spans="1:13" ht="25.8" thickBot="1">
      <c r="A113" s="893" t="s">
        <v>2958</v>
      </c>
      <c r="B113" s="1269">
        <f>G3</f>
        <v>3.72</v>
      </c>
      <c r="C113" s="894" t="s">
        <v>2959</v>
      </c>
      <c r="D113" s="895">
        <f>SUMPRODUCT((A115:A118=F113)*(B114:M114=H113)*B115:M118)</f>
        <v>0.80830000000000002</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0.89849999999999997</v>
      </c>
      <c r="C115" s="900">
        <f>B115</f>
        <v>0.89849999999999997</v>
      </c>
      <c r="D115" s="900">
        <f>ROUND(0.8331-0.0109*B113,4)</f>
        <v>0.79259999999999997</v>
      </c>
      <c r="E115" s="900">
        <f>D115</f>
        <v>0.79259999999999997</v>
      </c>
      <c r="F115" s="900">
        <f>E115</f>
        <v>0.79259999999999997</v>
      </c>
      <c r="G115" s="900">
        <f>F115</f>
        <v>0.79259999999999997</v>
      </c>
      <c r="H115" s="900">
        <f>G115</f>
        <v>0.79259999999999997</v>
      </c>
      <c r="I115" s="900">
        <f>ROUND(0.689-0.0155*B113,4)</f>
        <v>0.63129999999999997</v>
      </c>
      <c r="J115" s="900">
        <f t="shared" ref="J115:M118" si="33">I115</f>
        <v>0.63129999999999997</v>
      </c>
      <c r="K115" s="900">
        <f t="shared" si="33"/>
        <v>0.63129999999999997</v>
      </c>
      <c r="L115" s="900">
        <f t="shared" si="33"/>
        <v>0.63129999999999997</v>
      </c>
      <c r="M115" s="901">
        <f t="shared" si="33"/>
        <v>0.63129999999999997</v>
      </c>
    </row>
    <row r="116" spans="1:13">
      <c r="A116" s="899" t="s">
        <v>2858</v>
      </c>
      <c r="B116" s="900">
        <f>ROUND(0.949-0.012*B113,4)</f>
        <v>0.90439999999999998</v>
      </c>
      <c r="C116" s="900">
        <f>B116</f>
        <v>0.90439999999999998</v>
      </c>
      <c r="D116" s="900">
        <f>ROUND(0.8567-0.013*B113,4)</f>
        <v>0.80830000000000002</v>
      </c>
      <c r="E116" s="900">
        <f t="shared" ref="E116:H117" si="34">D116</f>
        <v>0.80830000000000002</v>
      </c>
      <c r="F116" s="900">
        <f t="shared" si="34"/>
        <v>0.80830000000000002</v>
      </c>
      <c r="G116" s="900">
        <f t="shared" si="34"/>
        <v>0.80830000000000002</v>
      </c>
      <c r="H116" s="900">
        <f t="shared" si="34"/>
        <v>0.80830000000000002</v>
      </c>
      <c r="I116" s="900">
        <f>ROUND(0.7694-0.014*B113,4)</f>
        <v>0.71730000000000005</v>
      </c>
      <c r="J116" s="900">
        <f t="shared" si="33"/>
        <v>0.71730000000000005</v>
      </c>
      <c r="K116" s="900">
        <f t="shared" si="33"/>
        <v>0.71730000000000005</v>
      </c>
      <c r="L116" s="900">
        <f t="shared" si="33"/>
        <v>0.71730000000000005</v>
      </c>
      <c r="M116" s="901">
        <f t="shared" si="33"/>
        <v>0.71730000000000005</v>
      </c>
    </row>
    <row r="117" spans="1:13">
      <c r="A117" s="899" t="s">
        <v>2859</v>
      </c>
      <c r="B117" s="900">
        <f>ROUND(0.8808-0.006*B113,4)</f>
        <v>0.85850000000000004</v>
      </c>
      <c r="C117" s="900">
        <f>B117</f>
        <v>0.85850000000000004</v>
      </c>
      <c r="D117" s="900">
        <f>ROUND(0.8748-0.008*B113,4)</f>
        <v>0.84499999999999997</v>
      </c>
      <c r="E117" s="900">
        <f t="shared" si="34"/>
        <v>0.84499999999999997</v>
      </c>
      <c r="F117" s="900">
        <f t="shared" si="34"/>
        <v>0.84499999999999997</v>
      </c>
      <c r="G117" s="900">
        <f t="shared" si="34"/>
        <v>0.84499999999999997</v>
      </c>
      <c r="H117" s="900">
        <f t="shared" si="34"/>
        <v>0.84499999999999997</v>
      </c>
      <c r="I117" s="900">
        <f>ROUND(0.7412-0.0095*B113,4)</f>
        <v>0.70589999999999997</v>
      </c>
      <c r="J117" s="900">
        <f t="shared" si="33"/>
        <v>0.70589999999999997</v>
      </c>
      <c r="K117" s="900">
        <f t="shared" si="33"/>
        <v>0.70589999999999997</v>
      </c>
      <c r="L117" s="900">
        <f t="shared" si="33"/>
        <v>0.70589999999999997</v>
      </c>
      <c r="M117" s="901">
        <f t="shared" si="33"/>
        <v>0.70589999999999997</v>
      </c>
    </row>
    <row r="118" spans="1:13" ht="13.8" thickBot="1">
      <c r="A118" s="711" t="s">
        <v>2860</v>
      </c>
      <c r="B118" s="902">
        <f>ROUND(0.7275-0.01*B113,4)</f>
        <v>0.69030000000000002</v>
      </c>
      <c r="C118" s="902">
        <f>B118</f>
        <v>0.69030000000000002</v>
      </c>
      <c r="D118" s="902">
        <f>ROUND(0.7043-0.012*B113,4)</f>
        <v>0.65969999999999995</v>
      </c>
      <c r="E118" s="902">
        <f>D118</f>
        <v>0.65969999999999995</v>
      </c>
      <c r="F118" s="902">
        <f>E118</f>
        <v>0.65969999999999995</v>
      </c>
      <c r="G118" s="902">
        <f>ROUND(0.6299-0.0122*B113,4)</f>
        <v>0.58450000000000002</v>
      </c>
      <c r="H118" s="902">
        <f>G118</f>
        <v>0.58450000000000002</v>
      </c>
      <c r="I118" s="902">
        <f>ROUND(0.5667-0.0136*B113,4)</f>
        <v>0.5161</v>
      </c>
      <c r="J118" s="902">
        <f t="shared" si="33"/>
        <v>0.5161</v>
      </c>
      <c r="K118" s="902">
        <f t="shared" si="33"/>
        <v>0.5161</v>
      </c>
      <c r="L118" s="902">
        <f t="shared" si="33"/>
        <v>0.5161</v>
      </c>
      <c r="M118" s="903">
        <f t="shared" si="33"/>
        <v>0.5161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xr:uid="{00000000-0002-0000-3200-000000000000}">
      <formula1>"500米范围内,500-1000米,1000米以外"</formula1>
    </dataValidation>
    <dataValidation type="list" allowBlank="1" showInputMessage="1" showErrorMessage="1" sqref="C14:E14" xr:uid="{00000000-0002-0000-3200-000001000000}">
      <formula1>"有,无"</formula1>
    </dataValidation>
    <dataValidation type="list" allowBlank="1" showInputMessage="1" showErrorMessage="1" sqref="B21" xr:uid="{00000000-0002-0000-3200-000002000000}">
      <formula1>"容积率修正,楼层修正"</formula1>
    </dataValidation>
    <dataValidation type="list" allowBlank="1" showInputMessage="1" showErrorMessage="1" sqref="F17" xr:uid="{00000000-0002-0000-3200-000003000000}">
      <formula1>"与级别开发程度一致,与级别开发程度不一致"</formula1>
    </dataValidation>
    <dataValidation type="list" allowBlank="1" showInputMessage="1" showErrorMessage="1" sqref="E2" xr:uid="{00000000-0002-0000-3200-000004000000}">
      <formula1>"商业,办公,住宅,工业"</formula1>
    </dataValidation>
    <dataValidation type="list" allowBlank="1" showInputMessage="1" showErrorMessage="1" sqref="F3" xr:uid="{00000000-0002-0000-3200-000005000000}">
      <formula1>"宗地容积率,估价对象容积率,自定义容积率"</formula1>
    </dataValidation>
    <dataValidation type="list" allowBlank="1" showInputMessage="1" showErrorMessage="1" sqref="C8" xr:uid="{00000000-0002-0000-3200-000006000000}">
      <formula1>商业街名称</formula1>
    </dataValidation>
    <dataValidation type="list" allowBlank="1" showInputMessage="1" showErrorMessage="1" sqref="E3" xr:uid="{00000000-0002-0000-3200-000007000000}">
      <formula1>二级分类</formula1>
    </dataValidation>
    <dataValidation type="list" allowBlank="1" showInputMessage="1" showErrorMessage="1" sqref="C81:C88 C70:C78 C48:C56 C59:C67" xr:uid="{00000000-0002-0000-3200-000008000000}">
      <formula1>五等判定</formula1>
    </dataValidation>
    <dataValidation type="list" allowBlank="1" showInputMessage="1" showErrorMessage="1" sqref="H19" xr:uid="{00000000-0002-0000-3200-000009000000}">
      <formula1>"地价指数,季度增幅（自定义）,按公示增长率计算"</formula1>
    </dataValidation>
    <dataValidation type="list" allowBlank="1" showInputMessage="1" showErrorMessage="1" sqref="H16:O16" xr:uid="{00000000-0002-0000-3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19"/>
  <sheetViews>
    <sheetView workbookViewId="0">
      <selection activeCell="A15" sqref="A15:M15"/>
    </sheetView>
  </sheetViews>
  <sheetFormatPr defaultColWidth="8.21875" defaultRowHeight="19.5" customHeight="1"/>
  <cols>
    <col min="1" max="1" width="13.6640625" style="806" customWidth="1"/>
    <col min="2" max="9" width="8.21875" style="868" customWidth="1"/>
    <col min="10" max="13" width="8.21875" style="806"/>
    <col min="14" max="14" width="10" style="806" customWidth="1"/>
    <col min="15" max="16" width="8.21875" style="806"/>
    <col min="17" max="17" width="34.109375" style="806" customWidth="1"/>
    <col min="18" max="18" width="8.21875" style="806" customWidth="1"/>
    <col min="19" max="19" width="8.21875" style="806"/>
    <col min="20" max="20" width="11.6640625" style="806" customWidth="1"/>
    <col min="21" max="16384" width="8.2187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827" t="s">
        <v>183</v>
      </c>
      <c r="B18" s="872" t="s">
        <v>560</v>
      </c>
      <c r="C18" s="873" t="s">
        <v>561</v>
      </c>
      <c r="D18" s="874"/>
      <c r="E18" s="872">
        <v>1</v>
      </c>
      <c r="F18" s="875" t="s">
        <v>562</v>
      </c>
      <c r="G18" s="876"/>
      <c r="H18" s="868"/>
      <c r="I18" s="868"/>
    </row>
    <row r="19" spans="1:9" s="877" customFormat="1" ht="19.5" customHeight="1">
      <c r="A19" s="3827"/>
      <c r="B19" s="3827" t="s">
        <v>563</v>
      </c>
      <c r="C19" s="873" t="s">
        <v>564</v>
      </c>
      <c r="D19" s="874"/>
      <c r="E19" s="872">
        <v>0.9</v>
      </c>
      <c r="F19" s="875" t="s">
        <v>565</v>
      </c>
      <c r="G19" s="876"/>
      <c r="H19" s="868"/>
      <c r="I19" s="868"/>
    </row>
    <row r="20" spans="1:9" s="877" customFormat="1" ht="19.5" customHeight="1">
      <c r="A20" s="3827"/>
      <c r="B20" s="3827"/>
      <c r="C20" s="873" t="s">
        <v>566</v>
      </c>
      <c r="D20" s="874"/>
      <c r="E20" s="872">
        <v>1.1000000000000001</v>
      </c>
      <c r="F20" s="875" t="s">
        <v>567</v>
      </c>
      <c r="G20" s="876"/>
      <c r="H20" s="868"/>
      <c r="I20" s="868"/>
    </row>
    <row r="21" spans="1:9" s="877" customFormat="1" ht="19.5" customHeight="1">
      <c r="A21" s="3827"/>
      <c r="B21" s="3827"/>
      <c r="C21" s="873" t="s">
        <v>568</v>
      </c>
      <c r="D21" s="874"/>
      <c r="E21" s="872">
        <v>0.8</v>
      </c>
      <c r="F21" s="875" t="s">
        <v>569</v>
      </c>
      <c r="G21" s="876"/>
      <c r="H21" s="868"/>
      <c r="I21" s="868"/>
    </row>
    <row r="22" spans="1:9" s="877" customFormat="1" ht="19.5" customHeight="1">
      <c r="A22" s="3827"/>
      <c r="B22" s="3827"/>
      <c r="C22" s="873" t="s">
        <v>570</v>
      </c>
      <c r="D22" s="874"/>
      <c r="E22" s="872">
        <v>0.5</v>
      </c>
      <c r="F22" s="875"/>
      <c r="G22" s="876"/>
      <c r="H22" s="868"/>
      <c r="I22" s="868"/>
    </row>
    <row r="23" spans="1:9" s="877" customFormat="1" ht="19.5" customHeight="1">
      <c r="A23" s="3827" t="s">
        <v>184</v>
      </c>
      <c r="B23" s="872" t="s">
        <v>560</v>
      </c>
      <c r="C23" s="873" t="s">
        <v>571</v>
      </c>
      <c r="D23" s="874"/>
      <c r="E23" s="872">
        <v>1</v>
      </c>
      <c r="F23" s="875" t="s">
        <v>572</v>
      </c>
      <c r="G23" s="876"/>
      <c r="H23" s="868"/>
      <c r="I23" s="868"/>
    </row>
    <row r="24" spans="1:9" s="877" customFormat="1" ht="19.5" customHeight="1">
      <c r="A24" s="3827"/>
      <c r="B24" s="3827" t="s">
        <v>563</v>
      </c>
      <c r="C24" s="873" t="s">
        <v>573</v>
      </c>
      <c r="D24" s="874"/>
      <c r="E24" s="872">
        <v>0.5</v>
      </c>
      <c r="F24" s="875"/>
      <c r="G24" s="876"/>
      <c r="H24" s="868"/>
      <c r="I24" s="868"/>
    </row>
    <row r="25" spans="1:9" s="877" customFormat="1" ht="19.5" customHeight="1">
      <c r="A25" s="3827"/>
      <c r="B25" s="3827"/>
      <c r="C25" s="873" t="s">
        <v>574</v>
      </c>
      <c r="D25" s="874"/>
      <c r="E25" s="872">
        <v>1.1000000000000001</v>
      </c>
      <c r="F25" s="875"/>
      <c r="G25" s="876"/>
      <c r="H25" s="868"/>
      <c r="I25" s="868"/>
    </row>
    <row r="26" spans="1:9" s="877" customFormat="1" ht="19.5" customHeight="1">
      <c r="A26" s="3827"/>
      <c r="B26" s="3827"/>
      <c r="C26" s="873" t="s">
        <v>575</v>
      </c>
      <c r="D26" s="874"/>
      <c r="E26" s="872">
        <v>1.1000000000000001</v>
      </c>
      <c r="F26" s="875"/>
      <c r="G26" s="876"/>
      <c r="H26" s="868"/>
      <c r="I26" s="868"/>
    </row>
    <row r="27" spans="1:9" s="877" customFormat="1" ht="19.5" customHeight="1">
      <c r="A27" s="3827"/>
      <c r="B27" s="3827"/>
      <c r="C27" s="873" t="s">
        <v>576</v>
      </c>
      <c r="D27" s="874"/>
      <c r="E27" s="872">
        <v>0.9</v>
      </c>
      <c r="F27" s="875" t="s">
        <v>577</v>
      </c>
      <c r="G27" s="876"/>
      <c r="H27" s="868"/>
      <c r="I27" s="868"/>
    </row>
    <row r="28" spans="1:9" s="877" customFormat="1" ht="19.5" customHeight="1">
      <c r="A28" s="3827"/>
      <c r="B28" s="3827"/>
      <c r="C28" s="873" t="s">
        <v>578</v>
      </c>
      <c r="D28" s="874"/>
      <c r="E28" s="872">
        <v>0.9</v>
      </c>
      <c r="F28" s="875" t="s">
        <v>579</v>
      </c>
      <c r="G28" s="876"/>
      <c r="H28" s="868"/>
      <c r="I28" s="868"/>
    </row>
    <row r="29" spans="1:9" s="877" customFormat="1" ht="19.5" customHeight="1">
      <c r="A29" s="3827"/>
      <c r="B29" s="3827"/>
      <c r="C29" s="873" t="s">
        <v>580</v>
      </c>
      <c r="D29" s="874"/>
      <c r="E29" s="872">
        <v>0.9</v>
      </c>
      <c r="F29" s="875" t="s">
        <v>581</v>
      </c>
      <c r="G29" s="876"/>
      <c r="H29" s="868"/>
      <c r="I29" s="868"/>
    </row>
    <row r="30" spans="1:9" s="877" customFormat="1" ht="19.5" customHeight="1">
      <c r="A30" s="3827"/>
      <c r="B30" s="3827"/>
      <c r="C30" s="873" t="s">
        <v>582</v>
      </c>
      <c r="D30" s="874"/>
      <c r="E30" s="872">
        <v>0.9</v>
      </c>
      <c r="F30" s="875" t="s">
        <v>583</v>
      </c>
      <c r="G30" s="876"/>
      <c r="H30" s="868"/>
      <c r="I30" s="868"/>
    </row>
    <row r="31" spans="1:9" s="877" customFormat="1" ht="19.5" customHeight="1">
      <c r="A31" s="3827"/>
      <c r="B31" s="3827"/>
      <c r="C31" s="873" t="s">
        <v>584</v>
      </c>
      <c r="D31" s="874"/>
      <c r="E31" s="872">
        <v>0.8</v>
      </c>
      <c r="F31" s="875" t="s">
        <v>585</v>
      </c>
      <c r="G31" s="876"/>
      <c r="H31" s="868"/>
      <c r="I31" s="868"/>
    </row>
    <row r="32" spans="1:9" s="877" customFormat="1" ht="19.5" customHeight="1">
      <c r="A32" s="3827"/>
      <c r="B32" s="3827"/>
      <c r="C32" s="873" t="s">
        <v>586</v>
      </c>
      <c r="D32" s="874"/>
      <c r="E32" s="872">
        <v>0.8</v>
      </c>
      <c r="F32" s="875" t="s">
        <v>587</v>
      </c>
      <c r="G32" s="876"/>
      <c r="H32" s="868"/>
      <c r="I32" s="868"/>
    </row>
    <row r="33" spans="1:9" s="877" customFormat="1" ht="19.5" customHeight="1">
      <c r="A33" s="3827" t="s">
        <v>185</v>
      </c>
      <c r="B33" s="872" t="s">
        <v>560</v>
      </c>
      <c r="C33" s="873" t="s">
        <v>588</v>
      </c>
      <c r="D33" s="874"/>
      <c r="E33" s="872">
        <v>1</v>
      </c>
      <c r="F33" s="875" t="s">
        <v>589</v>
      </c>
      <c r="G33" s="876"/>
      <c r="H33" s="868"/>
      <c r="I33" s="868"/>
    </row>
    <row r="34" spans="1:9" s="877" customFormat="1" ht="19.5" customHeight="1">
      <c r="A34" s="3827"/>
      <c r="B34" s="872" t="s">
        <v>563</v>
      </c>
      <c r="C34" s="873" t="s">
        <v>590</v>
      </c>
      <c r="D34" s="874"/>
      <c r="E34" s="872">
        <v>1.5</v>
      </c>
      <c r="F34" s="875" t="s">
        <v>591</v>
      </c>
      <c r="G34" s="876"/>
      <c r="H34" s="868"/>
      <c r="I34" s="868"/>
    </row>
    <row r="35" spans="1:9" s="877" customFormat="1" ht="19.5" customHeight="1">
      <c r="A35" s="3827" t="s">
        <v>186</v>
      </c>
      <c r="B35" s="872" t="s">
        <v>560</v>
      </c>
      <c r="C35" s="873" t="s">
        <v>592</v>
      </c>
      <c r="D35" s="874"/>
      <c r="E35" s="872">
        <v>1</v>
      </c>
      <c r="F35" s="875" t="s">
        <v>593</v>
      </c>
      <c r="G35" s="876"/>
      <c r="H35" s="868"/>
      <c r="I35" s="868"/>
    </row>
    <row r="36" spans="1:9" s="877" customFormat="1" ht="19.5" customHeight="1">
      <c r="A36" s="3827"/>
      <c r="B36" s="3827" t="s">
        <v>563</v>
      </c>
      <c r="C36" s="873" t="s">
        <v>594</v>
      </c>
      <c r="D36" s="874"/>
      <c r="E36" s="872">
        <v>1</v>
      </c>
      <c r="F36" s="875" t="s">
        <v>595</v>
      </c>
      <c r="G36" s="876"/>
      <c r="H36" s="868"/>
      <c r="I36" s="868"/>
    </row>
    <row r="37" spans="1:9" s="877" customFormat="1" ht="19.5" customHeight="1">
      <c r="A37" s="3827"/>
      <c r="B37" s="3827"/>
      <c r="C37" s="873" t="s">
        <v>596</v>
      </c>
      <c r="D37" s="874"/>
      <c r="E37" s="872">
        <v>1.5</v>
      </c>
      <c r="F37" s="875" t="s">
        <v>597</v>
      </c>
      <c r="G37" s="876"/>
      <c r="H37" s="868"/>
      <c r="I37" s="868"/>
    </row>
    <row r="38" spans="1:9" s="877" customFormat="1" ht="19.5" customHeight="1">
      <c r="A38" s="3827"/>
      <c r="B38" s="3827"/>
      <c r="C38" s="873" t="s">
        <v>598</v>
      </c>
      <c r="D38" s="874"/>
      <c r="E38" s="872">
        <v>1</v>
      </c>
      <c r="F38" s="875" t="s">
        <v>599</v>
      </c>
      <c r="G38" s="876"/>
      <c r="H38" s="868"/>
      <c r="I38" s="868"/>
    </row>
    <row r="39" spans="1:9" s="877" customFormat="1" ht="19.5" customHeight="1">
      <c r="A39" s="3827"/>
      <c r="B39" s="3827"/>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4.4">
      <c r="A60" s="930"/>
      <c r="B60" s="930"/>
      <c r="C60" s="930" t="s">
        <v>745</v>
      </c>
      <c r="D60" s="930"/>
      <c r="E60" s="885" t="s">
        <v>1</v>
      </c>
      <c r="F60" s="930" t="s">
        <v>1</v>
      </c>
    </row>
    <row r="61" spans="1:8" s="868" customFormat="1" ht="36">
      <c r="A61" s="872">
        <v>1</v>
      </c>
      <c r="B61" s="3827" t="s">
        <v>614</v>
      </c>
      <c r="C61" s="808" t="s">
        <v>615</v>
      </c>
      <c r="D61" s="808" t="s">
        <v>616</v>
      </c>
      <c r="E61" s="885">
        <v>0.5</v>
      </c>
      <c r="F61" s="872">
        <v>80</v>
      </c>
    </row>
    <row r="62" spans="1:8" s="868" customFormat="1" ht="36">
      <c r="A62" s="872">
        <v>2</v>
      </c>
      <c r="B62" s="3827"/>
      <c r="C62" s="808" t="s">
        <v>617</v>
      </c>
      <c r="D62" s="808" t="s">
        <v>618</v>
      </c>
      <c r="E62" s="885">
        <v>0.5</v>
      </c>
      <c r="F62" s="872">
        <v>80</v>
      </c>
    </row>
    <row r="63" spans="1:8" s="868" customFormat="1" ht="48">
      <c r="A63" s="872">
        <v>3</v>
      </c>
      <c r="B63" s="3827"/>
      <c r="C63" s="808" t="s">
        <v>619</v>
      </c>
      <c r="D63" s="808" t="s">
        <v>620</v>
      </c>
      <c r="E63" s="885">
        <v>0.5</v>
      </c>
      <c r="F63" s="872">
        <v>80</v>
      </c>
    </row>
    <row r="64" spans="1:8" s="868" customFormat="1" ht="48">
      <c r="A64" s="872">
        <v>4</v>
      </c>
      <c r="B64" s="3827"/>
      <c r="C64" s="808" t="s">
        <v>621</v>
      </c>
      <c r="D64" s="808" t="s">
        <v>622</v>
      </c>
      <c r="E64" s="885">
        <v>0.4</v>
      </c>
      <c r="F64" s="872">
        <v>60</v>
      </c>
    </row>
    <row r="65" spans="1:6" s="868" customFormat="1" ht="48">
      <c r="A65" s="872">
        <v>5</v>
      </c>
      <c r="B65" s="3827"/>
      <c r="C65" s="808" t="s">
        <v>623</v>
      </c>
      <c r="D65" s="808" t="s">
        <v>624</v>
      </c>
      <c r="E65" s="885">
        <v>0.2</v>
      </c>
      <c r="F65" s="872">
        <v>30</v>
      </c>
    </row>
    <row r="66" spans="1:6" s="868" customFormat="1" ht="48">
      <c r="A66" s="872">
        <v>6</v>
      </c>
      <c r="B66" s="3827"/>
      <c r="C66" s="808" t="s">
        <v>625</v>
      </c>
      <c r="D66" s="808" t="s">
        <v>626</v>
      </c>
      <c r="E66" s="885">
        <v>0.3</v>
      </c>
      <c r="F66" s="872">
        <v>50</v>
      </c>
    </row>
    <row r="67" spans="1:6" s="868" customFormat="1" ht="48">
      <c r="A67" s="872">
        <v>7</v>
      </c>
      <c r="B67" s="3827"/>
      <c r="C67" s="808" t="s">
        <v>627</v>
      </c>
      <c r="D67" s="808" t="s">
        <v>628</v>
      </c>
      <c r="E67" s="885">
        <v>0.2</v>
      </c>
      <c r="F67" s="872">
        <v>30</v>
      </c>
    </row>
    <row r="68" spans="1:6" s="868" customFormat="1" ht="48">
      <c r="A68" s="872">
        <v>8</v>
      </c>
      <c r="B68" s="3827"/>
      <c r="C68" s="808" t="s">
        <v>629</v>
      </c>
      <c r="D68" s="808" t="s">
        <v>630</v>
      </c>
      <c r="E68" s="885">
        <v>0.2</v>
      </c>
      <c r="F68" s="872">
        <v>30</v>
      </c>
    </row>
    <row r="69" spans="1:6" s="868" customFormat="1" ht="48">
      <c r="A69" s="872">
        <v>9</v>
      </c>
      <c r="B69" s="3827"/>
      <c r="C69" s="808" t="s">
        <v>631</v>
      </c>
      <c r="D69" s="808" t="s">
        <v>632</v>
      </c>
      <c r="E69" s="885">
        <v>0.2</v>
      </c>
      <c r="F69" s="872">
        <v>30</v>
      </c>
    </row>
    <row r="70" spans="1:6" s="868" customFormat="1" ht="60">
      <c r="A70" s="872">
        <v>10</v>
      </c>
      <c r="B70" s="3827"/>
      <c r="C70" s="808" t="s">
        <v>633</v>
      </c>
      <c r="D70" s="808" t="s">
        <v>634</v>
      </c>
      <c r="E70" s="885">
        <v>0.2</v>
      </c>
      <c r="F70" s="872">
        <v>30</v>
      </c>
    </row>
    <row r="71" spans="1:6" s="868" customFormat="1" ht="60">
      <c r="A71" s="872">
        <v>11</v>
      </c>
      <c r="B71" s="3827"/>
      <c r="C71" s="808" t="s">
        <v>635</v>
      </c>
      <c r="D71" s="808" t="s">
        <v>636</v>
      </c>
      <c r="E71" s="885">
        <v>0.2</v>
      </c>
      <c r="F71" s="872">
        <v>30</v>
      </c>
    </row>
    <row r="72" spans="1:6" s="868" customFormat="1" ht="36">
      <c r="A72" s="872">
        <v>12</v>
      </c>
      <c r="B72" s="3827"/>
      <c r="C72" s="808" t="s">
        <v>637</v>
      </c>
      <c r="D72" s="808" t="s">
        <v>638</v>
      </c>
      <c r="E72" s="885">
        <v>0.5</v>
      </c>
      <c r="F72" s="872">
        <v>80</v>
      </c>
    </row>
    <row r="73" spans="1:6" s="868" customFormat="1" ht="36">
      <c r="A73" s="872">
        <v>13</v>
      </c>
      <c r="B73" s="3827"/>
      <c r="C73" s="808" t="s">
        <v>639</v>
      </c>
      <c r="D73" s="808" t="s">
        <v>640</v>
      </c>
      <c r="E73" s="885">
        <v>0.4</v>
      </c>
      <c r="F73" s="872">
        <v>60</v>
      </c>
    </row>
    <row r="74" spans="1:6" s="868" customFormat="1" ht="36">
      <c r="A74" s="872">
        <v>14</v>
      </c>
      <c r="B74" s="3827"/>
      <c r="C74" s="808" t="s">
        <v>641</v>
      </c>
      <c r="D74" s="808" t="s">
        <v>642</v>
      </c>
      <c r="E74" s="885">
        <v>0.2</v>
      </c>
      <c r="F74" s="872">
        <v>30</v>
      </c>
    </row>
    <row r="75" spans="1:6" s="868" customFormat="1" ht="36">
      <c r="A75" s="872">
        <v>15</v>
      </c>
      <c r="B75" s="3827"/>
      <c r="C75" s="808" t="s">
        <v>643</v>
      </c>
      <c r="D75" s="808" t="s">
        <v>644</v>
      </c>
      <c r="E75" s="885">
        <v>0.2</v>
      </c>
      <c r="F75" s="872">
        <v>30</v>
      </c>
    </row>
    <row r="76" spans="1:6" s="868" customFormat="1" ht="36">
      <c r="A76" s="872">
        <v>16</v>
      </c>
      <c r="B76" s="3827" t="s">
        <v>645</v>
      </c>
      <c r="C76" s="808" t="s">
        <v>646</v>
      </c>
      <c r="D76" s="808" t="s">
        <v>647</v>
      </c>
      <c r="E76" s="885">
        <v>0.5</v>
      </c>
      <c r="F76" s="872">
        <v>80</v>
      </c>
    </row>
    <row r="77" spans="1:6" s="868" customFormat="1" ht="36">
      <c r="A77" s="872">
        <v>17</v>
      </c>
      <c r="B77" s="3827"/>
      <c r="C77" s="808" t="s">
        <v>648</v>
      </c>
      <c r="D77" s="808" t="s">
        <v>649</v>
      </c>
      <c r="E77" s="885">
        <v>0.5</v>
      </c>
      <c r="F77" s="872">
        <v>80</v>
      </c>
    </row>
    <row r="78" spans="1:6" s="868" customFormat="1" ht="36">
      <c r="A78" s="872">
        <v>18</v>
      </c>
      <c r="B78" s="3827"/>
      <c r="C78" s="808" t="s">
        <v>650</v>
      </c>
      <c r="D78" s="808" t="s">
        <v>651</v>
      </c>
      <c r="E78" s="885">
        <v>0.2</v>
      </c>
      <c r="F78" s="872">
        <v>30</v>
      </c>
    </row>
    <row r="79" spans="1:6" s="868" customFormat="1" ht="36">
      <c r="A79" s="872">
        <v>19</v>
      </c>
      <c r="B79" s="3827"/>
      <c r="C79" s="808" t="s">
        <v>652</v>
      </c>
      <c r="D79" s="808" t="s">
        <v>653</v>
      </c>
      <c r="E79" s="885">
        <v>0.5</v>
      </c>
      <c r="F79" s="872">
        <v>80</v>
      </c>
    </row>
    <row r="80" spans="1:6" s="868" customFormat="1" ht="36">
      <c r="A80" s="872">
        <v>20</v>
      </c>
      <c r="B80" s="3827"/>
      <c r="C80" s="808" t="s">
        <v>654</v>
      </c>
      <c r="D80" s="808" t="s">
        <v>655</v>
      </c>
      <c r="E80" s="885">
        <v>0.2</v>
      </c>
      <c r="F80" s="872">
        <v>30</v>
      </c>
    </row>
    <row r="81" spans="1:6" s="868" customFormat="1" ht="36">
      <c r="A81" s="872">
        <v>21</v>
      </c>
      <c r="B81" s="3827"/>
      <c r="C81" s="808" t="s">
        <v>656</v>
      </c>
      <c r="D81" s="808" t="s">
        <v>657</v>
      </c>
      <c r="E81" s="885">
        <v>0.2</v>
      </c>
      <c r="F81" s="872">
        <v>30</v>
      </c>
    </row>
    <row r="82" spans="1:6" s="868" customFormat="1" ht="60">
      <c r="A82" s="872">
        <v>22</v>
      </c>
      <c r="B82" s="3827"/>
      <c r="C82" s="808" t="s">
        <v>658</v>
      </c>
      <c r="D82" s="808" t="s">
        <v>659</v>
      </c>
      <c r="E82" s="885">
        <v>0.2</v>
      </c>
      <c r="F82" s="872">
        <v>30</v>
      </c>
    </row>
    <row r="83" spans="1:6" s="868" customFormat="1" ht="60">
      <c r="A83" s="872">
        <v>23</v>
      </c>
      <c r="B83" s="3827"/>
      <c r="C83" s="808" t="s">
        <v>660</v>
      </c>
      <c r="D83" s="808" t="s">
        <v>661</v>
      </c>
      <c r="E83" s="885">
        <v>0.2</v>
      </c>
      <c r="F83" s="872">
        <v>30</v>
      </c>
    </row>
    <row r="84" spans="1:6" s="868" customFormat="1" ht="48">
      <c r="A84" s="872">
        <v>24</v>
      </c>
      <c r="B84" s="3827"/>
      <c r="C84" s="808" t="s">
        <v>662</v>
      </c>
      <c r="D84" s="808" t="s">
        <v>663</v>
      </c>
      <c r="E84" s="885">
        <v>0.2</v>
      </c>
      <c r="F84" s="872">
        <v>30</v>
      </c>
    </row>
    <row r="85" spans="1:6" s="868" customFormat="1" ht="36">
      <c r="A85" s="872">
        <v>25</v>
      </c>
      <c r="B85" s="3827"/>
      <c r="C85" s="808" t="s">
        <v>664</v>
      </c>
      <c r="D85" s="808" t="s">
        <v>665</v>
      </c>
      <c r="E85" s="885">
        <v>0.5</v>
      </c>
      <c r="F85" s="872">
        <v>80</v>
      </c>
    </row>
    <row r="86" spans="1:6" s="868" customFormat="1" ht="36">
      <c r="A86" s="872">
        <v>26</v>
      </c>
      <c r="B86" s="3827"/>
      <c r="C86" s="808" t="s">
        <v>666</v>
      </c>
      <c r="D86" s="808" t="s">
        <v>667</v>
      </c>
      <c r="E86" s="885">
        <v>0.2</v>
      </c>
      <c r="F86" s="872">
        <v>30</v>
      </c>
    </row>
    <row r="87" spans="1:6" s="868" customFormat="1" ht="36">
      <c r="A87" s="872">
        <v>27</v>
      </c>
      <c r="B87" s="3827"/>
      <c r="C87" s="808" t="s">
        <v>668</v>
      </c>
      <c r="D87" s="808" t="s">
        <v>669</v>
      </c>
      <c r="E87" s="885">
        <v>0.2</v>
      </c>
      <c r="F87" s="872">
        <v>30</v>
      </c>
    </row>
    <row r="88" spans="1:6" s="868" customFormat="1" ht="36">
      <c r="A88" s="872">
        <v>28</v>
      </c>
      <c r="B88" s="3827"/>
      <c r="C88" s="808" t="s">
        <v>670</v>
      </c>
      <c r="D88" s="808" t="s">
        <v>671</v>
      </c>
      <c r="E88" s="885">
        <v>0.2</v>
      </c>
      <c r="F88" s="872">
        <v>30</v>
      </c>
    </row>
    <row r="89" spans="1:6" s="868" customFormat="1" ht="36">
      <c r="A89" s="872">
        <v>29</v>
      </c>
      <c r="B89" s="3827"/>
      <c r="C89" s="808" t="s">
        <v>672</v>
      </c>
      <c r="D89" s="808" t="s">
        <v>673</v>
      </c>
      <c r="E89" s="885">
        <v>0.2</v>
      </c>
      <c r="F89" s="872">
        <v>30</v>
      </c>
    </row>
    <row r="90" spans="1:6" s="868" customFormat="1" ht="36">
      <c r="A90" s="872">
        <v>30</v>
      </c>
      <c r="B90" s="3827"/>
      <c r="C90" s="808" t="s">
        <v>674</v>
      </c>
      <c r="D90" s="808" t="s">
        <v>675</v>
      </c>
      <c r="E90" s="885">
        <v>0.2</v>
      </c>
      <c r="F90" s="872">
        <v>30</v>
      </c>
    </row>
    <row r="91" spans="1:6" s="868" customFormat="1" ht="48">
      <c r="A91" s="872">
        <v>31</v>
      </c>
      <c r="B91" s="3827"/>
      <c r="C91" s="808" t="s">
        <v>676</v>
      </c>
      <c r="D91" s="808" t="s">
        <v>677</v>
      </c>
      <c r="E91" s="885">
        <v>0.2</v>
      </c>
      <c r="F91" s="872">
        <v>30</v>
      </c>
    </row>
    <row r="92" spans="1:6" s="868" customFormat="1" ht="36">
      <c r="A92" s="872">
        <v>32</v>
      </c>
      <c r="B92" s="3827" t="s">
        <v>678</v>
      </c>
      <c r="C92" s="872" t="s">
        <v>679</v>
      </c>
      <c r="D92" s="808" t="s">
        <v>680</v>
      </c>
      <c r="E92" s="885">
        <v>0.2</v>
      </c>
      <c r="F92" s="872">
        <v>30</v>
      </c>
    </row>
    <row r="93" spans="1:6" s="868" customFormat="1" ht="36">
      <c r="A93" s="872">
        <v>33</v>
      </c>
      <c r="B93" s="3827"/>
      <c r="C93" s="872" t="s">
        <v>681</v>
      </c>
      <c r="D93" s="808" t="s">
        <v>682</v>
      </c>
      <c r="E93" s="885">
        <v>0.2</v>
      </c>
      <c r="F93" s="872">
        <v>30</v>
      </c>
    </row>
    <row r="94" spans="1:6" s="868" customFormat="1" ht="60">
      <c r="A94" s="872">
        <v>34</v>
      </c>
      <c r="B94" s="3827"/>
      <c r="C94" s="872" t="s">
        <v>683</v>
      </c>
      <c r="D94" s="808" t="s">
        <v>684</v>
      </c>
      <c r="E94" s="885">
        <v>0.2</v>
      </c>
      <c r="F94" s="872">
        <v>30</v>
      </c>
    </row>
    <row r="95" spans="1:6" s="868" customFormat="1" ht="48">
      <c r="A95" s="872">
        <v>35</v>
      </c>
      <c r="B95" s="3827"/>
      <c r="C95" s="872" t="s">
        <v>685</v>
      </c>
      <c r="D95" s="808" t="s">
        <v>686</v>
      </c>
      <c r="E95" s="885">
        <v>0.2</v>
      </c>
      <c r="F95" s="872">
        <v>30</v>
      </c>
    </row>
    <row r="96" spans="1:6" s="868" customFormat="1" ht="72">
      <c r="A96" s="872">
        <v>36</v>
      </c>
      <c r="B96" s="3827"/>
      <c r="C96" s="808" t="s">
        <v>687</v>
      </c>
      <c r="D96" s="808" t="s">
        <v>688</v>
      </c>
      <c r="E96" s="885">
        <v>0.2</v>
      </c>
      <c r="F96" s="872">
        <v>30</v>
      </c>
    </row>
    <row r="97" spans="1:6" s="868" customFormat="1" ht="36">
      <c r="A97" s="872">
        <v>37</v>
      </c>
      <c r="B97" s="3827"/>
      <c r="C97" s="872" t="s">
        <v>689</v>
      </c>
      <c r="D97" s="808" t="s">
        <v>690</v>
      </c>
      <c r="E97" s="885">
        <v>0.2</v>
      </c>
      <c r="F97" s="872">
        <v>30</v>
      </c>
    </row>
    <row r="98" spans="1:6" s="868" customFormat="1" ht="36">
      <c r="A98" s="872">
        <v>38</v>
      </c>
      <c r="B98" s="3827"/>
      <c r="C98" s="872" t="s">
        <v>691</v>
      </c>
      <c r="D98" s="808" t="s">
        <v>692</v>
      </c>
      <c r="E98" s="885">
        <v>0.2</v>
      </c>
      <c r="F98" s="872">
        <v>30</v>
      </c>
    </row>
    <row r="99" spans="1:6" s="868" customFormat="1" ht="36">
      <c r="A99" s="872">
        <v>39</v>
      </c>
      <c r="B99" s="3827" t="s">
        <v>693</v>
      </c>
      <c r="C99" s="872" t="s">
        <v>694</v>
      </c>
      <c r="D99" s="808" t="s">
        <v>695</v>
      </c>
      <c r="E99" s="885">
        <v>0.3</v>
      </c>
      <c r="F99" s="872">
        <v>50</v>
      </c>
    </row>
    <row r="100" spans="1:6" s="868" customFormat="1" ht="36">
      <c r="A100" s="872">
        <v>40</v>
      </c>
      <c r="B100" s="3827"/>
      <c r="C100" s="872" t="s">
        <v>696</v>
      </c>
      <c r="D100" s="808" t="s">
        <v>697</v>
      </c>
      <c r="E100" s="885">
        <v>0.2</v>
      </c>
      <c r="F100" s="872">
        <v>30</v>
      </c>
    </row>
    <row r="101" spans="1:6" s="868" customFormat="1" ht="36">
      <c r="A101" s="872">
        <v>41</v>
      </c>
      <c r="B101" s="3827"/>
      <c r="C101" s="872" t="s">
        <v>698</v>
      </c>
      <c r="D101" s="808" t="s">
        <v>695</v>
      </c>
      <c r="E101" s="885">
        <v>0.2</v>
      </c>
      <c r="F101" s="872">
        <v>30</v>
      </c>
    </row>
    <row r="102" spans="1:6" s="868" customFormat="1" ht="72">
      <c r="A102" s="872">
        <v>42</v>
      </c>
      <c r="B102" s="872" t="s">
        <v>699</v>
      </c>
      <c r="C102" s="808" t="s">
        <v>700</v>
      </c>
      <c r="D102" s="808" t="s">
        <v>701</v>
      </c>
      <c r="E102" s="885">
        <v>0.2</v>
      </c>
      <c r="F102" s="872">
        <v>30</v>
      </c>
    </row>
    <row r="103" spans="1:6" s="868" customFormat="1" ht="36">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48">
      <c r="A105" s="872">
        <v>45</v>
      </c>
      <c r="B105" s="3827" t="s">
        <v>708</v>
      </c>
      <c r="C105" s="872" t="s">
        <v>709</v>
      </c>
      <c r="D105" s="808" t="s">
        <v>710</v>
      </c>
      <c r="E105" s="885">
        <v>0.2</v>
      </c>
      <c r="F105" s="872">
        <v>30</v>
      </c>
    </row>
    <row r="106" spans="1:6" s="868" customFormat="1" ht="48">
      <c r="A106" s="872">
        <v>46</v>
      </c>
      <c r="B106" s="3827"/>
      <c r="C106" s="872" t="s">
        <v>711</v>
      </c>
      <c r="D106" s="808" t="s">
        <v>712</v>
      </c>
      <c r="E106" s="885">
        <v>0.2</v>
      </c>
      <c r="F106" s="872">
        <v>30</v>
      </c>
    </row>
    <row r="107" spans="1:6" s="868" customFormat="1" ht="36">
      <c r="A107" s="872">
        <v>47</v>
      </c>
      <c r="B107" s="3827" t="s">
        <v>713</v>
      </c>
      <c r="C107" s="872" t="s">
        <v>714</v>
      </c>
      <c r="D107" s="808" t="s">
        <v>715</v>
      </c>
      <c r="E107" s="885">
        <v>0.3</v>
      </c>
      <c r="F107" s="872">
        <v>50</v>
      </c>
    </row>
    <row r="108" spans="1:6" s="868" customFormat="1" ht="48">
      <c r="A108" s="872">
        <v>48</v>
      </c>
      <c r="B108" s="3827"/>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48">
      <c r="A110" s="872">
        <v>50</v>
      </c>
      <c r="B110" s="872" t="s">
        <v>721</v>
      </c>
      <c r="C110" s="872" t="s">
        <v>722</v>
      </c>
      <c r="D110" s="808" t="s">
        <v>723</v>
      </c>
      <c r="E110" s="885">
        <v>0.2</v>
      </c>
      <c r="F110" s="872">
        <v>30</v>
      </c>
    </row>
    <row r="111" spans="1:6" s="868" customFormat="1" ht="48">
      <c r="A111" s="872">
        <v>51</v>
      </c>
      <c r="B111" s="3827" t="s">
        <v>724</v>
      </c>
      <c r="C111" s="872" t="s">
        <v>725</v>
      </c>
      <c r="D111" s="808" t="s">
        <v>726</v>
      </c>
      <c r="E111" s="885">
        <v>0.2</v>
      </c>
      <c r="F111" s="872">
        <v>30</v>
      </c>
    </row>
    <row r="112" spans="1:6" s="868" customFormat="1" ht="36">
      <c r="A112" s="872">
        <v>52</v>
      </c>
      <c r="B112" s="3827"/>
      <c r="C112" s="872" t="s">
        <v>727</v>
      </c>
      <c r="D112" s="808" t="s">
        <v>728</v>
      </c>
      <c r="E112" s="885">
        <v>0.2</v>
      </c>
      <c r="F112" s="872">
        <v>30</v>
      </c>
    </row>
    <row r="113" spans="1:6" s="868" customFormat="1" ht="36">
      <c r="A113" s="872">
        <v>53</v>
      </c>
      <c r="B113" s="3827"/>
      <c r="C113" s="872" t="s">
        <v>729</v>
      </c>
      <c r="D113" s="808" t="s">
        <v>730</v>
      </c>
      <c r="E113" s="885">
        <v>0.2</v>
      </c>
      <c r="F113" s="872">
        <v>30</v>
      </c>
    </row>
    <row r="114" spans="1:6" ht="48">
      <c r="A114" s="872">
        <v>54</v>
      </c>
      <c r="B114" s="872" t="s">
        <v>731</v>
      </c>
      <c r="C114" s="872" t="s">
        <v>732</v>
      </c>
      <c r="D114" s="808" t="s">
        <v>733</v>
      </c>
      <c r="E114" s="885">
        <v>0.2</v>
      </c>
      <c r="F114" s="872">
        <v>30</v>
      </c>
    </row>
    <row r="115" spans="1:6" ht="36">
      <c r="A115" s="872">
        <v>55</v>
      </c>
      <c r="B115" s="872" t="s">
        <v>734</v>
      </c>
      <c r="C115" s="872" t="s">
        <v>735</v>
      </c>
      <c r="D115" s="808" t="s">
        <v>736</v>
      </c>
      <c r="E115" s="885">
        <v>0.2</v>
      </c>
      <c r="F115" s="872">
        <v>30</v>
      </c>
    </row>
    <row r="116" spans="1:6" ht="36">
      <c r="A116" s="872">
        <v>56</v>
      </c>
      <c r="B116" s="3827" t="s">
        <v>737</v>
      </c>
      <c r="C116" s="872" t="s">
        <v>738</v>
      </c>
      <c r="D116" s="808" t="s">
        <v>739</v>
      </c>
      <c r="E116" s="885">
        <v>0.2</v>
      </c>
      <c r="F116" s="872">
        <v>30</v>
      </c>
    </row>
    <row r="117" spans="1:6" ht="36">
      <c r="A117" s="872">
        <v>57</v>
      </c>
      <c r="B117" s="3827"/>
      <c r="C117" s="872" t="s">
        <v>740</v>
      </c>
      <c r="D117" s="808" t="s">
        <v>741</v>
      </c>
      <c r="E117" s="885">
        <v>0.2</v>
      </c>
      <c r="F117" s="872">
        <v>30</v>
      </c>
    </row>
    <row r="118" spans="1:6" ht="36">
      <c r="A118" s="872">
        <v>58</v>
      </c>
      <c r="B118" s="872" t="s">
        <v>742</v>
      </c>
      <c r="C118" s="872" t="s">
        <v>743</v>
      </c>
      <c r="D118" s="808" t="s">
        <v>744</v>
      </c>
      <c r="E118" s="885">
        <v>0.2</v>
      </c>
      <c r="F118" s="872">
        <v>30</v>
      </c>
    </row>
    <row r="119" spans="1:6" ht="14.4">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408"/>
  <sheetViews>
    <sheetView workbookViewId="0">
      <selection activeCell="V30" sqref="V30"/>
    </sheetView>
  </sheetViews>
  <sheetFormatPr defaultColWidth="9" defaultRowHeight="14.4"/>
  <cols>
    <col min="1" max="1" width="9" style="905"/>
    <col min="2" max="16384" width="9" style="888"/>
  </cols>
  <sheetData>
    <row r="1" spans="1:14" ht="15.6">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5.6">
      <c r="A103" s="886" t="s">
        <v>748</v>
      </c>
      <c r="B103" s="887"/>
      <c r="C103" s="887"/>
      <c r="D103" s="887"/>
      <c r="E103" s="887"/>
      <c r="F103" s="887"/>
      <c r="G103" s="887"/>
      <c r="H103" s="887"/>
      <c r="I103" s="887"/>
      <c r="J103" s="887"/>
      <c r="K103" s="887"/>
      <c r="L103" s="887"/>
      <c r="M103" s="887"/>
      <c r="N103" s="887"/>
    </row>
    <row r="104" spans="1:14" ht="15.6">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0.88480000000000003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5.6">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5.6">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E13"/>
  <sheetViews>
    <sheetView workbookViewId="0">
      <selection activeCell="B3" sqref="B3"/>
    </sheetView>
  </sheetViews>
  <sheetFormatPr defaultColWidth="9" defaultRowHeight="13.8"/>
  <cols>
    <col min="1" max="1" width="23.33203125" style="1924" customWidth="1"/>
    <col min="2" max="2" width="12.44140625" style="1924" customWidth="1"/>
    <col min="3" max="3" width="12.109375" style="1924" customWidth="1"/>
    <col min="4" max="4" width="14.109375" style="1924" customWidth="1"/>
    <col min="5" max="5" width="12.44140625" style="1924" customWidth="1"/>
    <col min="6" max="16384" width="9" style="1924"/>
  </cols>
  <sheetData>
    <row r="1" spans="1:5" ht="21.6">
      <c r="A1" s="2534" t="s">
        <v>2980</v>
      </c>
    </row>
    <row r="2" spans="1:5" ht="15.6">
      <c r="A2" s="2873" t="s">
        <v>2972</v>
      </c>
      <c r="B2" s="2874" t="e">
        <f ca="1">SUMIF(B6:B13,"&lt;&gt;#ref!",B6:B13)</f>
        <v>#DIV/0!</v>
      </c>
      <c r="C2" s="2873" t="s">
        <v>2973</v>
      </c>
      <c r="D2" s="2873" t="s">
        <v>2974</v>
      </c>
      <c r="E2" s="2874">
        <f ca="1">SUMIF(E6:E13,"&lt;&gt;#ref!",E6:E13)</f>
        <v>0</v>
      </c>
    </row>
    <row r="3" spans="1:5" ht="15.6">
      <c r="A3" s="2873" t="s">
        <v>2975</v>
      </c>
      <c r="B3" s="2874" t="e">
        <f ca="1">ROUND(B2*10000/E2,0)</f>
        <v>#DIV/0!</v>
      </c>
      <c r="C3" s="2873" t="s">
        <v>2981</v>
      </c>
      <c r="D3" s="2875"/>
      <c r="E3" s="2875"/>
    </row>
    <row r="4" spans="1:5" ht="15.6">
      <c r="A4" s="2876"/>
      <c r="B4" s="2875"/>
      <c r="C4" s="2875"/>
      <c r="D4" s="2875"/>
      <c r="E4" s="2875"/>
    </row>
    <row r="5" spans="1:5" ht="31.2">
      <c r="A5" s="2877" t="s">
        <v>2976</v>
      </c>
      <c r="B5" s="2873" t="s">
        <v>2977</v>
      </c>
      <c r="C5" s="2874"/>
      <c r="D5" s="2875"/>
      <c r="E5" s="2873" t="s">
        <v>2978</v>
      </c>
    </row>
    <row r="6" spans="1:5" ht="15.6">
      <c r="A6" s="2878" t="s">
        <v>2979</v>
      </c>
      <c r="B6" s="2874" t="e">
        <f ca="1">SUMIF(INDIRECT("'"&amp;A6&amp;"'"&amp;"!A:A"),"总价",INDIRECT("'"&amp;A6&amp;"'"&amp;"!B:B"))</f>
        <v>#DIV/0!</v>
      </c>
      <c r="C6" s="2873" t="s">
        <v>2973</v>
      </c>
      <c r="D6" s="2875"/>
      <c r="E6" s="2548">
        <f ca="1">SUMIF(INDIRECT("'"&amp;A6&amp;"'"&amp;"!C:C"),"建筑面积",INDIRECT("'"&amp;A6&amp;"'"&amp;"!D:D"))</f>
        <v>0</v>
      </c>
    </row>
    <row r="7" spans="1:5" ht="15.6">
      <c r="A7" s="2878"/>
      <c r="B7" s="2874" t="e">
        <f ca="1">SUMIF(INDIRECT("'"&amp;A7&amp;"'"&amp;"!A:A"),"总价",INDIRECT("'"&amp;A7&amp;"'"&amp;"!B:B"))</f>
        <v>#REF!</v>
      </c>
      <c r="C7" s="2873" t="s">
        <v>2973</v>
      </c>
      <c r="D7" s="2875"/>
      <c r="E7" s="2548" t="e">
        <f t="shared" ref="E7:E13" ca="1" si="0">SUMIF(INDIRECT("'"&amp;A7&amp;"'"&amp;"!C:C"),"建筑面积",INDIRECT("'"&amp;A7&amp;"'"&amp;"!D:D"))</f>
        <v>#REF!</v>
      </c>
    </row>
    <row r="8" spans="1:5" ht="15.6">
      <c r="A8" s="2878"/>
      <c r="B8" s="2874" t="e">
        <f t="shared" ref="B8:B13" ca="1" si="1">SUMIF(INDIRECT("'"&amp;A8&amp;"'"&amp;"!A:A"),"总价",INDIRECT("'"&amp;A8&amp;"'"&amp;"!B:B"))</f>
        <v>#REF!</v>
      </c>
      <c r="C8" s="2873" t="s">
        <v>2973</v>
      </c>
      <c r="D8" s="2875"/>
      <c r="E8" s="2548" t="e">
        <f t="shared" ca="1" si="0"/>
        <v>#REF!</v>
      </c>
    </row>
    <row r="9" spans="1:5" ht="15.6">
      <c r="A9" s="2878"/>
      <c r="B9" s="2874" t="e">
        <f t="shared" ca="1" si="1"/>
        <v>#REF!</v>
      </c>
      <c r="C9" s="2873" t="s">
        <v>2973</v>
      </c>
      <c r="D9" s="2875"/>
      <c r="E9" s="2548" t="e">
        <f t="shared" ca="1" si="0"/>
        <v>#REF!</v>
      </c>
    </row>
    <row r="10" spans="1:5" ht="15.6">
      <c r="A10" s="2878"/>
      <c r="B10" s="2874" t="e">
        <f t="shared" ca="1" si="1"/>
        <v>#REF!</v>
      </c>
      <c r="C10" s="2873" t="s">
        <v>2973</v>
      </c>
      <c r="D10" s="2875"/>
      <c r="E10" s="2548" t="e">
        <f t="shared" ca="1" si="0"/>
        <v>#REF!</v>
      </c>
    </row>
    <row r="11" spans="1:5" ht="15.6">
      <c r="A11" s="2878"/>
      <c r="B11" s="2874" t="e">
        <f t="shared" ca="1" si="1"/>
        <v>#REF!</v>
      </c>
      <c r="C11" s="2873" t="s">
        <v>2973</v>
      </c>
      <c r="D11" s="2875"/>
      <c r="E11" s="2548" t="e">
        <f t="shared" ca="1" si="0"/>
        <v>#REF!</v>
      </c>
    </row>
    <row r="12" spans="1:5" ht="15.6">
      <c r="A12" s="2878"/>
      <c r="B12" s="2874" t="e">
        <f t="shared" ca="1" si="1"/>
        <v>#REF!</v>
      </c>
      <c r="C12" s="2873" t="s">
        <v>2973</v>
      </c>
      <c r="D12" s="2875"/>
      <c r="E12" s="2548" t="e">
        <f t="shared" ca="1" si="0"/>
        <v>#REF!</v>
      </c>
    </row>
    <row r="13" spans="1:5" ht="15.6">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xr:uid="{00000000-0002-0000-3500-000000000000}">
      <formula1>估价方法</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AK83"/>
  <sheetViews>
    <sheetView topLeftCell="A10" zoomScale="85" zoomScaleNormal="85" zoomScaleSheetLayoutView="90" workbookViewId="0">
      <selection activeCell="G14" sqref="G1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4" customWidth="1"/>
    <col min="12" max="12" width="16.33203125" style="302" customWidth="1"/>
    <col min="13" max="13" width="13" style="302" customWidth="1"/>
    <col min="14" max="14" width="13.77734375" style="1822" customWidth="1"/>
    <col min="15" max="15" width="5.109375" style="1822" customWidth="1"/>
    <col min="16" max="16" width="25.77734375" style="1822" customWidth="1"/>
    <col min="17" max="17" width="13.77734375" style="1822" customWidth="1"/>
    <col min="18" max="18" width="20.44140625" style="1822" customWidth="1"/>
    <col min="19" max="19" width="13.21875" style="1822" customWidth="1"/>
    <col min="20" max="37" width="9" style="1822"/>
    <col min="38" max="16384" width="9" style="302"/>
  </cols>
  <sheetData>
    <row r="1" spans="1:37" s="337" customFormat="1" ht="21.6">
      <c r="A1" s="1813" t="s">
        <v>1577</v>
      </c>
      <c r="B1" s="778"/>
      <c r="C1" s="1817" t="s">
        <v>3634</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2942"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3665</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2930" t="s">
        <v>1406</v>
      </c>
      <c r="E14" s="2925"/>
      <c r="F14" s="364"/>
      <c r="G14" s="1831"/>
      <c r="H14" s="1183" t="s">
        <v>1032</v>
      </c>
      <c r="I14" s="347" t="s">
        <v>1407</v>
      </c>
      <c r="J14" s="24" t="e">
        <f ca="1">C29</f>
        <v>#N/A</v>
      </c>
      <c r="K14" s="2941"/>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2932"/>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2939"/>
      <c r="F19" s="26"/>
      <c r="G19" s="1831"/>
      <c r="H19" s="1183" t="s">
        <v>1033</v>
      </c>
      <c r="I19" s="347" t="s">
        <v>1425</v>
      </c>
      <c r="J19" s="24" t="e">
        <f ca="1">IF(K19="按租金收入计税",ROUND(J6*M19/(1+'数据-取费表'!C42),2),ROUND(C29*M19*0.7,2))</f>
        <v>#N/A</v>
      </c>
      <c r="K19" s="1808" t="s">
        <v>1426</v>
      </c>
      <c r="L19" s="347" t="s">
        <v>1410</v>
      </c>
      <c r="M19" s="367">
        <f>IF(K19="按租金收入计税",'数据-取费表'!B51,'数据-取费表'!B50)</f>
        <v>1.2E-2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t="e">
        <f ca="1">ROUND(J14*M22,1)</f>
        <v>#N/A</v>
      </c>
      <c r="K22" s="292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2928"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2932"/>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3676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292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2928" t="s">
        <v>1442</v>
      </c>
      <c r="E37" s="347" t="s">
        <v>1410</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8"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8"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40.200000000000003" thickBot="1">
      <c r="A48" s="1342" t="s">
        <v>1125</v>
      </c>
      <c r="B48" s="345" t="s">
        <v>1389</v>
      </c>
      <c r="C48" s="2938"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8"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8"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8"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8"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36.6"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24.6" thickBot="1">
      <c r="A54" s="1387"/>
      <c r="B54" s="1805" t="s">
        <v>1376</v>
      </c>
      <c r="C54" s="1160"/>
      <c r="D54" s="1804"/>
      <c r="E54" s="2934"/>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8" thickBot="1">
      <c r="A55" s="1315" t="s">
        <v>1072</v>
      </c>
      <c r="B55" s="1807" t="s">
        <v>1401</v>
      </c>
      <c r="C55" s="1316"/>
      <c r="D55" s="1804"/>
      <c r="E55" s="2934"/>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37.200000000000003"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6"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6"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6"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2"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8"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#N/A</v>
      </c>
      <c r="R61" s="1866" t="s">
        <v>1557</v>
      </c>
    </row>
    <row r="62" spans="1:18" s="1822" customFormat="1" ht="13.8"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8"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8"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8"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2"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24.6"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2"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8"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8" thickBot="1">
      <c r="A70" s="1155"/>
      <c r="B70" s="1156"/>
      <c r="C70" s="355"/>
      <c r="D70" s="1167"/>
      <c r="E70" s="1151" t="s">
        <v>1465</v>
      </c>
      <c r="F70" s="1257"/>
      <c r="O70" s="1874" t="s">
        <v>1046</v>
      </c>
      <c r="P70" s="1913" t="s">
        <v>1573</v>
      </c>
      <c r="Q70" s="1866" t="e">
        <f ca="1">C13</f>
        <v>#N/A</v>
      </c>
      <c r="R70" s="1866" t="s">
        <v>1517</v>
      </c>
    </row>
    <row r="71" spans="1:18" s="1822" customFormat="1" ht="13.8"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8" thickBot="1">
      <c r="B72" s="791"/>
      <c r="C72" s="791"/>
      <c r="O72" s="1874" t="s">
        <v>1041</v>
      </c>
      <c r="P72" s="1865" t="s">
        <v>1552</v>
      </c>
      <c r="Q72" s="1877">
        <f>L52</f>
        <v>0</v>
      </c>
      <c r="R72" s="1866"/>
    </row>
    <row r="73" spans="1:18" ht="16.2" thickBot="1">
      <c r="A73" s="1822"/>
      <c r="B73" s="791"/>
      <c r="C73" s="791"/>
      <c r="D73" s="1822"/>
      <c r="E73" s="1822"/>
      <c r="F73" s="1822"/>
      <c r="O73" s="1874" t="s">
        <v>1042</v>
      </c>
      <c r="P73" s="1865" t="s">
        <v>1555</v>
      </c>
      <c r="Q73" s="1866" t="e">
        <f ca="1">L58</f>
        <v>#N/A</v>
      </c>
      <c r="R73" s="1866" t="s">
        <v>1556</v>
      </c>
    </row>
    <row r="74" spans="1:18" ht="13.8"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8"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600-000000000000}">
      <formula1>"按租金收入计税,按房产原值计税"</formula1>
    </dataValidation>
    <dataValidation type="list" allowBlank="1" showInputMessage="1" showErrorMessage="1" sqref="D33 D61" xr:uid="{00000000-0002-0000-3600-000001000000}">
      <formula1>"按租金收入计税,按房产原值计税,按票据"</formula1>
    </dataValidation>
    <dataValidation type="list" allowBlank="1" showInputMessage="1" showErrorMessage="1" sqref="C1" xr:uid="{00000000-0002-0000-3600-000002000000}">
      <formula1>项目类型</formula1>
    </dataValidation>
    <dataValidation type="list" allowBlank="1" showInputMessage="1" showErrorMessage="1" sqref="J47" xr:uid="{00000000-0002-0000-3600-000003000000}">
      <formula1>"钢,钢混,砖混"</formula1>
    </dataValidation>
    <dataValidation type="list" allowBlank="1" showInputMessage="1" showErrorMessage="1" sqref="J48" xr:uid="{00000000-0002-0000-3600-000004000000}">
      <formula1>"非生产用房,生产用房,受腐蚀的生产用房"</formula1>
    </dataValidation>
    <dataValidation type="list" allowBlank="1" showInputMessage="1" showErrorMessage="1" sqref="J56" xr:uid="{00000000-0002-0000-3600-000005000000}">
      <formula1>判定</formula1>
    </dataValidation>
    <dataValidation type="list" allowBlank="1" showInputMessage="1" showErrorMessage="1" sqref="L55" xr:uid="{00000000-0002-0000-3600-000006000000}">
      <formula1>"比较法,基准地价,收益还原"</formula1>
    </dataValidation>
    <dataValidation type="list" allowBlank="1" showInputMessage="1" showErrorMessage="1" sqref="M10 F10 F53" xr:uid="{00000000-0002-0000-3600-000007000000}">
      <formula1>"押一,押二,押三,自定义"</formula1>
    </dataValidation>
    <dataValidation type="list" allowBlank="1" showInputMessage="1" showErrorMessage="1" sqref="D1" xr:uid="{00000000-0002-0000-3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P38"/>
  <sheetViews>
    <sheetView workbookViewId="0">
      <selection activeCell="G14" sqref="G14"/>
    </sheetView>
  </sheetViews>
  <sheetFormatPr defaultRowHeight="14.4"/>
  <cols>
    <col min="1" max="1" width="10.44140625" customWidth="1"/>
    <col min="2" max="2" width="12.88671875" customWidth="1"/>
    <col min="3" max="3" width="8.77734375" customWidth="1"/>
    <col min="15" max="16" width="11" bestFit="1" customWidth="1"/>
  </cols>
  <sheetData>
    <row r="1" spans="1:16" ht="15.6">
      <c r="A1" s="3828" t="s">
        <v>1073</v>
      </c>
      <c r="B1" s="3829"/>
      <c r="C1" s="3830"/>
      <c r="D1" s="3831">
        <f>SUM(I10,I15,I20,I21,I23)</f>
        <v>5522</v>
      </c>
      <c r="E1" s="3831"/>
      <c r="F1" s="3831"/>
      <c r="G1" s="3831"/>
      <c r="H1" s="3831"/>
      <c r="I1" s="3832"/>
    </row>
    <row r="2" spans="1:16">
      <c r="A2" s="3833" t="s">
        <v>1074</v>
      </c>
      <c r="B2" s="3834" t="s">
        <v>1075</v>
      </c>
      <c r="C2" s="3834"/>
      <c r="D2" s="1283" t="s">
        <v>1076</v>
      </c>
      <c r="E2" s="1283" t="s">
        <v>1077</v>
      </c>
      <c r="F2" s="1283" t="s">
        <v>1078</v>
      </c>
      <c r="G2" s="1283" t="s">
        <v>1079</v>
      </c>
      <c r="H2" s="1283" t="s">
        <v>1080</v>
      </c>
      <c r="I2" s="1284" t="s">
        <v>1081</v>
      </c>
    </row>
    <row r="3" spans="1:16" ht="15.6">
      <c r="A3" s="3833"/>
      <c r="B3" s="3835" t="s">
        <v>3642</v>
      </c>
      <c r="C3" s="3836"/>
      <c r="D3" s="3395">
        <v>198</v>
      </c>
      <c r="E3" s="3395">
        <v>500</v>
      </c>
      <c r="F3" s="3396">
        <v>1</v>
      </c>
      <c r="G3" s="3396">
        <v>0.9</v>
      </c>
      <c r="H3" s="1287">
        <v>365</v>
      </c>
      <c r="I3" s="1288">
        <f>ROUND(D3*E3*F3*G3*H3/10000,0)</f>
        <v>3252</v>
      </c>
    </row>
    <row r="4" spans="1:16" ht="15.6">
      <c r="A4" s="3833"/>
      <c r="B4" s="3835" t="s">
        <v>3643</v>
      </c>
      <c r="C4" s="3836"/>
      <c r="D4" s="3395">
        <v>86</v>
      </c>
      <c r="E4" s="3395">
        <v>520</v>
      </c>
      <c r="F4" s="3396">
        <v>1</v>
      </c>
      <c r="G4" s="3396">
        <v>0.85</v>
      </c>
      <c r="H4" s="1287">
        <v>365</v>
      </c>
      <c r="I4" s="1288">
        <f t="shared" ref="I4:I9" si="0">ROUND(D4*E4*F4*G4*H4/10000,0)</f>
        <v>1387</v>
      </c>
    </row>
    <row r="5" spans="1:16" ht="15.6">
      <c r="A5" s="3833"/>
      <c r="B5" s="3835" t="s">
        <v>3644</v>
      </c>
      <c r="C5" s="3836"/>
      <c r="D5" s="3395">
        <v>9</v>
      </c>
      <c r="E5" s="3395">
        <v>900</v>
      </c>
      <c r="F5" s="3396">
        <v>1</v>
      </c>
      <c r="G5" s="3396">
        <v>0.77</v>
      </c>
      <c r="H5" s="1287">
        <v>365</v>
      </c>
      <c r="I5" s="1288">
        <f t="shared" si="0"/>
        <v>228</v>
      </c>
      <c r="K5" s="3391" t="s">
        <v>3635</v>
      </c>
      <c r="L5" s="3391" t="s">
        <v>3636</v>
      </c>
      <c r="M5" s="3391" t="s">
        <v>3637</v>
      </c>
      <c r="N5" s="3391" t="s">
        <v>3638</v>
      </c>
      <c r="O5" s="3391" t="s">
        <v>3639</v>
      </c>
      <c r="P5" s="3391" t="s">
        <v>3640</v>
      </c>
    </row>
    <row r="6" spans="1:16" ht="15.6">
      <c r="A6" s="3833"/>
      <c r="B6" s="3835" t="s">
        <v>3645</v>
      </c>
      <c r="C6" s="3836"/>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833"/>
      <c r="B7" s="3834"/>
      <c r="C7" s="3834"/>
      <c r="D7" s="1285"/>
      <c r="E7" s="1283"/>
      <c r="F7" s="1286"/>
      <c r="G7" s="1286"/>
      <c r="H7" s="1287"/>
      <c r="I7" s="1288">
        <f t="shared" si="0"/>
        <v>0</v>
      </c>
      <c r="K7" s="3391">
        <v>2017</v>
      </c>
      <c r="L7" s="3391">
        <v>313</v>
      </c>
      <c r="M7" s="3392">
        <v>0.86260000000000003</v>
      </c>
      <c r="N7" s="3391">
        <v>432.99</v>
      </c>
      <c r="O7" s="3393">
        <v>4763.54</v>
      </c>
      <c r="P7" s="3394">
        <v>2186.4299999999998</v>
      </c>
    </row>
    <row r="8" spans="1:16">
      <c r="A8" s="3833"/>
      <c r="B8" s="3834"/>
      <c r="C8" s="3834"/>
      <c r="D8" s="1285"/>
      <c r="E8" s="1283"/>
      <c r="F8" s="1286"/>
      <c r="G8" s="1286"/>
      <c r="H8" s="1287"/>
      <c r="I8" s="1288">
        <f t="shared" si="0"/>
        <v>0</v>
      </c>
      <c r="K8" s="3391">
        <v>2018</v>
      </c>
      <c r="L8" s="3391">
        <v>313</v>
      </c>
      <c r="M8" s="3392">
        <v>0.85750000000000004</v>
      </c>
      <c r="N8" s="3391">
        <v>490.61</v>
      </c>
      <c r="O8" s="3393">
        <v>5636.54</v>
      </c>
      <c r="P8" s="3394">
        <v>2910.75</v>
      </c>
    </row>
    <row r="9" spans="1:16">
      <c r="A9" s="3833"/>
      <c r="B9" s="3834"/>
      <c r="C9" s="3834"/>
      <c r="D9" s="1285"/>
      <c r="E9" s="1283"/>
      <c r="F9" s="1286"/>
      <c r="G9" s="1286"/>
      <c r="H9" s="1287"/>
      <c r="I9" s="1288">
        <f t="shared" si="0"/>
        <v>0</v>
      </c>
      <c r="K9" s="3391" t="s">
        <v>3641</v>
      </c>
      <c r="L9" s="3391">
        <v>313</v>
      </c>
      <c r="M9" s="3392">
        <v>0.89019999999999999</v>
      </c>
      <c r="N9" s="3391">
        <v>489.52</v>
      </c>
      <c r="O9" s="3393">
        <v>4419.04</v>
      </c>
      <c r="P9" s="3394">
        <v>2299.9899999999998</v>
      </c>
    </row>
    <row r="10" spans="1:16">
      <c r="A10" s="3833"/>
      <c r="B10" s="3837" t="s">
        <v>1082</v>
      </c>
      <c r="C10" s="3837"/>
      <c r="D10" s="1289"/>
      <c r="E10" s="1289" t="e">
        <f>ROUND(D1*10000/D10/H9,0)</f>
        <v>#DIV/0!</v>
      </c>
      <c r="F10" s="1290"/>
      <c r="G10" s="1290"/>
      <c r="H10" s="1291">
        <v>365</v>
      </c>
      <c r="I10" s="1292">
        <f>SUM(I3:I9)</f>
        <v>5227</v>
      </c>
    </row>
    <row r="11" spans="1:16" ht="15.6">
      <c r="A11" s="3833" t="s">
        <v>1083</v>
      </c>
      <c r="B11" s="3834" t="s">
        <v>1084</v>
      </c>
      <c r="C11" s="3834"/>
      <c r="D11" s="1285" t="s">
        <v>1085</v>
      </c>
      <c r="E11" s="1285" t="s">
        <v>1086</v>
      </c>
      <c r="F11" s="1286" t="s">
        <v>1087</v>
      </c>
      <c r="G11" s="1286" t="s">
        <v>1080</v>
      </c>
      <c r="H11" s="1293" t="s">
        <v>1</v>
      </c>
      <c r="I11" s="1284" t="s">
        <v>1081</v>
      </c>
    </row>
    <row r="12" spans="1:16">
      <c r="A12" s="3833"/>
      <c r="B12" s="3834" t="s">
        <v>1089</v>
      </c>
      <c r="C12" s="3834"/>
      <c r="D12" s="1285">
        <f>40*2</f>
        <v>80</v>
      </c>
      <c r="E12" s="1285">
        <v>108</v>
      </c>
      <c r="F12" s="1286">
        <v>0.8</v>
      </c>
      <c r="G12" s="1287">
        <v>365</v>
      </c>
      <c r="H12" s="1294"/>
      <c r="I12" s="1284">
        <f>ROUND(D12*E12*F12*G12/10000,0)</f>
        <v>252</v>
      </c>
    </row>
    <row r="13" spans="1:16">
      <c r="A13" s="3833"/>
      <c r="B13" s="3834" t="s">
        <v>1090</v>
      </c>
      <c r="C13" s="3834"/>
      <c r="D13" s="1285"/>
      <c r="E13" s="1285"/>
      <c r="F13" s="1286"/>
      <c r="G13" s="1287"/>
      <c r="H13" s="1294"/>
      <c r="I13" s="1284">
        <f>ROUND(D13*E13*F13*G13/10000,0)</f>
        <v>0</v>
      </c>
    </row>
    <row r="14" spans="1:16">
      <c r="A14" s="3833"/>
      <c r="B14" s="3834" t="s">
        <v>1091</v>
      </c>
      <c r="C14" s="3834"/>
      <c r="D14" s="1285"/>
      <c r="E14" s="1285"/>
      <c r="F14" s="1286"/>
      <c r="G14" s="1287"/>
      <c r="H14" s="1294"/>
      <c r="I14" s="1284">
        <f>ROUND(D14*E14*F14*G14/10000,0)</f>
        <v>0</v>
      </c>
      <c r="N14">
        <f>D3*G3+D4*G4+D5*G5+D6*G6</f>
        <v>275.23</v>
      </c>
    </row>
    <row r="15" spans="1:16">
      <c r="A15" s="3833"/>
      <c r="B15" s="3837" t="s">
        <v>1082</v>
      </c>
      <c r="C15" s="3837"/>
      <c r="D15" s="1289"/>
      <c r="E15" s="1289">
        <f>SUM(E12:E14)</f>
        <v>108</v>
      </c>
      <c r="F15" s="1290"/>
      <c r="G15" s="1287"/>
      <c r="H15" s="1294"/>
      <c r="I15" s="1295">
        <f>SUM(I12:I14)</f>
        <v>252</v>
      </c>
      <c r="N15">
        <f>N14/L9</f>
        <v>0.87932907348242817</v>
      </c>
    </row>
    <row r="16" spans="1:16" ht="24">
      <c r="A16" s="3833" t="s">
        <v>1092</v>
      </c>
      <c r="B16" s="3834" t="s">
        <v>1093</v>
      </c>
      <c r="C16" s="3834"/>
      <c r="D16" s="1285" t="s">
        <v>1076</v>
      </c>
      <c r="E16" s="1296" t="s">
        <v>1094</v>
      </c>
      <c r="F16" s="1286" t="s">
        <v>1095</v>
      </c>
      <c r="G16" s="1287" t="s">
        <v>1080</v>
      </c>
      <c r="H16" s="1293" t="s">
        <v>1088</v>
      </c>
      <c r="I16" s="1284" t="s">
        <v>1081</v>
      </c>
    </row>
    <row r="17" spans="1:9" ht="15.6">
      <c r="A17" s="3833"/>
      <c r="B17" s="3834" t="s">
        <v>1096</v>
      </c>
      <c r="C17" s="3834"/>
      <c r="D17" s="1285">
        <v>1</v>
      </c>
      <c r="E17" s="1285">
        <v>6000</v>
      </c>
      <c r="F17" s="1286">
        <f>6*12/365</f>
        <v>0.19726027397260273</v>
      </c>
      <c r="G17" s="1287">
        <v>365</v>
      </c>
      <c r="H17" s="1297"/>
      <c r="I17" s="1298">
        <f>ROUND(D17*E17*F17*G17/10000,0)</f>
        <v>43</v>
      </c>
    </row>
    <row r="18" spans="1:9" ht="15.6">
      <c r="A18" s="3833"/>
      <c r="B18" s="3834" t="s">
        <v>1097</v>
      </c>
      <c r="C18" s="3834"/>
      <c r="D18" s="1285"/>
      <c r="E18" s="1285"/>
      <c r="F18" s="1286"/>
      <c r="G18" s="1287"/>
      <c r="H18" s="1297"/>
      <c r="I18" s="1298">
        <f>ROUND(D18*E18*F18*G18/10000,0)</f>
        <v>0</v>
      </c>
    </row>
    <row r="19" spans="1:9" ht="15.6">
      <c r="A19" s="3833"/>
      <c r="B19" s="3834" t="s">
        <v>1098</v>
      </c>
      <c r="C19" s="3834"/>
      <c r="D19" s="1285"/>
      <c r="E19" s="1285"/>
      <c r="F19" s="1286"/>
      <c r="G19" s="1287"/>
      <c r="H19" s="1297"/>
      <c r="I19" s="1298">
        <f>ROUND(D19*E19*F19*G19/10000,0)</f>
        <v>0</v>
      </c>
    </row>
    <row r="20" spans="1:9">
      <c r="A20" s="3833"/>
      <c r="B20" s="3837" t="s">
        <v>1082</v>
      </c>
      <c r="C20" s="3837"/>
      <c r="D20" s="1289">
        <f>SUM(D17:D19)</f>
        <v>1</v>
      </c>
      <c r="E20" s="1289"/>
      <c r="F20" s="1290"/>
      <c r="G20" s="1287"/>
      <c r="H20" s="1294"/>
      <c r="I20" s="1295">
        <f>SUM(I17:I19)</f>
        <v>43</v>
      </c>
    </row>
    <row r="21" spans="1:9">
      <c r="A21" s="3833" t="s">
        <v>1099</v>
      </c>
      <c r="B21" s="3839"/>
      <c r="C21" s="3839"/>
      <c r="D21" s="3839"/>
      <c r="E21" s="3839"/>
      <c r="F21" s="3839"/>
      <c r="G21" s="3839"/>
      <c r="H21" s="1745"/>
      <c r="I21" s="1292">
        <f>ROUND(I10*H21,0)</f>
        <v>0</v>
      </c>
    </row>
    <row r="22" spans="1:9" ht="15.6">
      <c r="A22" s="3840" t="s">
        <v>1100</v>
      </c>
      <c r="B22" s="3841"/>
      <c r="C22" s="3842"/>
      <c r="D22" s="1299" t="s">
        <v>1101</v>
      </c>
      <c r="E22" s="1299" t="s">
        <v>1102</v>
      </c>
      <c r="F22" s="1300" t="s">
        <v>1103</v>
      </c>
      <c r="G22" s="1300" t="s">
        <v>1104</v>
      </c>
      <c r="H22" s="1293" t="s">
        <v>1105</v>
      </c>
      <c r="I22" s="1284" t="s">
        <v>1106</v>
      </c>
    </row>
    <row r="23" spans="1:9" ht="15" thickBot="1">
      <c r="A23" s="3843"/>
      <c r="B23" s="3844"/>
      <c r="C23" s="3845"/>
      <c r="D23" s="1301"/>
      <c r="E23" s="1301"/>
      <c r="F23" s="1301"/>
      <c r="G23" s="1302"/>
      <c r="H23" s="1303"/>
      <c r="I23" s="1304">
        <f>ROUND(E23*D23*F23*(1-G23)/10000,0)</f>
        <v>0</v>
      </c>
    </row>
    <row r="26" spans="1:9">
      <c r="A26" s="1305" t="s">
        <v>1107</v>
      </c>
      <c r="B26" s="1305"/>
      <c r="C26" s="1305"/>
      <c r="D26" s="1305"/>
      <c r="E26" s="3846">
        <f>C27-C30-C31-C32</f>
        <v>3313.2000000000003</v>
      </c>
      <c r="F26" s="3846"/>
      <c r="G26" s="3846"/>
      <c r="H26" s="1717" t="s">
        <v>1329</v>
      </c>
    </row>
    <row r="27" spans="1:9">
      <c r="A27" s="1306">
        <v>1</v>
      </c>
      <c r="B27" s="1307" t="s">
        <v>1108</v>
      </c>
      <c r="C27" s="1307">
        <f>C28+C29</f>
        <v>5522</v>
      </c>
      <c r="D27" s="1307"/>
      <c r="E27" s="3847"/>
      <c r="F27" s="3847"/>
      <c r="G27" s="3847"/>
    </row>
    <row r="28" spans="1:9">
      <c r="A28" s="1308" t="s">
        <v>1109</v>
      </c>
      <c r="B28" s="1307" t="s">
        <v>1110</v>
      </c>
      <c r="C28" s="1307">
        <f>I10</f>
        <v>5227</v>
      </c>
      <c r="D28" s="1307"/>
      <c r="E28" s="3847"/>
      <c r="F28" s="3847"/>
      <c r="G28" s="3847"/>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838"/>
      <c r="F32" s="3838"/>
      <c r="G32" s="3838"/>
    </row>
    <row r="33" spans="1:7" hidden="1">
      <c r="A33" s="3848" t="s">
        <v>1119</v>
      </c>
      <c r="B33" s="3849"/>
      <c r="C33" s="3849"/>
      <c r="D33" s="3850"/>
      <c r="E33" s="3846"/>
      <c r="F33" s="3846"/>
      <c r="G33" s="3846"/>
    </row>
    <row r="34" spans="1:7" hidden="1">
      <c r="A34" s="1310">
        <v>1</v>
      </c>
      <c r="B34" s="1307" t="s">
        <v>1120</v>
      </c>
      <c r="C34" s="1307"/>
      <c r="D34" s="1307"/>
      <c r="E34" s="3847"/>
      <c r="F34" s="3847"/>
      <c r="G34" s="3847"/>
    </row>
    <row r="35" spans="1:7" hidden="1">
      <c r="A35" s="1310">
        <v>2</v>
      </c>
      <c r="B35" s="1307" t="s">
        <v>1121</v>
      </c>
      <c r="C35" s="1307"/>
      <c r="D35" s="1307"/>
      <c r="E35" s="3847"/>
      <c r="F35" s="3847"/>
      <c r="G35" s="3847"/>
    </row>
    <row r="36" spans="1:7" hidden="1">
      <c r="A36" s="1310">
        <v>3</v>
      </c>
      <c r="B36" s="1307" t="s">
        <v>1122</v>
      </c>
      <c r="C36" s="1307"/>
      <c r="D36" s="1307"/>
      <c r="E36" s="3847"/>
      <c r="F36" s="3847"/>
      <c r="G36" s="3847"/>
    </row>
    <row r="37" spans="1:7" hidden="1">
      <c r="A37" s="1310">
        <v>4</v>
      </c>
      <c r="B37" s="1307" t="s">
        <v>1123</v>
      </c>
      <c r="C37" s="1307"/>
      <c r="D37" s="1307"/>
      <c r="E37" s="3847"/>
      <c r="F37" s="3847"/>
      <c r="G37" s="3847"/>
    </row>
    <row r="38" spans="1:7" hidden="1">
      <c r="A38" s="3848" t="s">
        <v>1124</v>
      </c>
      <c r="B38" s="3849"/>
      <c r="C38" s="3849"/>
      <c r="D38" s="3850"/>
      <c r="E38" s="3846"/>
      <c r="F38" s="3846"/>
      <c r="G38" s="38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AH111"/>
  <sheetViews>
    <sheetView zoomScale="80" zoomScaleNormal="80" workbookViewId="0">
      <selection activeCell="N32" sqref="N32"/>
    </sheetView>
  </sheetViews>
  <sheetFormatPr defaultColWidth="9" defaultRowHeight="13.2"/>
  <cols>
    <col min="1" max="1" width="9" style="1452"/>
    <col min="2" max="6" width="9" style="1452" customWidth="1"/>
    <col min="7" max="7" width="9" style="1467"/>
    <col min="8" max="8" width="9" style="1452"/>
    <col min="9" max="12" width="9" style="1452" customWidth="1"/>
    <col min="13" max="13" width="2.21875" style="1452" customWidth="1"/>
    <col min="14" max="14" width="9" style="1467" customWidth="1"/>
    <col min="15" max="17" width="9" style="1452" customWidth="1"/>
    <col min="18" max="18" width="2.33203125" style="1452" customWidth="1"/>
    <col min="19" max="19" width="7.109375" style="1467" customWidth="1"/>
    <col min="20" max="22" width="7.109375" style="1452" customWidth="1"/>
    <col min="23" max="23" width="24.21875" style="1452" customWidth="1"/>
    <col min="24" max="25" width="9" style="1452"/>
    <col min="26" max="27" width="11.6640625" style="1452" customWidth="1"/>
    <col min="28" max="28" width="9" style="1452"/>
    <col min="29" max="29" width="2" style="1452" customWidth="1"/>
    <col min="30" max="16384" width="9" style="1452"/>
  </cols>
  <sheetData>
    <row r="1" spans="1:34" s="1426" customFormat="1">
      <c r="B1" s="3856" t="s">
        <v>1139</v>
      </c>
      <c r="C1" s="3856"/>
      <c r="D1" s="3856"/>
      <c r="E1" s="3856"/>
      <c r="F1" s="3856"/>
      <c r="G1" s="3852" t="s">
        <v>1140</v>
      </c>
      <c r="H1" s="3852"/>
      <c r="I1" s="3852"/>
      <c r="J1" s="3852"/>
      <c r="K1" s="3852"/>
      <c r="L1" s="3852"/>
      <c r="N1" s="3852" t="s">
        <v>1141</v>
      </c>
      <c r="O1" s="3852"/>
      <c r="P1" s="3852"/>
      <c r="Q1" s="3852"/>
      <c r="R1" s="1427"/>
      <c r="S1" s="3852" t="s">
        <v>1142</v>
      </c>
      <c r="T1" s="3852"/>
      <c r="U1" s="3852"/>
      <c r="V1" s="3852"/>
      <c r="X1" s="3851" t="s">
        <v>1143</v>
      </c>
      <c r="Y1" s="3852"/>
      <c r="Z1" s="3852"/>
      <c r="AA1" s="3852"/>
      <c r="AB1" s="3852"/>
      <c r="AD1" s="3851" t="s">
        <v>1144</v>
      </c>
      <c r="AE1" s="3852"/>
      <c r="AF1" s="3852"/>
      <c r="AG1" s="3852"/>
      <c r="AH1" s="3852"/>
    </row>
    <row r="2" spans="1:34" s="1428" customFormat="1" ht="1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4">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4">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8"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8"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54">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54"/>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54"/>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61"/>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57">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54"/>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54"/>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61"/>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57">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54"/>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54"/>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8"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55"/>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8" thickBot="1">
      <c r="A21" s="1442" t="s">
        <v>151</v>
      </c>
      <c r="B21" s="1450">
        <v>333</v>
      </c>
      <c r="C21" s="1450">
        <v>277</v>
      </c>
      <c r="D21" s="1450">
        <f t="shared" si="108"/>
        <v>277</v>
      </c>
      <c r="E21" s="1450">
        <v>459</v>
      </c>
      <c r="F21" s="1451">
        <v>249</v>
      </c>
      <c r="G21" s="3853">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54"/>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54"/>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55"/>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8" thickBot="1">
      <c r="A25" s="1442" t="s">
        <v>147</v>
      </c>
      <c r="B25" s="1471">
        <v>318</v>
      </c>
      <c r="C25" s="1471">
        <v>268</v>
      </c>
      <c r="D25" s="1471">
        <f t="shared" si="108"/>
        <v>268</v>
      </c>
      <c r="E25" s="1471">
        <v>437</v>
      </c>
      <c r="F25" s="1472">
        <v>237</v>
      </c>
      <c r="G25" s="3853">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54"/>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8"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54"/>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8"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55"/>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8" thickBot="1">
      <c r="A29" s="1442" t="s">
        <v>1152</v>
      </c>
      <c r="B29" s="1450">
        <v>299</v>
      </c>
      <c r="C29" s="1450">
        <v>252</v>
      </c>
      <c r="D29" s="1450">
        <f t="shared" si="108"/>
        <v>252</v>
      </c>
      <c r="E29" s="1450">
        <v>409</v>
      </c>
      <c r="F29" s="1451">
        <v>227</v>
      </c>
      <c r="G29" s="3858">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59"/>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59"/>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60"/>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8" thickBot="1">
      <c r="A33" s="1442" t="s">
        <v>1156</v>
      </c>
      <c r="B33" s="1492">
        <v>278</v>
      </c>
      <c r="C33" s="1492">
        <v>234</v>
      </c>
      <c r="D33" s="1492">
        <f t="shared" si="108"/>
        <v>234</v>
      </c>
      <c r="E33" s="1492">
        <v>379</v>
      </c>
      <c r="F33" s="1493">
        <v>220</v>
      </c>
      <c r="G33" s="3853">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54"/>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54"/>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8" thickBot="1">
      <c r="A36" s="1442" t="s">
        <v>1159</v>
      </c>
      <c r="B36" s="1458">
        <f>B35/(1+N35)</f>
        <v>275.19025476197027</v>
      </c>
      <c r="C36" s="1494">
        <v>232</v>
      </c>
      <c r="D36" s="1494">
        <f t="shared" si="108"/>
        <v>232</v>
      </c>
      <c r="E36" s="1458">
        <f t="shared" si="119"/>
        <v>375.65990977608692</v>
      </c>
      <c r="F36" s="1458">
        <f t="shared" si="119"/>
        <v>214.12518283971252</v>
      </c>
      <c r="G36" s="3855"/>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8" thickBot="1">
      <c r="A37" s="1442" t="s">
        <v>1160</v>
      </c>
      <c r="B37" s="1450">
        <v>275</v>
      </c>
      <c r="C37" s="1450">
        <v>232</v>
      </c>
      <c r="D37" s="1450">
        <f t="shared" si="108"/>
        <v>232</v>
      </c>
      <c r="E37" s="1450">
        <v>376</v>
      </c>
      <c r="F37" s="1451">
        <v>213</v>
      </c>
      <c r="G37" s="3853">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54">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54">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8"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55">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8" thickBot="1">
      <c r="A41" s="1442" t="s">
        <v>1164</v>
      </c>
      <c r="B41" s="1450">
        <v>269</v>
      </c>
      <c r="C41" s="1450">
        <v>221</v>
      </c>
      <c r="D41" s="1450">
        <f t="shared" si="108"/>
        <v>221</v>
      </c>
      <c r="E41" s="1450">
        <v>373</v>
      </c>
      <c r="F41" s="1451">
        <v>196</v>
      </c>
      <c r="G41" s="3853">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54">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54">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8"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55">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8" thickBot="1">
      <c r="A45" s="1442" t="s">
        <v>1168</v>
      </c>
      <c r="B45" s="1450">
        <v>220</v>
      </c>
      <c r="C45" s="1450">
        <v>187</v>
      </c>
      <c r="D45" s="1450">
        <f t="shared" si="108"/>
        <v>187</v>
      </c>
      <c r="E45" s="1450">
        <v>301</v>
      </c>
      <c r="F45" s="1451">
        <v>168</v>
      </c>
      <c r="G45" s="3853">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54">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54">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55">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8" thickBot="1">
      <c r="A49" s="1442" t="s">
        <v>1172</v>
      </c>
      <c r="B49" s="1492">
        <v>214</v>
      </c>
      <c r="C49" s="1492">
        <v>188</v>
      </c>
      <c r="D49" s="1492">
        <f t="shared" si="108"/>
        <v>188</v>
      </c>
      <c r="E49" s="1492">
        <v>289</v>
      </c>
      <c r="F49" s="1493">
        <v>166</v>
      </c>
      <c r="G49" s="3853">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54">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54">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8"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55">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8" thickBot="1">
      <c r="A53" s="1442" t="s">
        <v>1176</v>
      </c>
      <c r="B53" s="1450">
        <v>188</v>
      </c>
      <c r="C53" s="1450">
        <v>165</v>
      </c>
      <c r="D53" s="1450">
        <f t="shared" si="108"/>
        <v>165</v>
      </c>
      <c r="E53" s="1450">
        <v>254</v>
      </c>
      <c r="F53" s="1451">
        <v>148</v>
      </c>
      <c r="G53" s="3853">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54">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54">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55">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8" thickBot="1">
      <c r="A57" s="1442" t="s">
        <v>1180</v>
      </c>
      <c r="B57" s="1471">
        <v>159</v>
      </c>
      <c r="C57" s="1471">
        <v>141</v>
      </c>
      <c r="D57" s="1471">
        <f t="shared" si="108"/>
        <v>141</v>
      </c>
      <c r="E57" s="1471">
        <v>195</v>
      </c>
      <c r="F57" s="1472">
        <v>122</v>
      </c>
      <c r="G57" s="3853">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54">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54">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55">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8" thickBot="1">
      <c r="A61" s="1442" t="s">
        <v>1184</v>
      </c>
      <c r="B61" s="1471">
        <v>138</v>
      </c>
      <c r="C61" s="1471">
        <v>131</v>
      </c>
      <c r="D61" s="1471">
        <f t="shared" si="108"/>
        <v>131</v>
      </c>
      <c r="E61" s="1471">
        <v>155</v>
      </c>
      <c r="F61" s="1472">
        <v>114</v>
      </c>
      <c r="G61" s="3853">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54">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54">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55">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8" thickBot="1">
      <c r="A65" s="1442" t="s">
        <v>1188</v>
      </c>
      <c r="B65" s="1492">
        <v>121</v>
      </c>
      <c r="C65" s="1492">
        <v>122</v>
      </c>
      <c r="D65" s="1492">
        <f t="shared" si="108"/>
        <v>122</v>
      </c>
      <c r="E65" s="1492">
        <v>124</v>
      </c>
      <c r="F65" s="1493">
        <v>107</v>
      </c>
      <c r="G65" s="3853">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54">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54">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8"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55">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8" thickBot="1">
      <c r="A69" s="1442" t="s">
        <v>1192</v>
      </c>
      <c r="B69" s="1513">
        <v>111</v>
      </c>
      <c r="C69" s="1513">
        <v>114</v>
      </c>
      <c r="D69" s="1513">
        <f t="shared" si="108"/>
        <v>114</v>
      </c>
      <c r="E69" s="1513">
        <v>108</v>
      </c>
      <c r="F69" s="1514">
        <v>104</v>
      </c>
      <c r="G69" s="3853">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54">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54">
        <v>2003</v>
      </c>
      <c r="H71" s="1446">
        <v>2</v>
      </c>
      <c r="I71" s="1515"/>
      <c r="J71" s="1515"/>
      <c r="K71" s="1515"/>
      <c r="L71" s="1515"/>
      <c r="X71" s="1507"/>
      <c r="Y71" s="1507"/>
      <c r="Z71" s="1507"/>
    </row>
    <row r="72" spans="1:26" ht="13.8" thickBot="1">
      <c r="A72" s="1442" t="s">
        <v>1195</v>
      </c>
      <c r="B72" s="1517">
        <f t="shared" si="144"/>
        <v>107.25</v>
      </c>
      <c r="C72" s="1517">
        <f t="shared" si="144"/>
        <v>108.75</v>
      </c>
      <c r="D72" s="1517">
        <f t="shared" si="108"/>
        <v>108.75</v>
      </c>
      <c r="E72" s="1517">
        <f t="shared" si="145"/>
        <v>105.75</v>
      </c>
      <c r="F72" s="1517">
        <f t="shared" si="145"/>
        <v>102.5</v>
      </c>
      <c r="G72" s="3855">
        <v>2003</v>
      </c>
      <c r="H72" s="1518">
        <v>1</v>
      </c>
      <c r="I72" s="1515"/>
      <c r="J72" s="1515"/>
      <c r="K72" s="1515"/>
      <c r="L72" s="1515"/>
      <c r="S72" s="1453"/>
      <c r="T72" s="1454"/>
      <c r="U72" s="1454"/>
      <c r="X72" s="1507"/>
      <c r="Y72" s="1507"/>
      <c r="Z72" s="1507"/>
    </row>
    <row r="73" spans="1:26" ht="13.8" thickBot="1">
      <c r="A73" s="1442" t="s">
        <v>1196</v>
      </c>
      <c r="B73" s="1519">
        <v>106</v>
      </c>
      <c r="C73" s="1519">
        <v>107</v>
      </c>
      <c r="D73" s="1519">
        <f t="shared" si="108"/>
        <v>107</v>
      </c>
      <c r="E73" s="1519">
        <v>105</v>
      </c>
      <c r="F73" s="1520">
        <v>102</v>
      </c>
      <c r="G73" s="3853">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54">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54">
        <v>2002</v>
      </c>
      <c r="H75" s="1446">
        <v>2</v>
      </c>
      <c r="I75" s="1515"/>
      <c r="J75" s="1515"/>
      <c r="K75" s="1515"/>
      <c r="L75" s="1515"/>
      <c r="X75" s="1507"/>
      <c r="Y75" s="1507"/>
      <c r="Z75" s="1507"/>
    </row>
    <row r="76" spans="1:26" s="1479" customFormat="1" ht="13.8" thickBot="1">
      <c r="A76" s="1475" t="s">
        <v>1199</v>
      </c>
      <c r="B76" s="1521">
        <f t="shared" si="146"/>
        <v>103</v>
      </c>
      <c r="C76" s="1521">
        <f t="shared" si="146"/>
        <v>104</v>
      </c>
      <c r="D76" s="1521">
        <f t="shared" si="108"/>
        <v>104</v>
      </c>
      <c r="E76" s="1521">
        <f t="shared" si="147"/>
        <v>103.5</v>
      </c>
      <c r="F76" s="1521">
        <f t="shared" si="147"/>
        <v>100.5</v>
      </c>
      <c r="G76" s="3855">
        <v>2002</v>
      </c>
      <c r="H76" s="1522">
        <v>1</v>
      </c>
      <c r="I76" s="1523"/>
      <c r="J76" s="1523"/>
      <c r="K76" s="1523"/>
      <c r="L76" s="1523"/>
      <c r="N76" s="1524"/>
      <c r="S76" s="1524"/>
      <c r="X76" s="1525"/>
      <c r="Y76" s="1525"/>
      <c r="Z76" s="1525"/>
    </row>
    <row r="77" spans="1:26" ht="13.8"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8"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8"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6"/>
  <sheetViews>
    <sheetView workbookViewId="0">
      <selection activeCell="I30" sqref="I30"/>
    </sheetView>
  </sheetViews>
  <sheetFormatPr defaultRowHeight="14.4"/>
  <cols>
    <col min="1" max="1" width="38.44140625" customWidth="1"/>
    <col min="3" max="3" width="14" customWidth="1"/>
  </cols>
  <sheetData>
    <row r="1" spans="1:14" s="1615" customFormat="1">
      <c r="A1" s="1615" t="s">
        <v>3590</v>
      </c>
      <c r="B1" s="1615" t="s">
        <v>3591</v>
      </c>
      <c r="C1" s="1615" t="s">
        <v>3592</v>
      </c>
      <c r="D1" s="1615" t="s">
        <v>3593</v>
      </c>
      <c r="E1" s="1615" t="s">
        <v>3594</v>
      </c>
      <c r="F1" s="1615" t="s">
        <v>3595</v>
      </c>
      <c r="G1" s="1615" t="s">
        <v>3596</v>
      </c>
      <c r="H1" s="1615" t="s">
        <v>3597</v>
      </c>
      <c r="I1" s="1615" t="s">
        <v>3598</v>
      </c>
      <c r="J1" s="1615" t="s">
        <v>3599</v>
      </c>
      <c r="K1" s="1615" t="s">
        <v>3600</v>
      </c>
      <c r="L1" s="1615" t="s">
        <v>3601</v>
      </c>
      <c r="M1" s="1615" t="s">
        <v>3602</v>
      </c>
      <c r="N1" s="1615" t="s">
        <v>3603</v>
      </c>
    </row>
    <row r="2" spans="1:14" s="1615" customFormat="1">
      <c r="A2" s="1615" t="s">
        <v>3604</v>
      </c>
      <c r="B2" s="1615" t="s">
        <v>3033</v>
      </c>
      <c r="C2" s="1615" t="s">
        <v>3605</v>
      </c>
      <c r="D2" s="1615">
        <v>138746.29999999999</v>
      </c>
      <c r="E2" s="1615">
        <v>486596</v>
      </c>
      <c r="F2" s="1615">
        <v>3.51</v>
      </c>
      <c r="G2" s="1615" t="s">
        <v>3606</v>
      </c>
      <c r="H2" s="1615" t="s">
        <v>3607</v>
      </c>
      <c r="I2" s="1615">
        <v>866300</v>
      </c>
      <c r="J2" s="1615">
        <v>866300</v>
      </c>
      <c r="K2" s="1615">
        <v>17803.27</v>
      </c>
      <c r="L2" s="1615">
        <v>0</v>
      </c>
      <c r="M2" s="1615" t="s">
        <v>3608</v>
      </c>
      <c r="N2" s="1615" t="s">
        <v>3609</v>
      </c>
    </row>
    <row r="3" spans="1:14" s="3370" customFormat="1">
      <c r="A3" s="3370" t="s">
        <v>3610</v>
      </c>
      <c r="B3" s="3370" t="s">
        <v>3033</v>
      </c>
      <c r="C3" s="3370" t="s">
        <v>3605</v>
      </c>
      <c r="D3" s="3370">
        <v>39744.120000000003</v>
      </c>
      <c r="E3" s="3370">
        <v>119232</v>
      </c>
      <c r="F3" s="3370">
        <v>3</v>
      </c>
      <c r="G3" s="3370" t="s">
        <v>3606</v>
      </c>
      <c r="H3" s="3370" t="s">
        <v>3611</v>
      </c>
      <c r="I3" s="3370">
        <v>227000</v>
      </c>
      <c r="J3" s="3370">
        <v>292000</v>
      </c>
      <c r="K3" s="3370">
        <v>24490.06</v>
      </c>
      <c r="L3" s="3370">
        <v>28.63</v>
      </c>
      <c r="M3" s="3370" t="s">
        <v>3612</v>
      </c>
      <c r="N3" s="3370" t="s">
        <v>3613</v>
      </c>
    </row>
    <row r="4" spans="1:14" s="1615" customFormat="1">
      <c r="A4" s="1615" t="s">
        <v>3614</v>
      </c>
      <c r="B4" s="1615" t="s">
        <v>3033</v>
      </c>
      <c r="C4" s="1615" t="s">
        <v>3605</v>
      </c>
      <c r="D4" s="1615">
        <v>92055.95</v>
      </c>
      <c r="E4" s="1615">
        <v>92056</v>
      </c>
      <c r="F4" s="1615">
        <v>1</v>
      </c>
      <c r="G4" s="1615" t="s">
        <v>3615</v>
      </c>
      <c r="H4" s="1615" t="s">
        <v>3616</v>
      </c>
      <c r="I4" s="1615" t="s">
        <v>1320</v>
      </c>
      <c r="J4" s="1615">
        <v>285373.59000000003</v>
      </c>
      <c r="K4" s="1615">
        <v>31000</v>
      </c>
      <c r="L4" s="1615" t="s">
        <v>1320</v>
      </c>
      <c r="M4" s="1615" t="s">
        <v>3617</v>
      </c>
      <c r="N4" s="1615" t="s">
        <v>3613</v>
      </c>
    </row>
    <row r="5" spans="1:14" s="3370" customFormat="1">
      <c r="A5" s="3370" t="s">
        <v>3618</v>
      </c>
      <c r="B5" s="3370" t="s">
        <v>3033</v>
      </c>
      <c r="C5" s="3370" t="s">
        <v>3605</v>
      </c>
      <c r="D5" s="3370">
        <v>46165.91</v>
      </c>
      <c r="E5" s="3370">
        <v>92332</v>
      </c>
      <c r="F5" s="3370">
        <v>2</v>
      </c>
      <c r="G5" s="3370" t="s">
        <v>3606</v>
      </c>
      <c r="H5" s="3370" t="s">
        <v>3619</v>
      </c>
      <c r="I5" s="3370">
        <v>176000</v>
      </c>
      <c r="J5" s="3370">
        <v>225000</v>
      </c>
      <c r="K5" s="3370">
        <v>24368.58</v>
      </c>
      <c r="L5" s="3370">
        <v>27.84</v>
      </c>
      <c r="M5" s="3370" t="s">
        <v>3620</v>
      </c>
      <c r="N5" s="3370" t="s">
        <v>3613</v>
      </c>
    </row>
    <row r="6" spans="1:14" s="3370" customFormat="1">
      <c r="A6" s="3370" t="s">
        <v>3621</v>
      </c>
      <c r="B6" s="3370" t="s">
        <v>3033</v>
      </c>
      <c r="C6" s="3370" t="s">
        <v>3605</v>
      </c>
      <c r="D6" s="3370">
        <v>38100</v>
      </c>
      <c r="E6" s="3370">
        <v>76200</v>
      </c>
      <c r="F6" s="3370">
        <v>2</v>
      </c>
      <c r="G6" s="3370" t="s">
        <v>3606</v>
      </c>
      <c r="H6" s="3370" t="s">
        <v>3619</v>
      </c>
      <c r="I6" s="3370">
        <v>145000</v>
      </c>
      <c r="J6" s="3370">
        <v>204000</v>
      </c>
      <c r="K6" s="3370">
        <v>26771.65</v>
      </c>
      <c r="L6" s="3370">
        <v>40.69</v>
      </c>
      <c r="M6" s="3370" t="s">
        <v>3622</v>
      </c>
      <c r="N6" s="3370" t="s">
        <v>3613</v>
      </c>
    </row>
  </sheetData>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51168</v>
      </c>
      <c r="C2" s="2" t="s">
        <v>133</v>
      </c>
      <c r="D2" s="243"/>
      <c r="E2" s="243"/>
      <c r="F2" s="243"/>
      <c r="G2" s="243"/>
    </row>
    <row r="3" spans="1:7" s="244" customFormat="1" ht="18" customHeight="1" thickBot="1">
      <c r="A3" s="247" t="s">
        <v>85</v>
      </c>
      <c r="B3" s="248">
        <f ca="1">ROUND(B2*10000/'数据-汇总表'!E3,0)</f>
        <v>12135</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843</v>
      </c>
      <c r="D10" s="1022">
        <f>'数据-汇总表'!E6</f>
        <v>42164.249999999993</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843</v>
      </c>
      <c r="D19" s="1026">
        <f>'数据-汇总表'!E3</f>
        <v>42164.249999999993</v>
      </c>
      <c r="E19" s="255">
        <f>'数据-取费表'!B31</f>
        <v>200</v>
      </c>
      <c r="F19" s="275"/>
      <c r="G19" s="1" t="s">
        <v>1071</v>
      </c>
    </row>
    <row r="20" spans="1:7" s="258" customFormat="1" ht="13.5" customHeight="1">
      <c r="A20" s="938" t="s">
        <v>1054</v>
      </c>
      <c r="B20" s="254" t="s">
        <v>104</v>
      </c>
      <c r="C20" s="276">
        <f>ROUND((C5+C19)*F20,0)</f>
        <v>429</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2106</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82</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6.4">
      <c r="A27" s="938" t="s">
        <v>787</v>
      </c>
      <c r="B27" s="288" t="s">
        <v>112</v>
      </c>
      <c r="C27" s="289">
        <f>C28</f>
        <v>5471</v>
      </c>
      <c r="D27" s="279">
        <f>C29</f>
        <v>5.0000000000000001E-3</v>
      </c>
      <c r="E27" s="280" t="s">
        <v>126</v>
      </c>
      <c r="F27" s="290">
        <f>'数据-取费表'!Q16</f>
        <v>0.25</v>
      </c>
      <c r="G27" s="291" t="s">
        <v>1066</v>
      </c>
    </row>
    <row r="28" spans="1:7" s="258" customFormat="1" ht="13.5" customHeight="1">
      <c r="A28" s="941" t="s">
        <v>794</v>
      </c>
      <c r="B28" s="292" t="s">
        <v>1059</v>
      </c>
      <c r="C28" s="293">
        <f>ROUND((C5+C19+C20)*F27*'数据-取费表'!B21/'数据-取费表'!B20,0)</f>
        <v>5471</v>
      </c>
      <c r="D28" s="279"/>
      <c r="E28" s="280"/>
      <c r="F28" s="290"/>
      <c r="G28" s="291"/>
    </row>
    <row r="29" spans="1:7" s="258" customFormat="1" ht="13.5" customHeight="1">
      <c r="A29" s="941" t="s">
        <v>792</v>
      </c>
      <c r="B29" s="292" t="s">
        <v>1060</v>
      </c>
      <c r="C29" s="282">
        <f>ROUND(C21*F27*'数据-取费表'!B21/'数据-取费表'!B20,4)</f>
        <v>5.0000000000000001E-3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31997</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16264</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14757</v>
      </c>
      <c r="D34" s="261"/>
      <c r="E34" s="264"/>
      <c r="F34" s="301">
        <f>IF('数据-取费表'!B24=0,1,'数据-取费表'!N16)</f>
        <v>1</v>
      </c>
      <c r="G34" s="263" t="s">
        <v>116</v>
      </c>
    </row>
    <row r="35" spans="1:7" ht="13.5" customHeight="1">
      <c r="A35" s="941" t="s">
        <v>796</v>
      </c>
      <c r="B35" s="259" t="s">
        <v>60</v>
      </c>
      <c r="C35" s="264">
        <f>ROUND(C34*F35,0)</f>
        <v>443</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843</v>
      </c>
      <c r="D37" s="261">
        <f>'数据-汇总表'!E3</f>
        <v>42164.249999999993</v>
      </c>
      <c r="E37" s="293">
        <f>'数据-取费表'!B35</f>
        <v>200</v>
      </c>
      <c r="F37" s="303"/>
      <c r="G37" s="305" t="s">
        <v>119</v>
      </c>
    </row>
    <row r="38" spans="1:7" ht="13.5" customHeight="1">
      <c r="A38" s="941" t="s">
        <v>799</v>
      </c>
      <c r="B38" s="259" t="s">
        <v>63</v>
      </c>
      <c r="C38" s="264">
        <f>ROUND(C34*F38,0)</f>
        <v>221</v>
      </c>
      <c r="D38" s="264"/>
      <c r="E38" s="264"/>
      <c r="F38" s="303">
        <f>'数据-取费表'!B36</f>
        <v>1.4999999999999999E-2</v>
      </c>
      <c r="G38" s="263" t="s">
        <v>117</v>
      </c>
    </row>
    <row r="39" spans="1:7" s="258" customFormat="1" ht="13.5" customHeight="1">
      <c r="A39" s="938" t="s">
        <v>783</v>
      </c>
      <c r="B39" s="254" t="s">
        <v>104</v>
      </c>
      <c r="C39" s="276">
        <f>ROUND(C33*F20,0)</f>
        <v>325</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788</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773</v>
      </c>
      <c r="D42" s="282"/>
      <c r="E42" s="282"/>
      <c r="F42" s="283"/>
      <c r="G42" s="3713" t="s">
        <v>121</v>
      </c>
    </row>
    <row r="43" spans="1:7" ht="13.5" customHeight="1">
      <c r="A43" s="941" t="s">
        <v>792</v>
      </c>
      <c r="B43" s="259" t="s">
        <v>1061</v>
      </c>
      <c r="C43" s="282">
        <f ca="1">ROUND(IF('数据-取费表'!B22&lt;=1,C39*F22*'数据-取费表'!B21/2,C39*(POWER((1+F22),'数据-取费表'!B21/2)-1)),0)</f>
        <v>15</v>
      </c>
      <c r="D43" s="282"/>
      <c r="E43" s="282"/>
      <c r="F43" s="283"/>
      <c r="G43" s="3714"/>
    </row>
    <row r="44" spans="1:7" ht="13.5" customHeight="1">
      <c r="A44" s="941" t="s">
        <v>793</v>
      </c>
      <c r="B44" s="259" t="s">
        <v>1063</v>
      </c>
      <c r="C44" s="282">
        <f ca="1">ROUND(IF('数据-取费表'!B22&lt;=1,C40*F22*'数据-取费表'!B21/2,C40*(POWER((1+F22),'数据-取费表'!B21/2)-1)),4)</f>
        <v>1E-3</v>
      </c>
      <c r="D44" s="282"/>
      <c r="E44" s="282"/>
      <c r="F44" s="283"/>
      <c r="G44" s="3715"/>
    </row>
    <row r="45" spans="1:7" s="258" customFormat="1" ht="13.5" customHeight="1">
      <c r="A45" s="938" t="s">
        <v>786</v>
      </c>
      <c r="B45" s="288" t="s">
        <v>112</v>
      </c>
      <c r="C45" s="289">
        <f>C46</f>
        <v>4147</v>
      </c>
      <c r="D45" s="279">
        <f>C47</f>
        <v>5.0000000000000001E-3</v>
      </c>
      <c r="E45" s="280" t="s">
        <v>129</v>
      </c>
      <c r="F45" s="290"/>
      <c r="G45" s="291" t="s">
        <v>1069</v>
      </c>
    </row>
    <row r="46" spans="1:7" s="258" customFormat="1" ht="13.5" customHeight="1">
      <c r="A46" s="941" t="s">
        <v>794</v>
      </c>
      <c r="B46" s="292" t="s">
        <v>1062</v>
      </c>
      <c r="C46" s="293">
        <f>ROUND((C33+C39)*F27,0)</f>
        <v>4147</v>
      </c>
      <c r="D46" s="307"/>
      <c r="E46" s="280"/>
      <c r="F46" s="290"/>
      <c r="G46" s="291"/>
    </row>
    <row r="47" spans="1:7" s="258" customFormat="1" ht="13.5" customHeight="1">
      <c r="A47" s="941" t="s">
        <v>792</v>
      </c>
      <c r="B47" s="292" t="s">
        <v>1064</v>
      </c>
      <c r="C47" s="282">
        <f>ROUND(C40*F27,4)</f>
        <v>5.0000000000000001E-3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23379</v>
      </c>
      <c r="D49" s="276"/>
      <c r="E49" s="276"/>
      <c r="F49" s="308"/>
      <c r="G49" s="278" t="s">
        <v>1070</v>
      </c>
    </row>
    <row r="50" spans="1:7" s="302" customFormat="1" ht="24">
      <c r="A50" s="938" t="s">
        <v>789</v>
      </c>
      <c r="B50" s="254" t="s">
        <v>124</v>
      </c>
      <c r="C50" s="276"/>
      <c r="D50" s="276"/>
      <c r="E50" s="276"/>
      <c r="F50" s="308">
        <f>IF('数据-取费表'!B24=0,'数据-取费表'!N16,1)</f>
        <v>0.82</v>
      </c>
      <c r="G50" s="291" t="s">
        <v>125</v>
      </c>
    </row>
    <row r="51" spans="1:7" ht="16.5" customHeight="1">
      <c r="A51" s="938" t="s">
        <v>790</v>
      </c>
      <c r="B51" s="254" t="s">
        <v>132</v>
      </c>
      <c r="C51" s="276">
        <f ca="1">ROUND(C49*F50,0)</f>
        <v>19171</v>
      </c>
      <c r="D51" s="276"/>
      <c r="E51" s="276"/>
      <c r="F51" s="308"/>
      <c r="G51" s="278" t="s">
        <v>64</v>
      </c>
    </row>
    <row r="52" spans="1:7" s="252" customFormat="1" ht="16.8" thickBot="1">
      <c r="A52" s="309" t="s">
        <v>65</v>
      </c>
      <c r="B52" s="310"/>
      <c r="C52" s="311">
        <f ca="1">C31+C51</f>
        <v>51168</v>
      </c>
      <c r="D52" s="310"/>
      <c r="E52" s="310"/>
      <c r="F52" s="310"/>
      <c r="G52" s="312"/>
    </row>
    <row r="55" spans="1:7" ht="15">
      <c r="B55" s="314" t="s">
        <v>66</v>
      </c>
      <c r="C55" s="315"/>
    </row>
    <row r="56" spans="1:7">
      <c r="B56" s="317" t="s">
        <v>67</v>
      </c>
      <c r="C56" s="318">
        <f ca="1">ROUND(C51/C52,3)</f>
        <v>0.375</v>
      </c>
    </row>
    <row r="57" spans="1:7">
      <c r="B57" s="317" t="s">
        <v>68</v>
      </c>
      <c r="C57" s="319">
        <f ca="1">1-C56</f>
        <v>0.625</v>
      </c>
    </row>
  </sheetData>
  <mergeCells count="1">
    <mergeCell ref="G42:G44"/>
  </mergeCells>
  <phoneticPr fontId="18" type="noConversion"/>
  <dataValidations count="2">
    <dataValidation type="list" allowBlank="1" showInputMessage="1" showErrorMessage="1" sqref="G19" xr:uid="{00000000-0002-0000-3A00-000000000000}">
      <formula1>"已包含在土地取得成本中,未包含在土地取得成本中"</formula1>
    </dataValidation>
    <dataValidation type="list" allowBlank="1" showInputMessage="1" showErrorMessage="1" sqref="G8" xr:uid="{00000000-0002-0000-3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4" customWidth="1"/>
    <col min="2" max="3" width="22.33203125" style="1924" customWidth="1"/>
    <col min="4" max="4" width="23" style="1924" customWidth="1"/>
    <col min="5" max="16384" width="9" style="1924"/>
  </cols>
  <sheetData>
    <row r="1" spans="1:4" ht="17.399999999999999">
      <c r="A1" s="3495" t="s">
        <v>1650</v>
      </c>
      <c r="B1" s="3495"/>
      <c r="C1" s="3495"/>
      <c r="D1" s="3495"/>
    </row>
    <row r="2" spans="1:4" ht="17.399999999999999">
      <c r="A2" s="3496" t="s">
        <v>1634</v>
      </c>
      <c r="B2" s="3496"/>
      <c r="C2" s="3496"/>
      <c r="D2" s="3496"/>
    </row>
    <row r="3" spans="1:4" ht="17.399999999999999">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7.399999999999999">
      <c r="A6" s="3496" t="s">
        <v>1640</v>
      </c>
      <c r="B6" s="3496"/>
      <c r="C6" s="3496"/>
      <c r="D6" s="3496"/>
    </row>
    <row r="7" spans="1:4" ht="17.399999999999999">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7.399999999999999">
      <c r="A10" s="1963" t="s">
        <v>1642</v>
      </c>
      <c r="B10" s="724"/>
      <c r="C10" s="724"/>
      <c r="D10" s="724"/>
    </row>
    <row r="11" spans="1:4" ht="30" customHeight="1">
      <c r="A11" s="3497" t="s">
        <v>1643</v>
      </c>
      <c r="B11" s="3498"/>
      <c r="C11" s="3498"/>
      <c r="D11" s="3498"/>
    </row>
    <row r="12" spans="1:4" ht="15.6">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1644</v>
      </c>
      <c r="B16" s="3501"/>
      <c r="C16" s="3501"/>
      <c r="D16" s="3501"/>
    </row>
    <row r="17" spans="1:4" ht="144" customHeight="1">
      <c r="A17" s="3501" t="s">
        <v>1645</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1646</v>
      </c>
      <c r="B22" s="3503"/>
      <c r="C22" s="3503"/>
      <c r="D22" s="3503"/>
    </row>
    <row r="23" spans="1:4">
      <c r="A23" s="1964"/>
      <c r="B23" s="1936"/>
      <c r="C23" s="1936"/>
      <c r="D23" s="1936"/>
    </row>
    <row r="24" spans="1:4">
      <c r="A24" s="1964"/>
      <c r="B24" s="1936"/>
      <c r="C24" s="1936"/>
      <c r="D24" s="1936"/>
    </row>
    <row r="25" spans="1:4" ht="17.399999999999999">
      <c r="A25" s="1965" t="s">
        <v>1647</v>
      </c>
    </row>
    <row r="26" spans="1:4" ht="17.399999999999999">
      <c r="A26" s="1934"/>
    </row>
    <row r="27" spans="1:4" ht="17.399999999999999">
      <c r="A27" s="1934" t="s">
        <v>1648</v>
      </c>
    </row>
    <row r="30" spans="1:4" ht="17.399999999999999">
      <c r="D30" s="1965" t="s">
        <v>1649</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344"/>
  <sheetViews>
    <sheetView workbookViewId="0">
      <selection activeCell="G224" sqref="G224"/>
    </sheetView>
  </sheetViews>
  <sheetFormatPr defaultColWidth="9" defaultRowHeight="14.4"/>
  <cols>
    <col min="1" max="1" width="12.6640625" style="845" customWidth="1"/>
    <col min="2" max="5" width="10.21875" style="803" customWidth="1"/>
    <col min="6" max="6" width="9" style="803"/>
    <col min="7" max="8" width="9" style="818"/>
    <col min="9" max="16384" width="9" style="803"/>
  </cols>
  <sheetData>
    <row r="1" spans="1:19">
      <c r="A1" s="3862" t="s">
        <v>156</v>
      </c>
      <c r="B1" s="3862"/>
      <c r="C1" s="3862"/>
      <c r="D1" s="3862"/>
      <c r="E1" s="3862"/>
      <c r="F1" s="3862"/>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5" thickBot="1">
      <c r="A2" s="3863" t="s">
        <v>169</v>
      </c>
      <c r="B2" s="3863"/>
      <c r="C2" s="3863"/>
      <c r="D2" s="3863"/>
      <c r="E2" s="3863"/>
      <c r="F2" s="3863"/>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64"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65"/>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344"/>
  <sheetViews>
    <sheetView workbookViewId="0">
      <selection activeCell="F6" sqref="F6"/>
    </sheetView>
  </sheetViews>
  <sheetFormatPr defaultRowHeight="14.4"/>
  <cols>
    <col min="1" max="1" width="12.6640625" style="845" customWidth="1"/>
    <col min="2" max="2" width="10.21875" style="803" customWidth="1"/>
  </cols>
  <sheetData>
    <row r="1" spans="1:6">
      <c r="A1" s="3862" t="s">
        <v>868</v>
      </c>
      <c r="B1" s="3862"/>
    </row>
    <row r="2" spans="1:6" ht="15" thickBot="1">
      <c r="A2" s="1047"/>
      <c r="B2" s="1047"/>
    </row>
    <row r="3" spans="1:6" ht="15" thickBot="1">
      <c r="A3" s="1047"/>
      <c r="B3" s="1047"/>
      <c r="C3" s="1051" t="s">
        <v>871</v>
      </c>
      <c r="D3" s="1051" t="s">
        <v>872</v>
      </c>
      <c r="E3" s="1051" t="s">
        <v>873</v>
      </c>
      <c r="F3" s="1051" t="s">
        <v>874</v>
      </c>
    </row>
    <row r="4" spans="1:6" ht="15" thickBot="1">
      <c r="A4" s="1049" t="s">
        <v>869</v>
      </c>
      <c r="B4" s="1050" t="s">
        <v>870</v>
      </c>
      <c r="C4" s="1051"/>
      <c r="D4" s="1051"/>
      <c r="E4" s="1051"/>
      <c r="F4" s="1051"/>
    </row>
    <row r="5" spans="1:6" ht="15" thickBot="1">
      <c r="A5" s="830" t="s">
        <v>875</v>
      </c>
      <c r="B5" s="831" t="s">
        <v>876</v>
      </c>
      <c r="C5" s="1052">
        <v>8.8999999999999996E-2</v>
      </c>
      <c r="D5" s="1052">
        <v>7.3999999999999996E-2</v>
      </c>
      <c r="E5" s="1052">
        <v>7.4999999999999997E-2</v>
      </c>
      <c r="F5" s="1053">
        <v>0.1</v>
      </c>
    </row>
    <row r="6" spans="1:6" ht="15" thickBot="1">
      <c r="A6" s="830" t="s">
        <v>212</v>
      </c>
      <c r="B6" s="824" t="s">
        <v>877</v>
      </c>
      <c r="C6" s="1054">
        <v>0.1</v>
      </c>
      <c r="D6" s="1054">
        <v>9.0999999999999998E-2</v>
      </c>
      <c r="E6" s="1054">
        <v>9.0999999999999998E-2</v>
      </c>
      <c r="F6" s="1055">
        <v>0.1</v>
      </c>
    </row>
    <row r="7" spans="1:6" ht="15" thickBot="1">
      <c r="A7" s="830" t="s">
        <v>212</v>
      </c>
      <c r="B7" s="834" t="s">
        <v>201</v>
      </c>
      <c r="C7" s="1054">
        <v>8.5999999999999993E-2</v>
      </c>
      <c r="D7" s="1054">
        <v>9.6000000000000002E-2</v>
      </c>
      <c r="E7" s="1054">
        <v>7.5999999999999998E-2</v>
      </c>
      <c r="F7" s="1055">
        <v>0.1</v>
      </c>
    </row>
    <row r="8" spans="1:6" ht="15" thickBot="1">
      <c r="A8" s="830" t="s">
        <v>212</v>
      </c>
      <c r="B8" s="824" t="s">
        <v>213</v>
      </c>
      <c r="C8" s="1054">
        <v>9.9000000000000005E-2</v>
      </c>
      <c r="D8" s="1054">
        <v>9.8000000000000004E-2</v>
      </c>
      <c r="E8" s="1054">
        <v>9.8000000000000004E-2</v>
      </c>
      <c r="F8" s="1055">
        <v>0.1</v>
      </c>
    </row>
    <row r="9" spans="1:6" ht="15" thickBot="1">
      <c r="A9" s="840" t="s">
        <v>212</v>
      </c>
      <c r="B9" s="835" t="s">
        <v>225</v>
      </c>
      <c r="C9" s="1056">
        <v>0.05</v>
      </c>
      <c r="D9" s="1064"/>
      <c r="E9" s="1064"/>
      <c r="F9" s="1065"/>
    </row>
    <row r="10" spans="1:6" ht="15" thickBot="1">
      <c r="A10" s="830" t="s">
        <v>269</v>
      </c>
      <c r="B10" s="831" t="s">
        <v>878</v>
      </c>
      <c r="C10" s="1052">
        <v>8.8999999999999996E-2</v>
      </c>
      <c r="D10" s="1052">
        <v>7.2999999999999995E-2</v>
      </c>
      <c r="E10" s="1052">
        <v>8.2000000000000003E-2</v>
      </c>
      <c r="F10" s="1053">
        <v>0.1</v>
      </c>
    </row>
    <row r="11" spans="1:6" ht="15" thickBot="1">
      <c r="A11" s="830" t="s">
        <v>269</v>
      </c>
      <c r="B11" s="834" t="s">
        <v>188</v>
      </c>
      <c r="C11" s="1054">
        <v>8.8999999999999996E-2</v>
      </c>
      <c r="D11" s="1054">
        <v>7.2999999999999995E-2</v>
      </c>
      <c r="E11" s="1054">
        <v>8.2000000000000003E-2</v>
      </c>
      <c r="F11" s="1055">
        <v>0.1</v>
      </c>
    </row>
    <row r="12" spans="1:6" ht="15" thickBot="1">
      <c r="A12" s="830" t="s">
        <v>269</v>
      </c>
      <c r="B12" s="834" t="s">
        <v>138</v>
      </c>
      <c r="C12" s="1054">
        <v>6.0999999999999999E-2</v>
      </c>
      <c r="D12" s="1054">
        <v>7.0999999999999994E-2</v>
      </c>
      <c r="E12" s="1054">
        <v>9.6000000000000002E-2</v>
      </c>
      <c r="F12" s="1055">
        <v>0.1</v>
      </c>
    </row>
    <row r="13" spans="1:6" ht="15" thickBot="1">
      <c r="A13" s="830" t="s">
        <v>269</v>
      </c>
      <c r="B13" s="834" t="s">
        <v>214</v>
      </c>
      <c r="C13" s="1054">
        <v>6.9000000000000006E-2</v>
      </c>
      <c r="D13" s="1054">
        <v>6.5000000000000002E-2</v>
      </c>
      <c r="E13" s="1054">
        <v>6.6000000000000003E-2</v>
      </c>
      <c r="F13" s="1055">
        <v>0.1</v>
      </c>
    </row>
    <row r="14" spans="1:6" ht="15" thickBot="1">
      <c r="A14" s="830" t="s">
        <v>269</v>
      </c>
      <c r="B14" s="834" t="s">
        <v>226</v>
      </c>
      <c r="C14" s="1054">
        <v>0.1</v>
      </c>
      <c r="D14" s="1054">
        <v>6.5000000000000002E-2</v>
      </c>
      <c r="E14" s="1054">
        <v>7.0000000000000007E-2</v>
      </c>
      <c r="F14" s="1055">
        <v>0.1</v>
      </c>
    </row>
    <row r="15" spans="1:6" ht="15" thickBot="1">
      <c r="A15" s="830" t="s">
        <v>269</v>
      </c>
      <c r="B15" s="834" t="s">
        <v>237</v>
      </c>
      <c r="C15" s="1054">
        <v>9.8000000000000004E-2</v>
      </c>
      <c r="D15" s="1054">
        <v>8.8999999999999996E-2</v>
      </c>
      <c r="E15" s="1054">
        <v>8.8999999999999996E-2</v>
      </c>
      <c r="F15" s="1055">
        <v>0.1</v>
      </c>
    </row>
    <row r="16" spans="1:6" ht="15" thickBot="1">
      <c r="A16" s="830" t="s">
        <v>269</v>
      </c>
      <c r="B16" s="834" t="s">
        <v>248</v>
      </c>
      <c r="C16" s="1054">
        <v>7.0000000000000007E-2</v>
      </c>
      <c r="D16" s="1054">
        <v>9.2999999999999999E-2</v>
      </c>
      <c r="E16" s="1054">
        <v>9.6000000000000002E-2</v>
      </c>
      <c r="F16" s="1055">
        <v>0.1</v>
      </c>
    </row>
    <row r="17" spans="1:6" ht="15" thickBot="1">
      <c r="A17" s="830" t="s">
        <v>269</v>
      </c>
      <c r="B17" s="834" t="s">
        <v>259</v>
      </c>
      <c r="C17" s="1054">
        <v>9.5000000000000001E-2</v>
      </c>
      <c r="D17" s="1054">
        <v>0.1</v>
      </c>
      <c r="E17" s="1054">
        <v>0.1</v>
      </c>
      <c r="F17" s="1066"/>
    </row>
    <row r="18" spans="1:6" ht="15" thickBot="1">
      <c r="A18" s="830" t="s">
        <v>269</v>
      </c>
      <c r="B18" s="834" t="s">
        <v>271</v>
      </c>
      <c r="C18" s="1054">
        <v>7.3999999999999996E-2</v>
      </c>
      <c r="D18" s="1054">
        <v>9.9000000000000005E-2</v>
      </c>
      <c r="E18" s="1054">
        <v>0.1</v>
      </c>
      <c r="F18" s="1066"/>
    </row>
    <row r="19" spans="1:6" ht="15" thickBot="1">
      <c r="A19" s="830" t="s">
        <v>269</v>
      </c>
      <c r="B19" s="834" t="s">
        <v>281</v>
      </c>
      <c r="C19" s="1054">
        <v>9.9000000000000005E-2</v>
      </c>
      <c r="D19" s="1054">
        <v>7.5999999999999998E-2</v>
      </c>
      <c r="E19" s="1054">
        <v>8.6999999999999994E-2</v>
      </c>
      <c r="F19" s="1066"/>
    </row>
    <row r="20" spans="1:6" ht="15" thickBot="1">
      <c r="A20" s="830" t="s">
        <v>269</v>
      </c>
      <c r="B20" s="834" t="s">
        <v>291</v>
      </c>
      <c r="C20" s="1054">
        <v>9.8000000000000004E-2</v>
      </c>
      <c r="D20" s="1054">
        <v>8.5000000000000006E-2</v>
      </c>
      <c r="E20" s="1054">
        <v>8.2000000000000003E-2</v>
      </c>
      <c r="F20" s="1066"/>
    </row>
    <row r="21" spans="1:6" ht="15" thickBot="1">
      <c r="A21" s="830" t="s">
        <v>269</v>
      </c>
      <c r="B21" s="834" t="s">
        <v>301</v>
      </c>
      <c r="C21" s="1054">
        <v>6.6000000000000003E-2</v>
      </c>
      <c r="D21" s="1054">
        <v>6.4000000000000001E-2</v>
      </c>
      <c r="E21" s="1054">
        <v>6.5000000000000002E-2</v>
      </c>
      <c r="F21" s="1066"/>
    </row>
    <row r="22" spans="1:6" ht="15" thickBot="1">
      <c r="A22" s="830" t="s">
        <v>269</v>
      </c>
      <c r="B22" s="834" t="s">
        <v>879</v>
      </c>
      <c r="C22" s="1054">
        <v>0.08</v>
      </c>
      <c r="D22" s="1054">
        <v>9.8000000000000004E-2</v>
      </c>
      <c r="E22" s="1054">
        <v>9.8000000000000004E-2</v>
      </c>
      <c r="F22" s="1066"/>
    </row>
    <row r="23" spans="1:6" ht="15" thickBot="1">
      <c r="A23" s="830" t="s">
        <v>269</v>
      </c>
      <c r="B23" s="834" t="s">
        <v>322</v>
      </c>
      <c r="C23" s="1054">
        <v>9.9000000000000005E-2</v>
      </c>
      <c r="D23" s="1054">
        <v>9.8000000000000004E-2</v>
      </c>
      <c r="E23" s="1054">
        <v>9.0999999999999998E-2</v>
      </c>
      <c r="F23" s="1066"/>
    </row>
    <row r="24" spans="1:6" ht="15" thickBot="1">
      <c r="A24" s="830" t="s">
        <v>269</v>
      </c>
      <c r="B24" s="834" t="s">
        <v>333</v>
      </c>
      <c r="C24" s="1054">
        <v>8.8999999999999996E-2</v>
      </c>
      <c r="D24" s="1054">
        <v>9.7000000000000003E-2</v>
      </c>
      <c r="E24" s="1054">
        <v>7.0000000000000007E-2</v>
      </c>
      <c r="F24" s="1066"/>
    </row>
    <row r="25" spans="1:6" ht="15" thickBot="1">
      <c r="A25" s="830" t="s">
        <v>269</v>
      </c>
      <c r="B25" s="834" t="s">
        <v>343</v>
      </c>
      <c r="C25" s="1054">
        <v>8.8999999999999996E-2</v>
      </c>
      <c r="D25" s="1054">
        <v>0.1</v>
      </c>
      <c r="E25" s="1054">
        <v>8.1000000000000003E-2</v>
      </c>
      <c r="F25" s="1066"/>
    </row>
    <row r="26" spans="1:6" ht="15" thickBot="1">
      <c r="A26" s="830" t="s">
        <v>269</v>
      </c>
      <c r="B26" s="834" t="s">
        <v>353</v>
      </c>
      <c r="C26" s="1067"/>
      <c r="D26" s="1054">
        <v>9.6000000000000002E-2</v>
      </c>
      <c r="E26" s="1054">
        <v>9.2999999999999999E-2</v>
      </c>
      <c r="F26" s="1066"/>
    </row>
    <row r="27" spans="1:6" ht="15" thickBot="1">
      <c r="A27" s="830" t="s">
        <v>269</v>
      </c>
      <c r="B27" s="834" t="s">
        <v>363</v>
      </c>
      <c r="C27" s="1067"/>
      <c r="D27" s="1054">
        <v>7.5999999999999998E-2</v>
      </c>
      <c r="E27" s="1054">
        <v>9.1999999999999998E-2</v>
      </c>
      <c r="F27" s="1066"/>
    </row>
    <row r="28" spans="1:6" ht="15" thickBot="1">
      <c r="A28" s="840" t="s">
        <v>269</v>
      </c>
      <c r="B28" s="835" t="s">
        <v>373</v>
      </c>
      <c r="C28" s="1064"/>
      <c r="D28" s="1056">
        <v>7.5999999999999998E-2</v>
      </c>
      <c r="E28" s="1056">
        <v>9.1999999999999998E-2</v>
      </c>
      <c r="F28" s="1065"/>
    </row>
    <row r="29" spans="1:6" ht="15" thickBot="1">
      <c r="A29" s="830" t="s">
        <v>442</v>
      </c>
      <c r="B29" s="831" t="s">
        <v>880</v>
      </c>
      <c r="C29" s="1052">
        <v>6.4000000000000001E-2</v>
      </c>
      <c r="D29" s="1052">
        <v>6.5000000000000002E-2</v>
      </c>
      <c r="E29" s="1052">
        <v>6.9000000000000006E-2</v>
      </c>
      <c r="F29" s="1053">
        <v>0.1</v>
      </c>
    </row>
    <row r="30" spans="1:6" ht="15" thickBot="1">
      <c r="A30" s="830" t="s">
        <v>442</v>
      </c>
      <c r="B30" s="834" t="s">
        <v>189</v>
      </c>
      <c r="C30" s="1054">
        <v>6.4000000000000001E-2</v>
      </c>
      <c r="D30" s="1054">
        <v>9.9000000000000005E-2</v>
      </c>
      <c r="E30" s="1054">
        <v>0.1</v>
      </c>
      <c r="F30" s="1055">
        <v>0.1</v>
      </c>
    </row>
    <row r="31" spans="1:6" ht="15" thickBot="1">
      <c r="A31" s="830" t="s">
        <v>442</v>
      </c>
      <c r="B31" s="834" t="s">
        <v>202</v>
      </c>
      <c r="C31" s="1054">
        <v>0.1</v>
      </c>
      <c r="D31" s="1054">
        <v>9.5000000000000001E-2</v>
      </c>
      <c r="E31" s="1054">
        <v>8.8999999999999996E-2</v>
      </c>
      <c r="F31" s="1055">
        <v>0.1</v>
      </c>
    </row>
    <row r="32" spans="1:6" ht="15" thickBot="1">
      <c r="A32" s="830" t="s">
        <v>442</v>
      </c>
      <c r="B32" s="834" t="s">
        <v>215</v>
      </c>
      <c r="C32" s="1054">
        <v>0.05</v>
      </c>
      <c r="D32" s="1054">
        <v>0.05</v>
      </c>
      <c r="E32" s="1054">
        <v>8.7999999999999995E-2</v>
      </c>
      <c r="F32" s="1055">
        <v>0.1</v>
      </c>
    </row>
    <row r="33" spans="1:6" ht="15" thickBot="1">
      <c r="A33" s="830" t="s">
        <v>442</v>
      </c>
      <c r="B33" s="834" t="s">
        <v>227</v>
      </c>
      <c r="C33" s="1054">
        <v>7.4999999999999997E-2</v>
      </c>
      <c r="D33" s="1054">
        <v>9.4E-2</v>
      </c>
      <c r="E33" s="1054">
        <v>9.7000000000000003E-2</v>
      </c>
      <c r="F33" s="1055">
        <v>0.1</v>
      </c>
    </row>
    <row r="34" spans="1:6" ht="15" thickBot="1">
      <c r="A34" s="830" t="s">
        <v>442</v>
      </c>
      <c r="B34" s="834" t="s">
        <v>238</v>
      </c>
      <c r="C34" s="1054">
        <v>9.8000000000000004E-2</v>
      </c>
      <c r="D34" s="1054">
        <v>8.5999999999999993E-2</v>
      </c>
      <c r="E34" s="1054">
        <v>9.7000000000000003E-2</v>
      </c>
      <c r="F34" s="1055">
        <v>0.1</v>
      </c>
    </row>
    <row r="35" spans="1:6" ht="15" thickBot="1">
      <c r="A35" s="830" t="s">
        <v>442</v>
      </c>
      <c r="B35" s="834" t="s">
        <v>249</v>
      </c>
      <c r="C35" s="1054">
        <v>5.8999999999999997E-2</v>
      </c>
      <c r="D35" s="1054">
        <v>6.5000000000000002E-2</v>
      </c>
      <c r="E35" s="1054">
        <v>7.0000000000000007E-2</v>
      </c>
      <c r="F35" s="1055">
        <v>0.1</v>
      </c>
    </row>
    <row r="36" spans="1:6" ht="15" thickBot="1">
      <c r="A36" s="830" t="s">
        <v>442</v>
      </c>
      <c r="B36" s="834" t="s">
        <v>260</v>
      </c>
      <c r="C36" s="1054">
        <v>6.3E-2</v>
      </c>
      <c r="D36" s="1054">
        <v>0.1</v>
      </c>
      <c r="E36" s="1054">
        <v>0.1</v>
      </c>
      <c r="F36" s="1055">
        <v>0.1</v>
      </c>
    </row>
    <row r="37" spans="1:6" ht="15" thickBot="1">
      <c r="A37" s="830" t="s">
        <v>442</v>
      </c>
      <c r="B37" s="834" t="s">
        <v>272</v>
      </c>
      <c r="C37" s="1054">
        <v>7.3999999999999996E-2</v>
      </c>
      <c r="D37" s="1054">
        <v>0.1</v>
      </c>
      <c r="E37" s="1054">
        <v>0.1</v>
      </c>
      <c r="F37" s="1055">
        <v>0.1</v>
      </c>
    </row>
    <row r="38" spans="1:6" ht="15" thickBot="1">
      <c r="A38" s="830" t="s">
        <v>442</v>
      </c>
      <c r="B38" s="834" t="s">
        <v>282</v>
      </c>
      <c r="C38" s="1054">
        <v>0.1</v>
      </c>
      <c r="D38" s="1054">
        <v>9.6000000000000002E-2</v>
      </c>
      <c r="E38" s="1054">
        <v>9.6000000000000002E-2</v>
      </c>
      <c r="F38" s="1066"/>
    </row>
    <row r="39" spans="1:6" ht="15" thickBot="1">
      <c r="A39" s="830" t="s">
        <v>442</v>
      </c>
      <c r="B39" s="834" t="s">
        <v>292</v>
      </c>
      <c r="C39" s="1054">
        <v>0.1</v>
      </c>
      <c r="D39" s="1054">
        <v>9.6000000000000002E-2</v>
      </c>
      <c r="E39" s="1054">
        <v>9.6000000000000002E-2</v>
      </c>
      <c r="F39" s="1066"/>
    </row>
    <row r="40" spans="1:6" ht="15" thickBot="1">
      <c r="A40" s="830" t="s">
        <v>442</v>
      </c>
      <c r="B40" s="834" t="s">
        <v>302</v>
      </c>
      <c r="C40" s="1054">
        <v>9.6000000000000002E-2</v>
      </c>
      <c r="D40" s="1054">
        <v>0.1</v>
      </c>
      <c r="E40" s="1054">
        <v>9.9000000000000005E-2</v>
      </c>
      <c r="F40" s="1066"/>
    </row>
    <row r="41" spans="1:6" ht="15" thickBot="1">
      <c r="A41" s="830" t="s">
        <v>442</v>
      </c>
      <c r="B41" s="834" t="s">
        <v>312</v>
      </c>
      <c r="C41" s="1054">
        <v>9.6000000000000002E-2</v>
      </c>
      <c r="D41" s="1054">
        <v>9.8000000000000004E-2</v>
      </c>
      <c r="E41" s="1054">
        <v>9.8000000000000004E-2</v>
      </c>
      <c r="F41" s="1066"/>
    </row>
    <row r="42" spans="1:6" ht="15" thickBot="1">
      <c r="A42" s="830" t="s">
        <v>442</v>
      </c>
      <c r="B42" s="834" t="s">
        <v>323</v>
      </c>
      <c r="C42" s="1054">
        <v>0.1</v>
      </c>
      <c r="D42" s="1054">
        <v>8.7999999999999995E-2</v>
      </c>
      <c r="E42" s="1054">
        <v>0.1</v>
      </c>
      <c r="F42" s="1066"/>
    </row>
    <row r="43" spans="1:6" ht="15" thickBot="1">
      <c r="A43" s="830" t="s">
        <v>442</v>
      </c>
      <c r="B43" s="834" t="s">
        <v>334</v>
      </c>
      <c r="C43" s="1054">
        <v>9.8000000000000004E-2</v>
      </c>
      <c r="D43" s="1054">
        <v>9.7000000000000003E-2</v>
      </c>
      <c r="E43" s="1054">
        <v>9.6000000000000002E-2</v>
      </c>
      <c r="F43" s="1066"/>
    </row>
    <row r="44" spans="1:6" ht="15" thickBot="1">
      <c r="A44" s="830" t="s">
        <v>442</v>
      </c>
      <c r="B44" s="834" t="s">
        <v>344</v>
      </c>
      <c r="C44" s="1054">
        <v>8.5999999999999993E-2</v>
      </c>
      <c r="D44" s="1054">
        <v>7.9000000000000001E-2</v>
      </c>
      <c r="E44" s="1054">
        <v>7.0999999999999994E-2</v>
      </c>
      <c r="F44" s="1066"/>
    </row>
    <row r="45" spans="1:6" ht="15" thickBot="1">
      <c r="A45" s="830" t="s">
        <v>442</v>
      </c>
      <c r="B45" s="834" t="s">
        <v>354</v>
      </c>
      <c r="C45" s="1054">
        <v>9.8000000000000004E-2</v>
      </c>
      <c r="D45" s="1054">
        <v>9.6000000000000002E-2</v>
      </c>
      <c r="E45" s="1054">
        <v>9.6000000000000002E-2</v>
      </c>
      <c r="F45" s="1066"/>
    </row>
    <row r="46" spans="1:6" ht="15" thickBot="1">
      <c r="A46" s="830" t="s">
        <v>442</v>
      </c>
      <c r="B46" s="834" t="s">
        <v>364</v>
      </c>
      <c r="C46" s="1054">
        <v>8.5999999999999993E-2</v>
      </c>
      <c r="D46" s="1054">
        <v>9.8000000000000004E-2</v>
      </c>
      <c r="E46" s="1054">
        <v>8.7999999999999995E-2</v>
      </c>
      <c r="F46" s="1066"/>
    </row>
    <row r="47" spans="1:6" ht="15" thickBot="1">
      <c r="A47" s="830" t="s">
        <v>442</v>
      </c>
      <c r="B47" s="834" t="s">
        <v>374</v>
      </c>
      <c r="C47" s="1054">
        <v>9.6000000000000002E-2</v>
      </c>
      <c r="D47" s="1067"/>
      <c r="E47" s="1054">
        <v>6.9000000000000006E-2</v>
      </c>
      <c r="F47" s="1066"/>
    </row>
    <row r="48" spans="1:6" ht="15" thickBot="1">
      <c r="A48" s="840" t="s">
        <v>442</v>
      </c>
      <c r="B48" s="835" t="s">
        <v>383</v>
      </c>
      <c r="C48" s="1056">
        <v>9.8000000000000004E-2</v>
      </c>
      <c r="D48" s="1064"/>
      <c r="E48" s="1056">
        <v>9.5000000000000001E-2</v>
      </c>
      <c r="F48" s="1065"/>
    </row>
    <row r="49" spans="1:6" ht="15" thickBot="1">
      <c r="A49" s="830" t="s">
        <v>137</v>
      </c>
      <c r="B49" s="831" t="s">
        <v>881</v>
      </c>
      <c r="C49" s="1052">
        <v>9.7000000000000003E-2</v>
      </c>
      <c r="D49" s="1052">
        <v>9.5000000000000001E-2</v>
      </c>
      <c r="E49" s="1052">
        <v>9.7000000000000003E-2</v>
      </c>
      <c r="F49" s="1053">
        <v>0.1</v>
      </c>
    </row>
    <row r="50" spans="1:6" ht="15" thickBot="1">
      <c r="A50" s="830" t="s">
        <v>137</v>
      </c>
      <c r="B50" s="824" t="s">
        <v>190</v>
      </c>
      <c r="C50" s="1054">
        <v>7.4999999999999997E-2</v>
      </c>
      <c r="D50" s="1054">
        <v>9.5000000000000001E-2</v>
      </c>
      <c r="E50" s="1054">
        <v>0.1</v>
      </c>
      <c r="F50" s="1055">
        <v>0.1</v>
      </c>
    </row>
    <row r="51" spans="1:6" ht="15" thickBot="1">
      <c r="A51" s="830" t="s">
        <v>137</v>
      </c>
      <c r="B51" s="824" t="s">
        <v>203</v>
      </c>
      <c r="C51" s="1054">
        <v>9.8000000000000004E-2</v>
      </c>
      <c r="D51" s="1054">
        <v>8.8999999999999996E-2</v>
      </c>
      <c r="E51" s="1054">
        <v>0.1</v>
      </c>
      <c r="F51" s="1055">
        <v>0.1</v>
      </c>
    </row>
    <row r="52" spans="1:6" ht="15" thickBot="1">
      <c r="A52" s="830" t="s">
        <v>137</v>
      </c>
      <c r="B52" s="824" t="s">
        <v>216</v>
      </c>
      <c r="C52" s="1054">
        <v>9.8000000000000004E-2</v>
      </c>
      <c r="D52" s="1054">
        <v>9.7000000000000003E-2</v>
      </c>
      <c r="E52" s="1054">
        <v>8.1000000000000003E-2</v>
      </c>
      <c r="F52" s="1055">
        <v>0.1</v>
      </c>
    </row>
    <row r="53" spans="1:6" ht="15" thickBot="1">
      <c r="A53" s="830" t="s">
        <v>137</v>
      </c>
      <c r="B53" s="824" t="s">
        <v>228</v>
      </c>
      <c r="C53" s="1054">
        <v>9.7000000000000003E-2</v>
      </c>
      <c r="D53" s="1054">
        <v>7.5999999999999998E-2</v>
      </c>
      <c r="E53" s="1054">
        <v>7.0999999999999994E-2</v>
      </c>
      <c r="F53" s="1055">
        <v>0.1</v>
      </c>
    </row>
    <row r="54" spans="1:6" ht="15" thickBot="1">
      <c r="A54" s="830" t="s">
        <v>137</v>
      </c>
      <c r="B54" s="824" t="s">
        <v>239</v>
      </c>
      <c r="C54" s="1054">
        <v>7.5999999999999998E-2</v>
      </c>
      <c r="D54" s="1054">
        <v>0.1</v>
      </c>
      <c r="E54" s="1054">
        <v>9.9000000000000005E-2</v>
      </c>
      <c r="F54" s="1055">
        <v>0.1</v>
      </c>
    </row>
    <row r="55" spans="1:6" ht="15" thickBot="1">
      <c r="A55" s="830" t="s">
        <v>137</v>
      </c>
      <c r="B55" s="824" t="s">
        <v>250</v>
      </c>
      <c r="C55" s="1054">
        <v>0.1</v>
      </c>
      <c r="D55" s="1054">
        <v>0.1</v>
      </c>
      <c r="E55" s="1054">
        <v>9.6000000000000002E-2</v>
      </c>
      <c r="F55" s="1055">
        <v>0.1</v>
      </c>
    </row>
    <row r="56" spans="1:6" ht="15" thickBot="1">
      <c r="A56" s="830" t="s">
        <v>137</v>
      </c>
      <c r="B56" s="824" t="s">
        <v>261</v>
      </c>
      <c r="C56" s="1054">
        <v>0.1</v>
      </c>
      <c r="D56" s="1054">
        <v>9.6000000000000002E-2</v>
      </c>
      <c r="E56" s="1054">
        <v>5.1999999999999998E-2</v>
      </c>
      <c r="F56" s="1055">
        <v>0.1</v>
      </c>
    </row>
    <row r="57" spans="1:6" ht="15" thickBot="1">
      <c r="A57" s="830" t="s">
        <v>137</v>
      </c>
      <c r="B57" s="824" t="s">
        <v>273</v>
      </c>
      <c r="C57" s="1054">
        <v>9.7000000000000003E-2</v>
      </c>
      <c r="D57" s="1054">
        <v>9.6000000000000002E-2</v>
      </c>
      <c r="E57" s="1054">
        <v>9.6000000000000002E-2</v>
      </c>
      <c r="F57" s="1055">
        <v>0.1</v>
      </c>
    </row>
    <row r="58" spans="1:6" ht="15" thickBot="1">
      <c r="A58" s="830" t="s">
        <v>137</v>
      </c>
      <c r="B58" s="824" t="s">
        <v>283</v>
      </c>
      <c r="C58" s="1054">
        <v>9.6000000000000002E-2</v>
      </c>
      <c r="D58" s="1054">
        <v>9.9000000000000005E-2</v>
      </c>
      <c r="E58" s="1054">
        <v>9.6000000000000002E-2</v>
      </c>
      <c r="F58" s="1055">
        <v>0.1</v>
      </c>
    </row>
    <row r="59" spans="1:6" ht="15" thickBot="1">
      <c r="A59" s="830" t="s">
        <v>137</v>
      </c>
      <c r="B59" s="824" t="s">
        <v>293</v>
      </c>
      <c r="C59" s="1054">
        <v>7.1999999999999995E-2</v>
      </c>
      <c r="D59" s="1054">
        <v>9.6000000000000002E-2</v>
      </c>
      <c r="E59" s="1054">
        <v>7.0999999999999994E-2</v>
      </c>
      <c r="F59" s="1055">
        <v>0.1</v>
      </c>
    </row>
    <row r="60" spans="1:6" ht="15" thickBot="1">
      <c r="A60" s="830" t="s">
        <v>137</v>
      </c>
      <c r="B60" s="824" t="s">
        <v>303</v>
      </c>
      <c r="C60" s="1054">
        <v>9.6000000000000002E-2</v>
      </c>
      <c r="D60" s="1054">
        <v>8.8999999999999996E-2</v>
      </c>
      <c r="E60" s="1054">
        <v>9.6000000000000002E-2</v>
      </c>
      <c r="F60" s="1055">
        <v>0.1</v>
      </c>
    </row>
    <row r="61" spans="1:6" ht="15" thickBot="1">
      <c r="A61" s="830" t="s">
        <v>137</v>
      </c>
      <c r="B61" s="824" t="s">
        <v>313</v>
      </c>
      <c r="C61" s="1054">
        <v>8.8999999999999996E-2</v>
      </c>
      <c r="D61" s="1054">
        <v>9.8000000000000004E-2</v>
      </c>
      <c r="E61" s="1054">
        <v>8.7999999999999995E-2</v>
      </c>
      <c r="F61" s="1066"/>
    </row>
    <row r="62" spans="1:6" ht="15" thickBot="1">
      <c r="A62" s="830" t="s">
        <v>137</v>
      </c>
      <c r="B62" s="824" t="s">
        <v>324</v>
      </c>
      <c r="C62" s="1054">
        <v>9.8000000000000004E-2</v>
      </c>
      <c r="D62" s="1054">
        <v>9.2999999999999999E-2</v>
      </c>
      <c r="E62" s="1054">
        <v>9.7000000000000003E-2</v>
      </c>
      <c r="F62" s="1066"/>
    </row>
    <row r="63" spans="1:6" ht="15" thickBot="1">
      <c r="A63" s="830" t="s">
        <v>137</v>
      </c>
      <c r="B63" s="824" t="s">
        <v>335</v>
      </c>
      <c r="C63" s="1054">
        <v>9.6000000000000002E-2</v>
      </c>
      <c r="D63" s="1054">
        <v>9.8000000000000004E-2</v>
      </c>
      <c r="E63" s="1054">
        <v>0.09</v>
      </c>
      <c r="F63" s="1066"/>
    </row>
    <row r="64" spans="1:6" ht="15" thickBot="1">
      <c r="A64" s="830" t="s">
        <v>137</v>
      </c>
      <c r="B64" s="824" t="s">
        <v>345</v>
      </c>
      <c r="C64" s="1054">
        <v>9.9000000000000005E-2</v>
      </c>
      <c r="D64" s="1054">
        <v>9.7000000000000003E-2</v>
      </c>
      <c r="E64" s="1054">
        <v>9.9000000000000005E-2</v>
      </c>
      <c r="F64" s="1066"/>
    </row>
    <row r="65" spans="1:6" ht="15" thickBot="1">
      <c r="A65" s="830" t="s">
        <v>137</v>
      </c>
      <c r="B65" s="824" t="s">
        <v>355</v>
      </c>
      <c r="C65" s="1054">
        <v>9.8000000000000004E-2</v>
      </c>
      <c r="D65" s="1054">
        <v>9.6000000000000002E-2</v>
      </c>
      <c r="E65" s="1054">
        <v>9.6000000000000002E-2</v>
      </c>
      <c r="F65" s="1066"/>
    </row>
    <row r="66" spans="1:6" ht="15" thickBot="1">
      <c r="A66" s="830" t="s">
        <v>137</v>
      </c>
      <c r="B66" s="824" t="s">
        <v>365</v>
      </c>
      <c r="C66" s="1054">
        <v>9.6000000000000002E-2</v>
      </c>
      <c r="D66" s="1054">
        <v>9.1999999999999998E-2</v>
      </c>
      <c r="E66" s="1054">
        <v>9.6000000000000002E-2</v>
      </c>
      <c r="F66" s="1066"/>
    </row>
    <row r="67" spans="1:6" ht="15" thickBot="1">
      <c r="A67" s="830" t="s">
        <v>137</v>
      </c>
      <c r="B67" s="824" t="s">
        <v>375</v>
      </c>
      <c r="C67" s="1054">
        <v>9.4E-2</v>
      </c>
      <c r="D67" s="1054">
        <v>0.1</v>
      </c>
      <c r="E67" s="1054">
        <v>8.7999999999999995E-2</v>
      </c>
      <c r="F67" s="1066"/>
    </row>
    <row r="68" spans="1:6" ht="15" thickBot="1">
      <c r="A68" s="830" t="s">
        <v>137</v>
      </c>
      <c r="B68" s="824" t="s">
        <v>384</v>
      </c>
      <c r="C68" s="1054">
        <v>0.1</v>
      </c>
      <c r="D68" s="1054">
        <v>8.7999999999999995E-2</v>
      </c>
      <c r="E68" s="1054">
        <v>9.7000000000000003E-2</v>
      </c>
      <c r="F68" s="1066"/>
    </row>
    <row r="69" spans="1:6" ht="15" thickBot="1">
      <c r="A69" s="830" t="s">
        <v>137</v>
      </c>
      <c r="B69" s="824" t="s">
        <v>393</v>
      </c>
      <c r="C69" s="1054">
        <v>6.4000000000000001E-2</v>
      </c>
      <c r="D69" s="1054">
        <v>0.1</v>
      </c>
      <c r="E69" s="1054">
        <v>0.1</v>
      </c>
      <c r="F69" s="1066"/>
    </row>
    <row r="70" spans="1:6" ht="15" thickBot="1">
      <c r="A70" s="830" t="s">
        <v>137</v>
      </c>
      <c r="B70" s="824" t="s">
        <v>401</v>
      </c>
      <c r="C70" s="1054">
        <v>9.0999999999999998E-2</v>
      </c>
      <c r="D70" s="1067"/>
      <c r="E70" s="1067"/>
      <c r="F70" s="1066"/>
    </row>
    <row r="71" spans="1:6" ht="15" thickBot="1">
      <c r="A71" s="830" t="s">
        <v>137</v>
      </c>
      <c r="B71" s="824" t="s">
        <v>408</v>
      </c>
      <c r="C71" s="1054">
        <v>0.1</v>
      </c>
      <c r="D71" s="1067"/>
      <c r="E71" s="1067"/>
      <c r="F71" s="1066"/>
    </row>
    <row r="72" spans="1:6" ht="24.6" thickBot="1">
      <c r="A72" s="830" t="s">
        <v>137</v>
      </c>
      <c r="B72" s="824" t="s">
        <v>882</v>
      </c>
      <c r="C72" s="1067"/>
      <c r="D72" s="1067"/>
      <c r="E72" s="1067"/>
      <c r="F72" s="1055">
        <v>0.05</v>
      </c>
    </row>
    <row r="73" spans="1:6" ht="24.6" thickBot="1">
      <c r="A73" s="830" t="s">
        <v>137</v>
      </c>
      <c r="B73" s="824" t="s">
        <v>883</v>
      </c>
      <c r="C73" s="1067"/>
      <c r="D73" s="1067"/>
      <c r="E73" s="1067"/>
      <c r="F73" s="1055">
        <v>0.05</v>
      </c>
    </row>
    <row r="74" spans="1:6" ht="24.6" thickBot="1">
      <c r="A74" s="830" t="s">
        <v>137</v>
      </c>
      <c r="B74" s="824" t="s">
        <v>884</v>
      </c>
      <c r="C74" s="1067"/>
      <c r="D74" s="1067"/>
      <c r="E74" s="1067"/>
      <c r="F74" s="1055">
        <v>0.05</v>
      </c>
    </row>
    <row r="75" spans="1:6" ht="24.6" thickBot="1">
      <c r="A75" s="840" t="s">
        <v>137</v>
      </c>
      <c r="B75" s="836" t="s">
        <v>885</v>
      </c>
      <c r="C75" s="1064"/>
      <c r="D75" s="1064"/>
      <c r="E75" s="1064"/>
      <c r="F75" s="1057">
        <v>0.05</v>
      </c>
    </row>
    <row r="76" spans="1:6" ht="15" thickBot="1">
      <c r="A76" s="830" t="s">
        <v>523</v>
      </c>
      <c r="B76" s="831" t="s">
        <v>886</v>
      </c>
      <c r="C76" s="1052">
        <v>0.1</v>
      </c>
      <c r="D76" s="1052">
        <v>0.1</v>
      </c>
      <c r="E76" s="1052">
        <v>0.1</v>
      </c>
      <c r="F76" s="1053">
        <v>0.1</v>
      </c>
    </row>
    <row r="77" spans="1:6" ht="15" thickBot="1">
      <c r="A77" s="830" t="s">
        <v>523</v>
      </c>
      <c r="B77" s="824" t="s">
        <v>191</v>
      </c>
      <c r="C77" s="1054">
        <v>8.7999999999999995E-2</v>
      </c>
      <c r="D77" s="1054">
        <v>8.6999999999999994E-2</v>
      </c>
      <c r="E77" s="1054">
        <v>7.9000000000000001E-2</v>
      </c>
      <c r="F77" s="1055">
        <v>0.1</v>
      </c>
    </row>
    <row r="78" spans="1:6" ht="15" thickBot="1">
      <c r="A78" s="830" t="s">
        <v>523</v>
      </c>
      <c r="B78" s="824" t="s">
        <v>204</v>
      </c>
      <c r="C78" s="1054">
        <v>8.6999999999999994E-2</v>
      </c>
      <c r="D78" s="1054">
        <v>8.4000000000000005E-2</v>
      </c>
      <c r="E78" s="1054">
        <v>9.6000000000000002E-2</v>
      </c>
      <c r="F78" s="1055">
        <v>0.1</v>
      </c>
    </row>
    <row r="79" spans="1:6" ht="15" thickBot="1">
      <c r="A79" s="830" t="s">
        <v>523</v>
      </c>
      <c r="B79" s="824" t="s">
        <v>217</v>
      </c>
      <c r="C79" s="1054">
        <v>9.8000000000000004E-2</v>
      </c>
      <c r="D79" s="1054">
        <v>9.8000000000000004E-2</v>
      </c>
      <c r="E79" s="1054">
        <v>9.0999999999999998E-2</v>
      </c>
      <c r="F79" s="1055">
        <v>0.1</v>
      </c>
    </row>
    <row r="80" spans="1:6" ht="15" thickBot="1">
      <c r="A80" s="830" t="s">
        <v>523</v>
      </c>
      <c r="B80" s="824" t="s">
        <v>229</v>
      </c>
      <c r="C80" s="1054">
        <v>9.6000000000000002E-2</v>
      </c>
      <c r="D80" s="1054">
        <v>9.6000000000000002E-2</v>
      </c>
      <c r="E80" s="1054">
        <v>0.1</v>
      </c>
      <c r="F80" s="1055">
        <v>0.1</v>
      </c>
    </row>
    <row r="81" spans="1:6" ht="15" thickBot="1">
      <c r="A81" s="830" t="s">
        <v>523</v>
      </c>
      <c r="B81" s="824" t="s">
        <v>240</v>
      </c>
      <c r="C81" s="1054">
        <v>9.9000000000000005E-2</v>
      </c>
      <c r="D81" s="1054">
        <v>9.9000000000000005E-2</v>
      </c>
      <c r="E81" s="1054">
        <v>9.8000000000000004E-2</v>
      </c>
      <c r="F81" s="1055">
        <v>0.1</v>
      </c>
    </row>
    <row r="82" spans="1:6" ht="15" thickBot="1">
      <c r="A82" s="830" t="s">
        <v>523</v>
      </c>
      <c r="B82" s="824" t="s">
        <v>251</v>
      </c>
      <c r="C82" s="1054">
        <v>9.9000000000000005E-2</v>
      </c>
      <c r="D82" s="1054">
        <v>9.9000000000000005E-2</v>
      </c>
      <c r="E82" s="1054">
        <v>9.7000000000000003E-2</v>
      </c>
      <c r="F82" s="1055">
        <v>0.1</v>
      </c>
    </row>
    <row r="83" spans="1:6" ht="15" thickBot="1">
      <c r="A83" s="830" t="s">
        <v>523</v>
      </c>
      <c r="B83" s="824" t="s">
        <v>262</v>
      </c>
      <c r="C83" s="1054">
        <v>9.8000000000000004E-2</v>
      </c>
      <c r="D83" s="1054">
        <v>9.8000000000000004E-2</v>
      </c>
      <c r="E83" s="1054">
        <v>9.8000000000000004E-2</v>
      </c>
      <c r="F83" s="1055">
        <v>0.1</v>
      </c>
    </row>
    <row r="84" spans="1:6" ht="15" thickBot="1">
      <c r="A84" s="830" t="s">
        <v>523</v>
      </c>
      <c r="B84" s="824" t="s">
        <v>274</v>
      </c>
      <c r="C84" s="1054">
        <v>9.9000000000000005E-2</v>
      </c>
      <c r="D84" s="1054">
        <v>9.9000000000000005E-2</v>
      </c>
      <c r="E84" s="1054">
        <v>9.9000000000000005E-2</v>
      </c>
      <c r="F84" s="1055">
        <v>0.1</v>
      </c>
    </row>
    <row r="85" spans="1:6" ht="15" thickBot="1">
      <c r="A85" s="830" t="s">
        <v>523</v>
      </c>
      <c r="B85" s="824" t="s">
        <v>284</v>
      </c>
      <c r="C85" s="1054">
        <v>9.9000000000000005E-2</v>
      </c>
      <c r="D85" s="1054">
        <v>9.9000000000000005E-2</v>
      </c>
      <c r="E85" s="1054">
        <v>9.9000000000000005E-2</v>
      </c>
      <c r="F85" s="1055">
        <v>0.1</v>
      </c>
    </row>
    <row r="86" spans="1:6" ht="15" thickBot="1">
      <c r="A86" s="830" t="s">
        <v>523</v>
      </c>
      <c r="B86" s="824" t="s">
        <v>294</v>
      </c>
      <c r="C86" s="1054">
        <v>0.1</v>
      </c>
      <c r="D86" s="1054">
        <v>0.1</v>
      </c>
      <c r="E86" s="1054">
        <v>7.6999999999999999E-2</v>
      </c>
      <c r="F86" s="1055">
        <v>0.1</v>
      </c>
    </row>
    <row r="87" spans="1:6" ht="15" thickBot="1">
      <c r="A87" s="830" t="s">
        <v>523</v>
      </c>
      <c r="B87" s="824" t="s">
        <v>304</v>
      </c>
      <c r="C87" s="1054">
        <v>0.1</v>
      </c>
      <c r="D87" s="1054">
        <v>0.1</v>
      </c>
      <c r="E87" s="1054">
        <v>9.8000000000000004E-2</v>
      </c>
      <c r="F87" s="1066"/>
    </row>
    <row r="88" spans="1:6" ht="15" thickBot="1">
      <c r="A88" s="830" t="s">
        <v>523</v>
      </c>
      <c r="B88" s="824" t="s">
        <v>314</v>
      </c>
      <c r="C88" s="1054">
        <v>9.1999999999999998E-2</v>
      </c>
      <c r="D88" s="1054">
        <v>8.5000000000000006E-2</v>
      </c>
      <c r="E88" s="1054">
        <v>9.6000000000000002E-2</v>
      </c>
      <c r="F88" s="1066"/>
    </row>
    <row r="89" spans="1:6" ht="15" thickBot="1">
      <c r="A89" s="830" t="s">
        <v>523</v>
      </c>
      <c r="B89" s="824" t="s">
        <v>325</v>
      </c>
      <c r="C89" s="1054">
        <v>0.1</v>
      </c>
      <c r="D89" s="1054">
        <v>0.1</v>
      </c>
      <c r="E89" s="1054">
        <v>9.7000000000000003E-2</v>
      </c>
      <c r="F89" s="1066"/>
    </row>
    <row r="90" spans="1:6" ht="15" thickBot="1">
      <c r="A90" s="830" t="s">
        <v>523</v>
      </c>
      <c r="B90" s="824" t="s">
        <v>336</v>
      </c>
      <c r="C90" s="1054">
        <v>9.8000000000000004E-2</v>
      </c>
      <c r="D90" s="1054">
        <v>9.8000000000000004E-2</v>
      </c>
      <c r="E90" s="1054">
        <v>8.7999999999999995E-2</v>
      </c>
      <c r="F90" s="1066"/>
    </row>
    <row r="91" spans="1:6" ht="15" thickBot="1">
      <c r="A91" s="830" t="s">
        <v>523</v>
      </c>
      <c r="B91" s="824" t="s">
        <v>346</v>
      </c>
      <c r="C91" s="1054">
        <v>9.9000000000000005E-2</v>
      </c>
      <c r="D91" s="1054">
        <v>9.9000000000000005E-2</v>
      </c>
      <c r="E91" s="1054">
        <v>9.0999999999999998E-2</v>
      </c>
      <c r="F91" s="1066"/>
    </row>
    <row r="92" spans="1:6" ht="15" thickBot="1">
      <c r="A92" s="830" t="s">
        <v>523</v>
      </c>
      <c r="B92" s="824" t="s">
        <v>356</v>
      </c>
      <c r="C92" s="1054">
        <v>9.6000000000000002E-2</v>
      </c>
      <c r="D92" s="1054">
        <v>9.6000000000000002E-2</v>
      </c>
      <c r="E92" s="1054">
        <v>7.2999999999999995E-2</v>
      </c>
      <c r="F92" s="1066"/>
    </row>
    <row r="93" spans="1:6" ht="15" thickBot="1">
      <c r="A93" s="830" t="s">
        <v>523</v>
      </c>
      <c r="B93" s="824" t="s">
        <v>366</v>
      </c>
      <c r="C93" s="1054">
        <v>9.6000000000000002E-2</v>
      </c>
      <c r="D93" s="1054">
        <v>9.6000000000000002E-2</v>
      </c>
      <c r="E93" s="1054">
        <v>9.9000000000000005E-2</v>
      </c>
      <c r="F93" s="1066"/>
    </row>
    <row r="94" spans="1:6" ht="15" thickBot="1">
      <c r="A94" s="830" t="s">
        <v>523</v>
      </c>
      <c r="B94" s="824" t="s">
        <v>376</v>
      </c>
      <c r="C94" s="1054">
        <v>7.5999999999999998E-2</v>
      </c>
      <c r="D94" s="1054">
        <v>7.3999999999999996E-2</v>
      </c>
      <c r="E94" s="1054">
        <v>9.7000000000000003E-2</v>
      </c>
      <c r="F94" s="1066"/>
    </row>
    <row r="95" spans="1:6" ht="15" thickBot="1">
      <c r="A95" s="830" t="s">
        <v>523</v>
      </c>
      <c r="B95" s="824" t="s">
        <v>385</v>
      </c>
      <c r="C95" s="1054">
        <v>9.9000000000000005E-2</v>
      </c>
      <c r="D95" s="1054">
        <v>9.4E-2</v>
      </c>
      <c r="E95" s="1054">
        <v>9.6000000000000002E-2</v>
      </c>
      <c r="F95" s="1066"/>
    </row>
    <row r="96" spans="1:6" ht="15" thickBot="1">
      <c r="A96" s="830" t="s">
        <v>523</v>
      </c>
      <c r="B96" s="824" t="s">
        <v>394</v>
      </c>
      <c r="C96" s="1054">
        <v>9.9000000000000005E-2</v>
      </c>
      <c r="D96" s="1054">
        <v>9.9000000000000005E-2</v>
      </c>
      <c r="E96" s="1054">
        <v>9.9000000000000005E-2</v>
      </c>
      <c r="F96" s="1066"/>
    </row>
    <row r="97" spans="1:6" ht="15" thickBot="1">
      <c r="A97" s="830" t="s">
        <v>523</v>
      </c>
      <c r="B97" s="824" t="s">
        <v>402</v>
      </c>
      <c r="C97" s="1054">
        <v>9.8000000000000004E-2</v>
      </c>
      <c r="D97" s="1054">
        <v>9.8000000000000004E-2</v>
      </c>
      <c r="E97" s="1054">
        <v>9.7000000000000003E-2</v>
      </c>
      <c r="F97" s="1066"/>
    </row>
    <row r="98" spans="1:6" ht="15" thickBot="1">
      <c r="A98" s="830" t="s">
        <v>523</v>
      </c>
      <c r="B98" s="824" t="s">
        <v>409</v>
      </c>
      <c r="C98" s="1054">
        <v>0.1</v>
      </c>
      <c r="D98" s="1054">
        <v>0.1</v>
      </c>
      <c r="E98" s="1054">
        <v>9.7000000000000003E-2</v>
      </c>
      <c r="F98" s="1066"/>
    </row>
    <row r="99" spans="1:6" ht="15" thickBot="1">
      <c r="A99" s="830" t="s">
        <v>523</v>
      </c>
      <c r="B99" s="824" t="s">
        <v>416</v>
      </c>
      <c r="C99" s="1054">
        <v>0.1</v>
      </c>
      <c r="D99" s="1054">
        <v>0.1</v>
      </c>
      <c r="E99" s="1067"/>
      <c r="F99" s="1066"/>
    </row>
    <row r="100" spans="1:6" ht="15" thickBot="1">
      <c r="A100" s="830" t="s">
        <v>523</v>
      </c>
      <c r="B100" s="824" t="s">
        <v>423</v>
      </c>
      <c r="C100" s="1054">
        <v>0.09</v>
      </c>
      <c r="D100" s="1054">
        <v>8.8999999999999996E-2</v>
      </c>
      <c r="E100" s="1067"/>
      <c r="F100" s="1066"/>
    </row>
    <row r="101" spans="1:6" ht="15" thickBot="1">
      <c r="A101" s="830" t="s">
        <v>523</v>
      </c>
      <c r="B101" s="824" t="s">
        <v>430</v>
      </c>
      <c r="C101" s="1054">
        <v>9.8000000000000004E-2</v>
      </c>
      <c r="D101" s="1054">
        <v>9.7000000000000003E-2</v>
      </c>
      <c r="E101" s="1067"/>
      <c r="F101" s="1066"/>
    </row>
    <row r="102" spans="1:6" ht="24.6" thickBot="1">
      <c r="A102" s="830" t="s">
        <v>523</v>
      </c>
      <c r="B102" s="824" t="s">
        <v>887</v>
      </c>
      <c r="C102" s="1067"/>
      <c r="D102" s="1067"/>
      <c r="E102" s="1067"/>
      <c r="F102" s="1055">
        <v>0.05</v>
      </c>
    </row>
    <row r="103" spans="1:6" ht="24.6" thickBot="1">
      <c r="A103" s="830" t="s">
        <v>523</v>
      </c>
      <c r="B103" s="824" t="s">
        <v>888</v>
      </c>
      <c r="C103" s="1067"/>
      <c r="D103" s="1067"/>
      <c r="E103" s="1067"/>
      <c r="F103" s="1055">
        <v>0.05</v>
      </c>
    </row>
    <row r="104" spans="1:6" ht="15" thickBot="1">
      <c r="A104" s="830" t="s">
        <v>523</v>
      </c>
      <c r="B104" s="824" t="s">
        <v>889</v>
      </c>
      <c r="C104" s="1067"/>
      <c r="D104" s="1067"/>
      <c r="E104" s="1067"/>
      <c r="F104" s="1055">
        <v>0.05</v>
      </c>
    </row>
    <row r="105" spans="1:6" ht="24.6" thickBot="1">
      <c r="A105" s="830" t="s">
        <v>523</v>
      </c>
      <c r="B105" s="824" t="s">
        <v>890</v>
      </c>
      <c r="C105" s="1067"/>
      <c r="D105" s="1067"/>
      <c r="E105" s="1067"/>
      <c r="F105" s="1055">
        <v>0.05</v>
      </c>
    </row>
    <row r="106" spans="1:6" ht="24.6" thickBot="1">
      <c r="A106" s="830" t="s">
        <v>523</v>
      </c>
      <c r="B106" s="824" t="s">
        <v>891</v>
      </c>
      <c r="C106" s="1067"/>
      <c r="D106" s="1067"/>
      <c r="E106" s="1067"/>
      <c r="F106" s="1055">
        <v>0.05</v>
      </c>
    </row>
    <row r="107" spans="1:6" ht="24.6" thickBot="1">
      <c r="A107" s="830" t="s">
        <v>523</v>
      </c>
      <c r="B107" s="824" t="s">
        <v>892</v>
      </c>
      <c r="C107" s="1067"/>
      <c r="D107" s="1067"/>
      <c r="E107" s="1067"/>
      <c r="F107" s="1055">
        <v>0.05</v>
      </c>
    </row>
    <row r="108" spans="1:6" ht="24.6" thickBot="1">
      <c r="A108" s="830" t="s">
        <v>523</v>
      </c>
      <c r="B108" s="824" t="s">
        <v>893</v>
      </c>
      <c r="C108" s="1067"/>
      <c r="D108" s="1067"/>
      <c r="E108" s="1067"/>
      <c r="F108" s="1055">
        <v>0.05</v>
      </c>
    </row>
    <row r="109" spans="1:6" ht="24.6" thickBot="1">
      <c r="A109" s="840" t="s">
        <v>523</v>
      </c>
      <c r="B109" s="836" t="s">
        <v>894</v>
      </c>
      <c r="C109" s="1064"/>
      <c r="D109" s="1064"/>
      <c r="E109" s="1064"/>
      <c r="F109" s="1057">
        <v>0.05</v>
      </c>
    </row>
    <row r="110" spans="1:6" ht="15" thickBot="1">
      <c r="A110" s="830" t="s">
        <v>56</v>
      </c>
      <c r="B110" s="831" t="s">
        <v>895</v>
      </c>
      <c r="C110" s="1052">
        <v>0.129</v>
      </c>
      <c r="D110" s="1052">
        <v>0.129</v>
      </c>
      <c r="E110" s="1052">
        <v>0.126</v>
      </c>
      <c r="F110" s="1053">
        <v>0.13</v>
      </c>
    </row>
    <row r="111" spans="1:6" ht="15" thickBot="1">
      <c r="A111" s="830" t="s">
        <v>56</v>
      </c>
      <c r="B111" s="824" t="s">
        <v>192</v>
      </c>
      <c r="C111" s="1054">
        <v>0.11</v>
      </c>
      <c r="D111" s="1054">
        <v>0.11</v>
      </c>
      <c r="E111" s="1054">
        <v>9.9000000000000005E-2</v>
      </c>
      <c r="F111" s="1055">
        <v>0.128</v>
      </c>
    </row>
    <row r="112" spans="1:6" ht="15" thickBot="1">
      <c r="A112" s="830" t="s">
        <v>56</v>
      </c>
      <c r="B112" s="824" t="s">
        <v>205</v>
      </c>
      <c r="C112" s="1054">
        <v>0.125</v>
      </c>
      <c r="D112" s="1054">
        <v>0.125</v>
      </c>
      <c r="E112" s="1054">
        <v>0.12</v>
      </c>
      <c r="F112" s="1055">
        <v>0.125</v>
      </c>
    </row>
    <row r="113" spans="1:6" ht="15" thickBot="1">
      <c r="A113" s="830" t="s">
        <v>56</v>
      </c>
      <c r="B113" s="824" t="s">
        <v>218</v>
      </c>
      <c r="C113" s="1054">
        <v>0.13</v>
      </c>
      <c r="D113" s="1054">
        <v>0.13</v>
      </c>
      <c r="E113" s="1054">
        <v>0.13</v>
      </c>
      <c r="F113" s="1055">
        <v>0.13</v>
      </c>
    </row>
    <row r="114" spans="1:6" ht="15" thickBot="1">
      <c r="A114" s="830" t="s">
        <v>56</v>
      </c>
      <c r="B114" s="824" t="s">
        <v>230</v>
      </c>
      <c r="C114" s="1054">
        <v>0.123</v>
      </c>
      <c r="D114" s="1054">
        <v>0.123</v>
      </c>
      <c r="E114" s="1054">
        <v>0.12</v>
      </c>
      <c r="F114" s="1055">
        <v>0.13</v>
      </c>
    </row>
    <row r="115" spans="1:6" ht="15" thickBot="1">
      <c r="A115" s="830" t="s">
        <v>56</v>
      </c>
      <c r="B115" s="824" t="s">
        <v>241</v>
      </c>
      <c r="C115" s="1054">
        <v>0.125</v>
      </c>
      <c r="D115" s="1054">
        <v>0.125</v>
      </c>
      <c r="E115" s="1054">
        <v>0.11700000000000001</v>
      </c>
      <c r="F115" s="1055">
        <v>0.13</v>
      </c>
    </row>
    <row r="116" spans="1:6" ht="15" thickBot="1">
      <c r="A116" s="830" t="s">
        <v>56</v>
      </c>
      <c r="B116" s="824" t="s">
        <v>252</v>
      </c>
      <c r="C116" s="1054">
        <v>0.11700000000000001</v>
      </c>
      <c r="D116" s="1054">
        <v>0.11700000000000001</v>
      </c>
      <c r="E116" s="1054">
        <v>8.7999999999999995E-2</v>
      </c>
      <c r="F116" s="1055">
        <v>0.13</v>
      </c>
    </row>
    <row r="117" spans="1:6" ht="15" thickBot="1">
      <c r="A117" s="830" t="s">
        <v>56</v>
      </c>
      <c r="B117" s="824" t="s">
        <v>263</v>
      </c>
      <c r="C117" s="1054">
        <v>0.13</v>
      </c>
      <c r="D117" s="1054">
        <v>0.13</v>
      </c>
      <c r="E117" s="1054">
        <v>0.129</v>
      </c>
      <c r="F117" s="1055">
        <v>0.13</v>
      </c>
    </row>
    <row r="118" spans="1:6" ht="15" thickBot="1">
      <c r="A118" s="830" t="s">
        <v>56</v>
      </c>
      <c r="B118" s="824" t="s">
        <v>275</v>
      </c>
      <c r="C118" s="1054">
        <v>0.123</v>
      </c>
      <c r="D118" s="1054">
        <v>0.123</v>
      </c>
      <c r="E118" s="1054">
        <v>0.11600000000000001</v>
      </c>
      <c r="F118" s="1055">
        <v>0.13</v>
      </c>
    </row>
    <row r="119" spans="1:6" ht="15" thickBot="1">
      <c r="A119" s="830" t="s">
        <v>56</v>
      </c>
      <c r="B119" s="824" t="s">
        <v>285</v>
      </c>
      <c r="C119" s="1054">
        <v>0.127</v>
      </c>
      <c r="D119" s="1054">
        <v>0.127</v>
      </c>
      <c r="E119" s="1054">
        <v>0.124</v>
      </c>
      <c r="F119" s="1055">
        <v>0.13</v>
      </c>
    </row>
    <row r="120" spans="1:6" ht="15" thickBot="1">
      <c r="A120" s="830" t="s">
        <v>56</v>
      </c>
      <c r="B120" s="824" t="s">
        <v>295</v>
      </c>
      <c r="C120" s="1054">
        <v>0.125</v>
      </c>
      <c r="D120" s="1054">
        <v>0.125</v>
      </c>
      <c r="E120" s="1054">
        <v>0.122</v>
      </c>
      <c r="F120" s="1055">
        <v>0.13</v>
      </c>
    </row>
    <row r="121" spans="1:6" ht="15" thickBot="1">
      <c r="A121" s="830" t="s">
        <v>56</v>
      </c>
      <c r="B121" s="824" t="s">
        <v>305</v>
      </c>
      <c r="C121" s="1054">
        <v>0.13</v>
      </c>
      <c r="D121" s="1054">
        <v>0.13</v>
      </c>
      <c r="E121" s="1054">
        <v>0.13</v>
      </c>
      <c r="F121" s="1055">
        <v>0.13</v>
      </c>
    </row>
    <row r="122" spans="1:6" ht="15" thickBot="1">
      <c r="A122" s="830" t="s">
        <v>56</v>
      </c>
      <c r="B122" s="824" t="s">
        <v>315</v>
      </c>
      <c r="C122" s="1054">
        <v>0.13</v>
      </c>
      <c r="D122" s="1054">
        <v>0.13</v>
      </c>
      <c r="E122" s="1054">
        <v>0.125</v>
      </c>
      <c r="F122" s="1055">
        <v>0.13</v>
      </c>
    </row>
    <row r="123" spans="1:6" ht="15" thickBot="1">
      <c r="A123" s="830" t="s">
        <v>56</v>
      </c>
      <c r="B123" s="824" t="s">
        <v>326</v>
      </c>
      <c r="C123" s="1054">
        <v>0.129</v>
      </c>
      <c r="D123" s="1054">
        <v>0.129</v>
      </c>
      <c r="E123" s="1054">
        <v>0.123</v>
      </c>
      <c r="F123" s="1055">
        <v>0.13</v>
      </c>
    </row>
    <row r="124" spans="1:6" ht="15" thickBot="1">
      <c r="A124" s="830" t="s">
        <v>56</v>
      </c>
      <c r="B124" s="824" t="s">
        <v>337</v>
      </c>
      <c r="C124" s="1054">
        <v>0.10199999999999999</v>
      </c>
      <c r="D124" s="1054">
        <v>0.10100000000000001</v>
      </c>
      <c r="E124" s="1054">
        <v>0.08</v>
      </c>
      <c r="F124" s="1066"/>
    </row>
    <row r="125" spans="1:6" ht="15" thickBot="1">
      <c r="A125" s="830" t="s">
        <v>56</v>
      </c>
      <c r="B125" s="824" t="s">
        <v>347</v>
      </c>
      <c r="C125" s="1054">
        <v>0.13</v>
      </c>
      <c r="D125" s="1054">
        <v>0.13</v>
      </c>
      <c r="E125" s="1054">
        <v>0.129</v>
      </c>
      <c r="F125" s="1066"/>
    </row>
    <row r="126" spans="1:6" ht="15" thickBot="1">
      <c r="A126" s="830" t="s">
        <v>56</v>
      </c>
      <c r="B126" s="824" t="s">
        <v>357</v>
      </c>
      <c r="C126" s="1054">
        <v>0.13</v>
      </c>
      <c r="D126" s="1054">
        <v>0.13</v>
      </c>
      <c r="E126" s="1054">
        <v>0.126</v>
      </c>
      <c r="F126" s="1066"/>
    </row>
    <row r="127" spans="1:6" ht="15" thickBot="1">
      <c r="A127" s="830" t="s">
        <v>56</v>
      </c>
      <c r="B127" s="824" t="s">
        <v>367</v>
      </c>
      <c r="C127" s="1054">
        <v>0.125</v>
      </c>
      <c r="D127" s="1054">
        <v>0.125</v>
      </c>
      <c r="E127" s="1054">
        <v>0.121</v>
      </c>
      <c r="F127" s="1066"/>
    </row>
    <row r="128" spans="1:6" ht="15" thickBot="1">
      <c r="A128" s="830" t="s">
        <v>56</v>
      </c>
      <c r="B128" s="824" t="s">
        <v>377</v>
      </c>
      <c r="C128" s="1054">
        <v>0.12</v>
      </c>
      <c r="D128" s="1054">
        <v>0.12</v>
      </c>
      <c r="E128" s="1054">
        <v>0.105</v>
      </c>
      <c r="F128" s="1066"/>
    </row>
    <row r="129" spans="1:6" ht="15" thickBot="1">
      <c r="A129" s="830" t="s">
        <v>56</v>
      </c>
      <c r="B129" s="824" t="s">
        <v>386</v>
      </c>
      <c r="C129" s="1054">
        <v>0.13</v>
      </c>
      <c r="D129" s="1054">
        <v>0.13</v>
      </c>
      <c r="E129" s="1054">
        <v>0.126</v>
      </c>
      <c r="F129" s="1066"/>
    </row>
    <row r="130" spans="1:6" ht="15" thickBot="1">
      <c r="A130" s="830" t="s">
        <v>56</v>
      </c>
      <c r="B130" s="824" t="s">
        <v>395</v>
      </c>
      <c r="C130" s="1054">
        <v>0.125</v>
      </c>
      <c r="D130" s="1054">
        <v>0.125</v>
      </c>
      <c r="E130" s="1054">
        <v>0.122</v>
      </c>
      <c r="F130" s="1066"/>
    </row>
    <row r="131" spans="1:6" ht="15" thickBot="1">
      <c r="A131" s="830" t="s">
        <v>56</v>
      </c>
      <c r="B131" s="824" t="s">
        <v>403</v>
      </c>
      <c r="C131" s="1054">
        <v>0.127</v>
      </c>
      <c r="D131" s="1054">
        <v>0.126</v>
      </c>
      <c r="E131" s="1054">
        <v>0.123</v>
      </c>
      <c r="F131" s="1066"/>
    </row>
    <row r="132" spans="1:6" ht="15" thickBot="1">
      <c r="A132" s="830" t="s">
        <v>56</v>
      </c>
      <c r="B132" s="824" t="s">
        <v>410</v>
      </c>
      <c r="C132" s="1054">
        <v>9.0999999999999998E-2</v>
      </c>
      <c r="D132" s="1054">
        <v>0.121</v>
      </c>
      <c r="E132" s="1054">
        <v>9.9000000000000005E-2</v>
      </c>
      <c r="F132" s="1066"/>
    </row>
    <row r="133" spans="1:6" ht="15" thickBot="1">
      <c r="A133" s="830" t="s">
        <v>56</v>
      </c>
      <c r="B133" s="824" t="s">
        <v>417</v>
      </c>
      <c r="C133" s="1054">
        <v>0.13</v>
      </c>
      <c r="D133" s="1054">
        <v>0.13</v>
      </c>
      <c r="E133" s="1054">
        <v>0.129</v>
      </c>
      <c r="F133" s="1066"/>
    </row>
    <row r="134" spans="1:6" ht="15" thickBot="1">
      <c r="A134" s="830" t="s">
        <v>56</v>
      </c>
      <c r="B134" s="824" t="s">
        <v>896</v>
      </c>
      <c r="C134" s="1054">
        <v>6.8000000000000005E-2</v>
      </c>
      <c r="D134" s="1054">
        <v>6.5000000000000002E-2</v>
      </c>
      <c r="E134" s="1054">
        <v>6.5000000000000002E-2</v>
      </c>
      <c r="F134" s="1055">
        <v>0.13</v>
      </c>
    </row>
    <row r="135" spans="1:6" ht="15" thickBot="1">
      <c r="A135" s="830" t="s">
        <v>56</v>
      </c>
      <c r="B135" s="824" t="s">
        <v>431</v>
      </c>
      <c r="C135" s="1054">
        <v>0.123</v>
      </c>
      <c r="D135" s="1054">
        <v>0.123</v>
      </c>
      <c r="E135" s="1054">
        <v>0.11</v>
      </c>
      <c r="F135" s="1066"/>
    </row>
    <row r="136" spans="1:6" ht="15" thickBot="1">
      <c r="A136" s="830" t="s">
        <v>56</v>
      </c>
      <c r="B136" s="824" t="s">
        <v>438</v>
      </c>
      <c r="C136" s="1054">
        <v>0.13</v>
      </c>
      <c r="D136" s="1054">
        <v>0.13</v>
      </c>
      <c r="E136" s="1054">
        <v>0.125</v>
      </c>
      <c r="F136" s="1066"/>
    </row>
    <row r="137" spans="1:6" ht="15" thickBot="1">
      <c r="A137" s="830" t="s">
        <v>56</v>
      </c>
      <c r="B137" s="824" t="s">
        <v>445</v>
      </c>
      <c r="C137" s="1054">
        <v>0.121</v>
      </c>
      <c r="D137" s="1054">
        <v>0.122</v>
      </c>
      <c r="E137" s="1054">
        <v>0.115</v>
      </c>
      <c r="F137" s="1066"/>
    </row>
    <row r="138" spans="1:6" ht="15" thickBot="1">
      <c r="A138" s="830" t="s">
        <v>56</v>
      </c>
      <c r="B138" s="824" t="s">
        <v>897</v>
      </c>
      <c r="C138" s="1054">
        <v>0.105</v>
      </c>
      <c r="D138" s="1054">
        <v>0.125</v>
      </c>
      <c r="E138" s="1054">
        <v>0.112</v>
      </c>
      <c r="F138" s="1066"/>
    </row>
    <row r="139" spans="1:6" ht="15" thickBot="1">
      <c r="A139" s="830" t="s">
        <v>56</v>
      </c>
      <c r="B139" s="824" t="s">
        <v>898</v>
      </c>
      <c r="C139" s="1054">
        <v>0.127</v>
      </c>
      <c r="D139" s="1054">
        <v>0.127</v>
      </c>
      <c r="E139" s="1054">
        <v>0.122</v>
      </c>
      <c r="F139" s="1055">
        <v>0.13</v>
      </c>
    </row>
    <row r="140" spans="1:6" ht="15" thickBot="1">
      <c r="A140" s="830" t="s">
        <v>56</v>
      </c>
      <c r="B140" s="824" t="s">
        <v>899</v>
      </c>
      <c r="C140" s="1054">
        <v>0.125</v>
      </c>
      <c r="D140" s="1054">
        <v>0.125</v>
      </c>
      <c r="E140" s="1054">
        <v>0.11899999999999999</v>
      </c>
      <c r="F140" s="1055">
        <v>0.13</v>
      </c>
    </row>
    <row r="141" spans="1:6" ht="15" thickBot="1">
      <c r="A141" s="830" t="s">
        <v>56</v>
      </c>
      <c r="B141" s="824" t="s">
        <v>464</v>
      </c>
      <c r="C141" s="1054">
        <v>0.125</v>
      </c>
      <c r="D141" s="1054">
        <v>0.125</v>
      </c>
      <c r="E141" s="1054">
        <v>0.11700000000000001</v>
      </c>
      <c r="F141" s="1066"/>
    </row>
    <row r="142" spans="1:6" ht="15" thickBot="1">
      <c r="A142" s="830" t="s">
        <v>56</v>
      </c>
      <c r="B142" s="824" t="s">
        <v>469</v>
      </c>
      <c r="C142" s="1054">
        <v>0.125</v>
      </c>
      <c r="D142" s="1054">
        <v>0.125</v>
      </c>
      <c r="E142" s="1054">
        <v>0.115</v>
      </c>
      <c r="F142" s="1066"/>
    </row>
    <row r="143" spans="1:6" ht="15" thickBot="1">
      <c r="A143" s="830" t="s">
        <v>56</v>
      </c>
      <c r="B143" s="824" t="s">
        <v>474</v>
      </c>
      <c r="C143" s="1054">
        <v>0.121</v>
      </c>
      <c r="D143" s="1054">
        <v>0.121</v>
      </c>
      <c r="E143" s="1054">
        <v>0.108</v>
      </c>
      <c r="F143" s="1066"/>
    </row>
    <row r="144" spans="1:6" ht="15" thickBot="1">
      <c r="A144" s="830" t="s">
        <v>56</v>
      </c>
      <c r="B144" s="1058" t="s">
        <v>900</v>
      </c>
      <c r="C144" s="1059">
        <v>0.126</v>
      </c>
      <c r="D144" s="1059">
        <v>0.126</v>
      </c>
      <c r="E144" s="1059">
        <v>0.121</v>
      </c>
      <c r="F144" s="1066"/>
    </row>
    <row r="145" spans="1:6" ht="15" thickBot="1">
      <c r="A145" s="840" t="s">
        <v>56</v>
      </c>
      <c r="B145" s="1060" t="s">
        <v>901</v>
      </c>
      <c r="C145" s="1068"/>
      <c r="D145" s="1068"/>
      <c r="E145" s="1068"/>
      <c r="F145" s="1061">
        <v>0.05</v>
      </c>
    </row>
    <row r="146" spans="1:6" ht="24.6" thickBot="1">
      <c r="A146" s="1062" t="s">
        <v>56</v>
      </c>
      <c r="B146" s="834" t="s">
        <v>902</v>
      </c>
      <c r="C146" s="1067"/>
      <c r="D146" s="1067"/>
      <c r="E146" s="1067"/>
      <c r="F146" s="1063">
        <v>0.05</v>
      </c>
    </row>
    <row r="147" spans="1:6" ht="24.6" thickBot="1">
      <c r="A147" s="830" t="s">
        <v>56</v>
      </c>
      <c r="B147" s="824" t="s">
        <v>903</v>
      </c>
      <c r="C147" s="1067"/>
      <c r="D147" s="1067"/>
      <c r="E147" s="1067"/>
      <c r="F147" s="1055">
        <v>0.05</v>
      </c>
    </row>
    <row r="148" spans="1:6" ht="24.6" thickBot="1">
      <c r="A148" s="830" t="s">
        <v>56</v>
      </c>
      <c r="B148" s="824" t="s">
        <v>904</v>
      </c>
      <c r="C148" s="1067"/>
      <c r="D148" s="1067"/>
      <c r="E148" s="1067"/>
      <c r="F148" s="1055">
        <v>0.05</v>
      </c>
    </row>
    <row r="149" spans="1:6" ht="24.6" thickBot="1">
      <c r="A149" s="830" t="s">
        <v>56</v>
      </c>
      <c r="B149" s="824" t="s">
        <v>905</v>
      </c>
      <c r="C149" s="1067"/>
      <c r="D149" s="1067"/>
      <c r="E149" s="1067"/>
      <c r="F149" s="1055">
        <v>0.05</v>
      </c>
    </row>
    <row r="150" spans="1:6" ht="24.6" thickBot="1">
      <c r="A150" s="830" t="s">
        <v>56</v>
      </c>
      <c r="B150" s="824" t="s">
        <v>906</v>
      </c>
      <c r="C150" s="1067"/>
      <c r="D150" s="1067"/>
      <c r="E150" s="1067"/>
      <c r="F150" s="1055">
        <v>0.05</v>
      </c>
    </row>
    <row r="151" spans="1:6" ht="24.6" thickBot="1">
      <c r="A151" s="830" t="s">
        <v>56</v>
      </c>
      <c r="B151" s="824" t="s">
        <v>907</v>
      </c>
      <c r="C151" s="1067"/>
      <c r="D151" s="1067"/>
      <c r="E151" s="1067"/>
      <c r="F151" s="1055">
        <v>0.05</v>
      </c>
    </row>
    <row r="152" spans="1:6" ht="24.6" thickBot="1">
      <c r="A152" s="830" t="s">
        <v>56</v>
      </c>
      <c r="B152" s="824" t="s">
        <v>507</v>
      </c>
      <c r="C152" s="1067"/>
      <c r="D152" s="1067"/>
      <c r="E152" s="1067"/>
      <c r="F152" s="1055">
        <v>0.05</v>
      </c>
    </row>
    <row r="153" spans="1:6" ht="15" thickBot="1">
      <c r="A153" s="830" t="s">
        <v>56</v>
      </c>
      <c r="B153" s="824" t="s">
        <v>908</v>
      </c>
      <c r="C153" s="1067"/>
      <c r="D153" s="1067"/>
      <c r="E153" s="1067"/>
      <c r="F153" s="1055">
        <v>0.05</v>
      </c>
    </row>
    <row r="154" spans="1:6" ht="15" thickBot="1">
      <c r="A154" s="830" t="s">
        <v>56</v>
      </c>
      <c r="B154" s="824" t="s">
        <v>909</v>
      </c>
      <c r="C154" s="1067"/>
      <c r="D154" s="1067"/>
      <c r="E154" s="1067"/>
      <c r="F154" s="1055">
        <v>0.05</v>
      </c>
    </row>
    <row r="155" spans="1:6" ht="24.6" thickBot="1">
      <c r="A155" s="830" t="s">
        <v>56</v>
      </c>
      <c r="B155" s="824" t="s">
        <v>910</v>
      </c>
      <c r="C155" s="1067"/>
      <c r="D155" s="1067"/>
      <c r="E155" s="1067"/>
      <c r="F155" s="1055">
        <v>0.05</v>
      </c>
    </row>
    <row r="156" spans="1:6" ht="24.6" thickBot="1">
      <c r="A156" s="830" t="s">
        <v>56</v>
      </c>
      <c r="B156" s="824" t="s">
        <v>911</v>
      </c>
      <c r="C156" s="1067"/>
      <c r="D156" s="1067"/>
      <c r="E156" s="1067"/>
      <c r="F156" s="1055">
        <v>0.05</v>
      </c>
    </row>
    <row r="157" spans="1:6" ht="24.6" thickBot="1">
      <c r="A157" s="840" t="s">
        <v>56</v>
      </c>
      <c r="B157" s="836" t="s">
        <v>912</v>
      </c>
      <c r="C157" s="1064"/>
      <c r="D157" s="1064"/>
      <c r="E157" s="1064"/>
      <c r="F157" s="1057">
        <v>0.05</v>
      </c>
    </row>
    <row r="158" spans="1:6" ht="15" thickBot="1">
      <c r="A158" s="830" t="s">
        <v>526</v>
      </c>
      <c r="B158" s="831" t="s">
        <v>913</v>
      </c>
      <c r="C158" s="1052">
        <v>0.13</v>
      </c>
      <c r="D158" s="1052">
        <v>0.13</v>
      </c>
      <c r="E158" s="1052">
        <v>0.13</v>
      </c>
      <c r="F158" s="1053">
        <v>0.13</v>
      </c>
    </row>
    <row r="159" spans="1:6" ht="15" thickBot="1">
      <c r="A159" s="830" t="s">
        <v>526</v>
      </c>
      <c r="B159" s="824" t="s">
        <v>193</v>
      </c>
      <c r="C159" s="1054">
        <v>0.13</v>
      </c>
      <c r="D159" s="1054">
        <v>0.13</v>
      </c>
      <c r="E159" s="1054">
        <v>0.13</v>
      </c>
      <c r="F159" s="1055">
        <v>0.13</v>
      </c>
    </row>
    <row r="160" spans="1:6" ht="15" thickBot="1">
      <c r="A160" s="830" t="s">
        <v>526</v>
      </c>
      <c r="B160" s="824" t="s">
        <v>206</v>
      </c>
      <c r="C160" s="1054">
        <v>0.13</v>
      </c>
      <c r="D160" s="1054">
        <v>0.13</v>
      </c>
      <c r="E160" s="1054">
        <v>0.129</v>
      </c>
      <c r="F160" s="1055">
        <v>0.13</v>
      </c>
    </row>
    <row r="161" spans="1:6" ht="15" thickBot="1">
      <c r="A161" s="830" t="s">
        <v>526</v>
      </c>
      <c r="B161" s="824" t="s">
        <v>219</v>
      </c>
      <c r="C161" s="1054">
        <v>0.128</v>
      </c>
      <c r="D161" s="1054">
        <v>0.128</v>
      </c>
      <c r="E161" s="1054">
        <v>0.125</v>
      </c>
      <c r="F161" s="1055">
        <v>0.13</v>
      </c>
    </row>
    <row r="162" spans="1:6" ht="15" thickBot="1">
      <c r="A162" s="830" t="s">
        <v>526</v>
      </c>
      <c r="B162" s="824" t="s">
        <v>231</v>
      </c>
      <c r="C162" s="1054">
        <v>0.122</v>
      </c>
      <c r="D162" s="1054">
        <v>0.122</v>
      </c>
      <c r="E162" s="1054">
        <v>0.126</v>
      </c>
      <c r="F162" s="1055">
        <v>0.122</v>
      </c>
    </row>
    <row r="163" spans="1:6" ht="15" thickBot="1">
      <c r="A163" s="830" t="s">
        <v>526</v>
      </c>
      <c r="B163" s="824" t="s">
        <v>242</v>
      </c>
      <c r="C163" s="1054">
        <v>0.13</v>
      </c>
      <c r="D163" s="1054">
        <v>0.13</v>
      </c>
      <c r="E163" s="1054">
        <v>0.125</v>
      </c>
      <c r="F163" s="1055">
        <v>0.13</v>
      </c>
    </row>
    <row r="164" spans="1:6" ht="15" thickBot="1">
      <c r="A164" s="830" t="s">
        <v>526</v>
      </c>
      <c r="B164" s="824" t="s">
        <v>253</v>
      </c>
      <c r="C164" s="1054">
        <v>0.13</v>
      </c>
      <c r="D164" s="1054">
        <v>0.13</v>
      </c>
      <c r="E164" s="1054">
        <v>0.13</v>
      </c>
      <c r="F164" s="1055">
        <v>0.13</v>
      </c>
    </row>
    <row r="165" spans="1:6" ht="15" thickBot="1">
      <c r="A165" s="830" t="s">
        <v>526</v>
      </c>
      <c r="B165" s="824" t="s">
        <v>264</v>
      </c>
      <c r="C165" s="1054">
        <v>0.13</v>
      </c>
      <c r="D165" s="1054">
        <v>0.13</v>
      </c>
      <c r="E165" s="1054">
        <v>0.124</v>
      </c>
      <c r="F165" s="1055">
        <v>0.13</v>
      </c>
    </row>
    <row r="166" spans="1:6" ht="15" thickBot="1">
      <c r="A166" s="830" t="s">
        <v>526</v>
      </c>
      <c r="B166" s="824" t="s">
        <v>276</v>
      </c>
      <c r="C166" s="1054">
        <v>0.13</v>
      </c>
      <c r="D166" s="1054">
        <v>0.13</v>
      </c>
      <c r="E166" s="1054">
        <v>0.13</v>
      </c>
      <c r="F166" s="1055">
        <v>0.13</v>
      </c>
    </row>
    <row r="167" spans="1:6" ht="15" thickBot="1">
      <c r="A167" s="830" t="s">
        <v>526</v>
      </c>
      <c r="B167" s="824" t="s">
        <v>286</v>
      </c>
      <c r="C167" s="1054">
        <v>0.125</v>
      </c>
      <c r="D167" s="1054">
        <v>0.125</v>
      </c>
      <c r="E167" s="1054">
        <v>0.121</v>
      </c>
      <c r="F167" s="1066"/>
    </row>
    <row r="168" spans="1:6" ht="15" thickBot="1">
      <c r="A168" s="830" t="s">
        <v>526</v>
      </c>
      <c r="B168" s="824" t="s">
        <v>296</v>
      </c>
      <c r="C168" s="1054">
        <v>0.13</v>
      </c>
      <c r="D168" s="1054">
        <v>0.13</v>
      </c>
      <c r="E168" s="1054">
        <v>0.126</v>
      </c>
      <c r="F168" s="1066"/>
    </row>
    <row r="169" spans="1:6" ht="15" thickBot="1">
      <c r="A169" s="830" t="s">
        <v>526</v>
      </c>
      <c r="B169" s="824" t="s">
        <v>306</v>
      </c>
      <c r="C169" s="1054">
        <v>0.128</v>
      </c>
      <c r="D169" s="1054">
        <v>0.129</v>
      </c>
      <c r="E169" s="1054">
        <v>0.13</v>
      </c>
      <c r="F169" s="1066"/>
    </row>
    <row r="170" spans="1:6" ht="15" thickBot="1">
      <c r="A170" s="830" t="s">
        <v>526</v>
      </c>
      <c r="B170" s="824" t="s">
        <v>316</v>
      </c>
      <c r="C170" s="1054">
        <v>0.14099999999999999</v>
      </c>
      <c r="D170" s="1054">
        <v>0.13</v>
      </c>
      <c r="E170" s="1054">
        <v>0.125</v>
      </c>
      <c r="F170" s="1066"/>
    </row>
    <row r="171" spans="1:6" ht="15" thickBot="1">
      <c r="A171" s="830" t="s">
        <v>526</v>
      </c>
      <c r="B171" s="824" t="s">
        <v>914</v>
      </c>
      <c r="C171" s="1054">
        <v>0.127</v>
      </c>
      <c r="D171" s="1054">
        <v>0.126</v>
      </c>
      <c r="E171" s="1054">
        <v>0.126</v>
      </c>
      <c r="F171" s="1055">
        <v>0.11799999999999999</v>
      </c>
    </row>
    <row r="172" spans="1:6" ht="15" thickBot="1">
      <c r="A172" s="830" t="s">
        <v>526</v>
      </c>
      <c r="B172" s="824" t="s">
        <v>915</v>
      </c>
      <c r="C172" s="1054">
        <v>0.13</v>
      </c>
      <c r="D172" s="1054">
        <v>0.13</v>
      </c>
      <c r="E172" s="1054">
        <v>0.13</v>
      </c>
      <c r="F172" s="1066"/>
    </row>
    <row r="173" spans="1:6" ht="15" thickBot="1">
      <c r="A173" s="830" t="s">
        <v>526</v>
      </c>
      <c r="B173" s="824" t="s">
        <v>348</v>
      </c>
      <c r="C173" s="1054">
        <v>0.13</v>
      </c>
      <c r="D173" s="1054">
        <v>0.13</v>
      </c>
      <c r="E173" s="1054">
        <v>0.13</v>
      </c>
      <c r="F173" s="1066"/>
    </row>
    <row r="174" spans="1:6" ht="15" thickBot="1">
      <c r="A174" s="830" t="s">
        <v>526</v>
      </c>
      <c r="B174" s="824" t="s">
        <v>916</v>
      </c>
      <c r="C174" s="1054">
        <v>0.13</v>
      </c>
      <c r="D174" s="1054">
        <v>0.13</v>
      </c>
      <c r="E174" s="1054">
        <v>0.13</v>
      </c>
      <c r="F174" s="1055">
        <v>0.13</v>
      </c>
    </row>
    <row r="175" spans="1:6" ht="15" thickBot="1">
      <c r="A175" s="830" t="s">
        <v>526</v>
      </c>
      <c r="B175" s="824" t="s">
        <v>917</v>
      </c>
      <c r="C175" s="1054">
        <v>0.13</v>
      </c>
      <c r="D175" s="1054">
        <v>0.13</v>
      </c>
      <c r="E175" s="1054">
        <v>0.13</v>
      </c>
      <c r="F175" s="1055">
        <v>0.13</v>
      </c>
    </row>
    <row r="176" spans="1:6" ht="15" thickBot="1">
      <c r="A176" s="830" t="s">
        <v>526</v>
      </c>
      <c r="B176" s="824" t="s">
        <v>378</v>
      </c>
      <c r="C176" s="1054">
        <v>0.13</v>
      </c>
      <c r="D176" s="1054">
        <v>0.13</v>
      </c>
      <c r="E176" s="1054">
        <v>0.13</v>
      </c>
      <c r="F176" s="1055">
        <v>0.13</v>
      </c>
    </row>
    <row r="177" spans="1:6" ht="15" thickBot="1">
      <c r="A177" s="830" t="s">
        <v>526</v>
      </c>
      <c r="B177" s="824" t="s">
        <v>918</v>
      </c>
      <c r="C177" s="1054">
        <v>0.13</v>
      </c>
      <c r="D177" s="1054">
        <v>0.13</v>
      </c>
      <c r="E177" s="1054">
        <v>0.13</v>
      </c>
      <c r="F177" s="1055">
        <v>0.13</v>
      </c>
    </row>
    <row r="178" spans="1:6" ht="15" thickBot="1">
      <c r="A178" s="830" t="s">
        <v>526</v>
      </c>
      <c r="B178" s="824" t="s">
        <v>396</v>
      </c>
      <c r="C178" s="1054">
        <v>0.13</v>
      </c>
      <c r="D178" s="1054">
        <v>0.13</v>
      </c>
      <c r="E178" s="1054">
        <v>0.13</v>
      </c>
      <c r="F178" s="1055">
        <v>0.127</v>
      </c>
    </row>
    <row r="179" spans="1:6" ht="15" thickBot="1">
      <c r="A179" s="830" t="s">
        <v>526</v>
      </c>
      <c r="B179" s="824" t="s">
        <v>404</v>
      </c>
      <c r="C179" s="1054">
        <v>0.13</v>
      </c>
      <c r="D179" s="1054">
        <v>0.13</v>
      </c>
      <c r="E179" s="1054">
        <v>0.13</v>
      </c>
      <c r="F179" s="1066"/>
    </row>
    <row r="180" spans="1:6" ht="15" thickBot="1">
      <c r="A180" s="830" t="s">
        <v>526</v>
      </c>
      <c r="B180" s="824" t="s">
        <v>919</v>
      </c>
      <c r="C180" s="1054">
        <v>0.13</v>
      </c>
      <c r="D180" s="1054">
        <v>0.13</v>
      </c>
      <c r="E180" s="1054">
        <v>0.125</v>
      </c>
      <c r="F180" s="1055">
        <v>0.13</v>
      </c>
    </row>
    <row r="181" spans="1:6" ht="15" thickBot="1">
      <c r="A181" s="830" t="s">
        <v>526</v>
      </c>
      <c r="B181" s="824" t="s">
        <v>418</v>
      </c>
      <c r="C181" s="1054">
        <v>0.122</v>
      </c>
      <c r="D181" s="1054">
        <v>0.123</v>
      </c>
      <c r="E181" s="1054">
        <v>0.126</v>
      </c>
      <c r="F181" s="1055">
        <v>0.121</v>
      </c>
    </row>
    <row r="182" spans="1:6" ht="15" thickBot="1">
      <c r="A182" s="830" t="s">
        <v>526</v>
      </c>
      <c r="B182" s="824" t="s">
        <v>425</v>
      </c>
      <c r="C182" s="1054">
        <v>0.125</v>
      </c>
      <c r="D182" s="1054">
        <v>0.125</v>
      </c>
      <c r="E182" s="1054">
        <v>0.11700000000000001</v>
      </c>
      <c r="F182" s="1055">
        <v>0.13</v>
      </c>
    </row>
    <row r="183" spans="1:6" ht="15" thickBot="1">
      <c r="A183" s="830" t="s">
        <v>526</v>
      </c>
      <c r="B183" s="824" t="s">
        <v>432</v>
      </c>
      <c r="C183" s="1054">
        <v>0.127</v>
      </c>
      <c r="D183" s="1054">
        <v>0.127</v>
      </c>
      <c r="E183" s="1054">
        <v>0.128</v>
      </c>
      <c r="F183" s="1066"/>
    </row>
    <row r="184" spans="1:6" ht="15" thickBot="1">
      <c r="A184" s="830" t="s">
        <v>526</v>
      </c>
      <c r="B184" s="824" t="s">
        <v>439</v>
      </c>
      <c r="C184" s="1054">
        <v>0.125</v>
      </c>
      <c r="D184" s="1054">
        <v>0.125</v>
      </c>
      <c r="E184" s="1054">
        <v>0.127</v>
      </c>
      <c r="F184" s="1066"/>
    </row>
    <row r="185" spans="1:6" ht="15" thickBot="1">
      <c r="A185" s="830" t="s">
        <v>526</v>
      </c>
      <c r="B185" s="824" t="s">
        <v>920</v>
      </c>
      <c r="C185" s="1054">
        <v>0.127</v>
      </c>
      <c r="D185" s="1054">
        <v>0.127</v>
      </c>
      <c r="E185" s="1054">
        <v>0.128</v>
      </c>
      <c r="F185" s="1055">
        <v>0.13</v>
      </c>
    </row>
    <row r="186" spans="1:6" ht="24.6" thickBot="1">
      <c r="A186" s="830" t="s">
        <v>526</v>
      </c>
      <c r="B186" s="824" t="s">
        <v>921</v>
      </c>
      <c r="C186" s="1067"/>
      <c r="D186" s="1067"/>
      <c r="E186" s="1067"/>
      <c r="F186" s="1055">
        <v>0.05</v>
      </c>
    </row>
    <row r="187" spans="1:6" ht="15" thickBot="1">
      <c r="A187" s="830" t="s">
        <v>526</v>
      </c>
      <c r="B187" s="824" t="s">
        <v>922</v>
      </c>
      <c r="C187" s="1067"/>
      <c r="D187" s="1067"/>
      <c r="E187" s="1067"/>
      <c r="F187" s="1055">
        <v>0.05</v>
      </c>
    </row>
    <row r="188" spans="1:6" ht="24.6" thickBot="1">
      <c r="A188" s="830" t="s">
        <v>526</v>
      </c>
      <c r="B188" s="824" t="s">
        <v>923</v>
      </c>
      <c r="C188" s="1067"/>
      <c r="D188" s="1067"/>
      <c r="E188" s="1067"/>
      <c r="F188" s="1055">
        <v>0.05</v>
      </c>
    </row>
    <row r="189" spans="1:6" ht="24.6" thickBot="1">
      <c r="A189" s="830" t="s">
        <v>526</v>
      </c>
      <c r="B189" s="824" t="s">
        <v>924</v>
      </c>
      <c r="C189" s="1067"/>
      <c r="D189" s="1067"/>
      <c r="E189" s="1067"/>
      <c r="F189" s="1055">
        <v>0.05</v>
      </c>
    </row>
    <row r="190" spans="1:6" ht="24.6" thickBot="1">
      <c r="A190" s="830" t="s">
        <v>526</v>
      </c>
      <c r="B190" s="824" t="s">
        <v>925</v>
      </c>
      <c r="C190" s="1067"/>
      <c r="D190" s="1067"/>
      <c r="E190" s="1067"/>
      <c r="F190" s="1055">
        <v>0.05</v>
      </c>
    </row>
    <row r="191" spans="1:6" ht="24.6" thickBot="1">
      <c r="A191" s="830" t="s">
        <v>526</v>
      </c>
      <c r="B191" s="824" t="s">
        <v>926</v>
      </c>
      <c r="C191" s="1067"/>
      <c r="D191" s="1067"/>
      <c r="E191" s="1067"/>
      <c r="F191" s="1055">
        <v>0.05</v>
      </c>
    </row>
    <row r="192" spans="1:6" ht="24.6" thickBot="1">
      <c r="A192" s="830" t="s">
        <v>526</v>
      </c>
      <c r="B192" s="824" t="s">
        <v>927</v>
      </c>
      <c r="C192" s="1067"/>
      <c r="D192" s="1067"/>
      <c r="E192" s="1067"/>
      <c r="F192" s="1055">
        <v>0.05</v>
      </c>
    </row>
    <row r="193" spans="1:6" ht="24.6" thickBot="1">
      <c r="A193" s="830" t="s">
        <v>526</v>
      </c>
      <c r="B193" s="824" t="s">
        <v>928</v>
      </c>
      <c r="C193" s="1067"/>
      <c r="D193" s="1067"/>
      <c r="E193" s="1067"/>
      <c r="F193" s="1055">
        <v>0.05</v>
      </c>
    </row>
    <row r="194" spans="1:6" ht="24.6" thickBot="1">
      <c r="A194" s="830" t="s">
        <v>526</v>
      </c>
      <c r="B194" s="824" t="s">
        <v>929</v>
      </c>
      <c r="C194" s="1067"/>
      <c r="D194" s="1067"/>
      <c r="E194" s="1067"/>
      <c r="F194" s="1055">
        <v>0.05</v>
      </c>
    </row>
    <row r="195" spans="1:6" ht="15" thickBot="1">
      <c r="A195" s="830" t="s">
        <v>526</v>
      </c>
      <c r="B195" s="824" t="s">
        <v>930</v>
      </c>
      <c r="C195" s="1067"/>
      <c r="D195" s="1067"/>
      <c r="E195" s="1067"/>
      <c r="F195" s="1055">
        <v>0.05</v>
      </c>
    </row>
    <row r="196" spans="1:6" ht="24.6" thickBot="1">
      <c r="A196" s="830" t="s">
        <v>526</v>
      </c>
      <c r="B196" s="824" t="s">
        <v>931</v>
      </c>
      <c r="C196" s="1067"/>
      <c r="D196" s="1067"/>
      <c r="E196" s="1067"/>
      <c r="F196" s="1055">
        <v>0.05</v>
      </c>
    </row>
    <row r="197" spans="1:6" ht="24.6" thickBot="1">
      <c r="A197" s="830" t="s">
        <v>526</v>
      </c>
      <c r="B197" s="824" t="s">
        <v>932</v>
      </c>
      <c r="C197" s="1067"/>
      <c r="D197" s="1067"/>
      <c r="E197" s="1067"/>
      <c r="F197" s="1055">
        <v>0.05</v>
      </c>
    </row>
    <row r="198" spans="1:6" ht="24.6" thickBot="1">
      <c r="A198" s="830" t="s">
        <v>526</v>
      </c>
      <c r="B198" s="824" t="s">
        <v>933</v>
      </c>
      <c r="C198" s="1067"/>
      <c r="D198" s="1067"/>
      <c r="E198" s="1067"/>
      <c r="F198" s="1055">
        <v>0.05</v>
      </c>
    </row>
    <row r="199" spans="1:6" ht="24.6" thickBot="1">
      <c r="A199" s="830" t="s">
        <v>526</v>
      </c>
      <c r="B199" s="824" t="s">
        <v>934</v>
      </c>
      <c r="C199" s="1067"/>
      <c r="D199" s="1067"/>
      <c r="E199" s="1067"/>
      <c r="F199" s="1055">
        <v>0.05</v>
      </c>
    </row>
    <row r="200" spans="1:6" ht="24.6" thickBot="1">
      <c r="A200" s="830" t="s">
        <v>526</v>
      </c>
      <c r="B200" s="824" t="s">
        <v>935</v>
      </c>
      <c r="C200" s="1067"/>
      <c r="D200" s="1067"/>
      <c r="E200" s="1067"/>
      <c r="F200" s="1055">
        <v>0.05</v>
      </c>
    </row>
    <row r="201" spans="1:6" ht="24.6" thickBot="1">
      <c r="A201" s="830" t="s">
        <v>526</v>
      </c>
      <c r="B201" s="824" t="s">
        <v>936</v>
      </c>
      <c r="C201" s="1067"/>
      <c r="D201" s="1067"/>
      <c r="E201" s="1067"/>
      <c r="F201" s="1055">
        <v>0.05</v>
      </c>
    </row>
    <row r="202" spans="1:6" ht="24.6" thickBot="1">
      <c r="A202" s="830" t="s">
        <v>526</v>
      </c>
      <c r="B202" s="824" t="s">
        <v>937</v>
      </c>
      <c r="C202" s="1067"/>
      <c r="D202" s="1067"/>
      <c r="E202" s="1067"/>
      <c r="F202" s="1055">
        <v>0.05</v>
      </c>
    </row>
    <row r="203" spans="1:6" ht="24.6" thickBot="1">
      <c r="A203" s="830" t="s">
        <v>526</v>
      </c>
      <c r="B203" s="824" t="s">
        <v>938</v>
      </c>
      <c r="C203" s="1067"/>
      <c r="D203" s="1067"/>
      <c r="E203" s="1067"/>
      <c r="F203" s="1055">
        <v>0.05</v>
      </c>
    </row>
    <row r="204" spans="1:6" ht="15" thickBot="1">
      <c r="A204" s="830" t="s">
        <v>526</v>
      </c>
      <c r="B204" s="824" t="s">
        <v>939</v>
      </c>
      <c r="C204" s="1067"/>
      <c r="D204" s="1067"/>
      <c r="E204" s="1067"/>
      <c r="F204" s="1055">
        <v>0.05</v>
      </c>
    </row>
    <row r="205" spans="1:6" ht="15" thickBot="1">
      <c r="A205" s="840" t="s">
        <v>526</v>
      </c>
      <c r="B205" s="836" t="s">
        <v>940</v>
      </c>
      <c r="C205" s="1064"/>
      <c r="D205" s="1064"/>
      <c r="E205" s="1064"/>
      <c r="F205" s="1057">
        <v>0.05</v>
      </c>
    </row>
    <row r="206" spans="1:6" ht="15" thickBot="1">
      <c r="A206" s="830" t="s">
        <v>528</v>
      </c>
      <c r="B206" s="831" t="s">
        <v>941</v>
      </c>
      <c r="C206" s="1052">
        <v>0.15</v>
      </c>
      <c r="D206" s="1052">
        <v>0.15</v>
      </c>
      <c r="E206" s="1052">
        <v>0.15</v>
      </c>
      <c r="F206" s="1053">
        <v>0.15</v>
      </c>
    </row>
    <row r="207" spans="1:6" ht="15" thickBot="1">
      <c r="A207" s="830" t="s">
        <v>528</v>
      </c>
      <c r="B207" s="824" t="s">
        <v>194</v>
      </c>
      <c r="C207" s="1054">
        <v>0.15</v>
      </c>
      <c r="D207" s="1054">
        <v>0.15</v>
      </c>
      <c r="E207" s="1054">
        <v>0.15</v>
      </c>
      <c r="F207" s="1055">
        <v>0.14399999999999999</v>
      </c>
    </row>
    <row r="208" spans="1:6" ht="15" thickBot="1">
      <c r="A208" s="830" t="s">
        <v>528</v>
      </c>
      <c r="B208" s="824" t="s">
        <v>207</v>
      </c>
      <c r="C208" s="1054">
        <v>0.15</v>
      </c>
      <c r="D208" s="1054">
        <v>0.15</v>
      </c>
      <c r="E208" s="1054">
        <v>0.15</v>
      </c>
      <c r="F208" s="1055">
        <v>0.15</v>
      </c>
    </row>
    <row r="209" spans="1:6" ht="15" thickBot="1">
      <c r="A209" s="830" t="s">
        <v>528</v>
      </c>
      <c r="B209" s="824" t="s">
        <v>220</v>
      </c>
      <c r="C209" s="1054">
        <v>0.13700000000000001</v>
      </c>
      <c r="D209" s="1054">
        <v>0.13700000000000001</v>
      </c>
      <c r="E209" s="1054">
        <v>0.14000000000000001</v>
      </c>
      <c r="F209" s="1055">
        <v>0.11700000000000001</v>
      </c>
    </row>
    <row r="210" spans="1:6" ht="15" thickBot="1">
      <c r="A210" s="830" t="s">
        <v>528</v>
      </c>
      <c r="B210" s="824" t="s">
        <v>942</v>
      </c>
      <c r="C210" s="1054">
        <v>0.15</v>
      </c>
      <c r="D210" s="1054">
        <v>0.15</v>
      </c>
      <c r="E210" s="1054">
        <v>0.15</v>
      </c>
      <c r="F210" s="1055">
        <v>0.13800000000000001</v>
      </c>
    </row>
    <row r="211" spans="1:6" ht="15" thickBot="1">
      <c r="A211" s="830" t="s">
        <v>528</v>
      </c>
      <c r="B211" s="824" t="s">
        <v>943</v>
      </c>
      <c r="C211" s="1054">
        <v>0.13700000000000001</v>
      </c>
      <c r="D211" s="1054">
        <v>0.13500000000000001</v>
      </c>
      <c r="E211" s="1054">
        <v>0.13600000000000001</v>
      </c>
      <c r="F211" s="1055">
        <v>0.1</v>
      </c>
    </row>
    <row r="212" spans="1:6" ht="15" thickBot="1">
      <c r="A212" s="830" t="s">
        <v>528</v>
      </c>
      <c r="B212" s="824" t="s">
        <v>944</v>
      </c>
      <c r="C212" s="1054">
        <v>0.15</v>
      </c>
      <c r="D212" s="1054">
        <v>0.15</v>
      </c>
      <c r="E212" s="1054">
        <v>0.14799999999999999</v>
      </c>
      <c r="F212" s="1055">
        <v>0.13600000000000001</v>
      </c>
    </row>
    <row r="213" spans="1:6" ht="15" thickBot="1">
      <c r="A213" s="830" t="s">
        <v>528</v>
      </c>
      <c r="B213" s="824" t="s">
        <v>265</v>
      </c>
      <c r="C213" s="1054">
        <v>0.15</v>
      </c>
      <c r="D213" s="1054">
        <v>0.15</v>
      </c>
      <c r="E213" s="1054">
        <v>0.15</v>
      </c>
      <c r="F213" s="1055">
        <v>0.13800000000000001</v>
      </c>
    </row>
    <row r="214" spans="1:6" ht="15" thickBot="1">
      <c r="A214" s="830" t="s">
        <v>528</v>
      </c>
      <c r="B214" s="824" t="s">
        <v>277</v>
      </c>
      <c r="C214" s="1054">
        <v>9.0999999999999998E-2</v>
      </c>
      <c r="D214" s="1054">
        <v>0.09</v>
      </c>
      <c r="E214" s="1054">
        <v>9.1999999999999998E-2</v>
      </c>
      <c r="F214" s="1066"/>
    </row>
    <row r="215" spans="1:6" ht="15" thickBot="1">
      <c r="A215" s="830" t="s">
        <v>528</v>
      </c>
      <c r="B215" s="824" t="s">
        <v>945</v>
      </c>
      <c r="C215" s="1054">
        <v>0.15</v>
      </c>
      <c r="D215" s="1054">
        <v>0.15</v>
      </c>
      <c r="E215" s="1054">
        <v>0.15</v>
      </c>
      <c r="F215" s="1055">
        <v>0.15</v>
      </c>
    </row>
    <row r="216" spans="1:6" ht="15" thickBot="1">
      <c r="A216" s="830" t="s">
        <v>528</v>
      </c>
      <c r="B216" s="824" t="s">
        <v>297</v>
      </c>
      <c r="C216" s="1054">
        <v>0.14699999999999999</v>
      </c>
      <c r="D216" s="1054">
        <v>0.14699999999999999</v>
      </c>
      <c r="E216" s="1054">
        <v>0.15</v>
      </c>
      <c r="F216" s="1055">
        <v>0.14000000000000001</v>
      </c>
    </row>
    <row r="217" spans="1:6" ht="15" thickBot="1">
      <c r="A217" s="830" t="s">
        <v>528</v>
      </c>
      <c r="B217" s="824" t="s">
        <v>307</v>
      </c>
      <c r="C217" s="1054">
        <v>0.15</v>
      </c>
      <c r="D217" s="1054">
        <v>0.15</v>
      </c>
      <c r="E217" s="1054">
        <v>0.15</v>
      </c>
      <c r="F217" s="1055">
        <v>0.15</v>
      </c>
    </row>
    <row r="218" spans="1:6" ht="15" thickBot="1">
      <c r="A218" s="830" t="s">
        <v>528</v>
      </c>
      <c r="B218" s="824" t="s">
        <v>946</v>
      </c>
      <c r="C218" s="1054">
        <v>0.15</v>
      </c>
      <c r="D218" s="1054">
        <v>0.15</v>
      </c>
      <c r="E218" s="1054">
        <v>0.15</v>
      </c>
      <c r="F218" s="1055">
        <v>0.15</v>
      </c>
    </row>
    <row r="219" spans="1:6" ht="15" thickBot="1">
      <c r="A219" s="830" t="s">
        <v>528</v>
      </c>
      <c r="B219" s="824" t="s">
        <v>328</v>
      </c>
      <c r="C219" s="1054">
        <v>0.15</v>
      </c>
      <c r="D219" s="1054">
        <v>0.15</v>
      </c>
      <c r="E219" s="1054">
        <v>0.15</v>
      </c>
      <c r="F219" s="1055">
        <v>0.14799999999999999</v>
      </c>
    </row>
    <row r="220" spans="1:6" ht="15" thickBot="1">
      <c r="A220" s="830" t="s">
        <v>528</v>
      </c>
      <c r="B220" s="824" t="s">
        <v>947</v>
      </c>
      <c r="C220" s="1054">
        <v>0.15</v>
      </c>
      <c r="D220" s="1054">
        <v>0.15</v>
      </c>
      <c r="E220" s="1054">
        <v>0.15</v>
      </c>
      <c r="F220" s="1055">
        <v>0.15</v>
      </c>
    </row>
    <row r="221" spans="1:6" ht="15" thickBot="1">
      <c r="A221" s="830" t="s">
        <v>528</v>
      </c>
      <c r="B221" s="824" t="s">
        <v>349</v>
      </c>
      <c r="C221" s="1054"/>
      <c r="D221" s="1067"/>
      <c r="E221" s="1067"/>
      <c r="F221" s="1055">
        <v>0.14799999999999999</v>
      </c>
    </row>
    <row r="222" spans="1:6" ht="15" thickBot="1">
      <c r="A222" s="830" t="s">
        <v>528</v>
      </c>
      <c r="B222" s="824" t="s">
        <v>359</v>
      </c>
      <c r="C222" s="1054"/>
      <c r="D222" s="1067"/>
      <c r="E222" s="1067"/>
      <c r="F222" s="1055">
        <v>0.1</v>
      </c>
    </row>
    <row r="223" spans="1:6" ht="15" thickBot="1">
      <c r="A223" s="830" t="s">
        <v>528</v>
      </c>
      <c r="B223" s="824" t="s">
        <v>369</v>
      </c>
      <c r="C223" s="1054"/>
      <c r="D223" s="1067"/>
      <c r="E223" s="1067"/>
      <c r="F223" s="1055">
        <v>0.15</v>
      </c>
    </row>
    <row r="224" spans="1:6" ht="15" thickBot="1">
      <c r="A224" s="830" t="s">
        <v>528</v>
      </c>
      <c r="B224" s="824" t="s">
        <v>379</v>
      </c>
      <c r="C224" s="1054"/>
      <c r="D224" s="1067"/>
      <c r="E224" s="1067"/>
      <c r="F224" s="1055">
        <v>0.15</v>
      </c>
    </row>
    <row r="225" spans="1:6" ht="15" thickBot="1">
      <c r="A225" s="830" t="s">
        <v>528</v>
      </c>
      <c r="B225" s="824" t="s">
        <v>948</v>
      </c>
      <c r="C225" s="1054">
        <v>0.15</v>
      </c>
      <c r="D225" s="1054">
        <v>0.15</v>
      </c>
      <c r="E225" s="1054">
        <v>0.15</v>
      </c>
      <c r="F225" s="1055">
        <v>0.15</v>
      </c>
    </row>
    <row r="226" spans="1:6" ht="15" thickBot="1">
      <c r="A226" s="830" t="s">
        <v>528</v>
      </c>
      <c r="B226" s="824" t="s">
        <v>397</v>
      </c>
      <c r="C226" s="1054">
        <v>0.15</v>
      </c>
      <c r="D226" s="1054">
        <v>0.15</v>
      </c>
      <c r="E226" s="1054">
        <v>0.15</v>
      </c>
      <c r="F226" s="1055">
        <v>0.14799999999999999</v>
      </c>
    </row>
    <row r="227" spans="1:6" ht="15" thickBot="1">
      <c r="A227" s="830" t="s">
        <v>528</v>
      </c>
      <c r="B227" s="824" t="s">
        <v>949</v>
      </c>
      <c r="C227" s="1054">
        <v>0.15</v>
      </c>
      <c r="D227" s="1054">
        <v>0.15</v>
      </c>
      <c r="E227" s="1054">
        <v>0.15</v>
      </c>
      <c r="F227" s="1055">
        <v>0.15</v>
      </c>
    </row>
    <row r="228" spans="1:6" ht="15" thickBot="1">
      <c r="A228" s="830" t="s">
        <v>528</v>
      </c>
      <c r="B228" s="824" t="s">
        <v>412</v>
      </c>
      <c r="C228" s="1054">
        <v>0.15</v>
      </c>
      <c r="D228" s="1054">
        <v>0.15</v>
      </c>
      <c r="E228" s="1054">
        <v>0.15</v>
      </c>
      <c r="F228" s="1055">
        <v>0.15</v>
      </c>
    </row>
    <row r="229" spans="1:6" ht="15" thickBot="1">
      <c r="A229" s="830" t="s">
        <v>528</v>
      </c>
      <c r="B229" s="824" t="s">
        <v>419</v>
      </c>
      <c r="C229" s="1054">
        <v>0.15</v>
      </c>
      <c r="D229" s="1054">
        <v>0.15</v>
      </c>
      <c r="E229" s="1054">
        <v>0.15</v>
      </c>
      <c r="F229" s="1066"/>
    </row>
    <row r="230" spans="1:6" ht="15" thickBot="1">
      <c r="A230" s="830" t="s">
        <v>528</v>
      </c>
      <c r="B230" s="824" t="s">
        <v>426</v>
      </c>
      <c r="C230" s="1054">
        <v>0.14499999999999999</v>
      </c>
      <c r="D230" s="1054">
        <v>0.14499999999999999</v>
      </c>
      <c r="E230" s="1054">
        <v>0.14399999999999999</v>
      </c>
      <c r="F230" s="1066"/>
    </row>
    <row r="231" spans="1:6" ht="15" thickBot="1">
      <c r="A231" s="830" t="s">
        <v>528</v>
      </c>
      <c r="B231" s="824" t="s">
        <v>950</v>
      </c>
      <c r="C231" s="1054">
        <v>0.128</v>
      </c>
      <c r="D231" s="1054">
        <v>0.125</v>
      </c>
      <c r="E231" s="1054">
        <v>0.13200000000000001</v>
      </c>
      <c r="F231" s="1066"/>
    </row>
    <row r="232" spans="1:6" ht="15" thickBot="1">
      <c r="A232" s="830" t="s">
        <v>528</v>
      </c>
      <c r="B232" s="824" t="s">
        <v>951</v>
      </c>
      <c r="C232" s="1054">
        <v>0.14499999999999999</v>
      </c>
      <c r="D232" s="1054">
        <v>0.14399999999999999</v>
      </c>
      <c r="E232" s="1054">
        <v>0.14599999999999999</v>
      </c>
      <c r="F232" s="1055">
        <v>0.13800000000000001</v>
      </c>
    </row>
    <row r="233" spans="1:6" ht="15" thickBot="1">
      <c r="A233" s="830" t="s">
        <v>528</v>
      </c>
      <c r="B233" s="824" t="s">
        <v>952</v>
      </c>
      <c r="C233" s="1054">
        <v>0.14499999999999999</v>
      </c>
      <c r="D233" s="1054">
        <v>0.14299999999999999</v>
      </c>
      <c r="E233" s="1054">
        <v>0.14199999999999999</v>
      </c>
      <c r="F233" s="1066"/>
    </row>
    <row r="234" spans="1:6" ht="15" thickBot="1">
      <c r="A234" s="830" t="s">
        <v>528</v>
      </c>
      <c r="B234" s="824" t="s">
        <v>953</v>
      </c>
      <c r="C234" s="1054">
        <v>0.14000000000000001</v>
      </c>
      <c r="D234" s="1054">
        <v>0.14000000000000001</v>
      </c>
      <c r="E234" s="1054">
        <v>0.14399999999999999</v>
      </c>
      <c r="F234" s="1066"/>
    </row>
    <row r="235" spans="1:6" ht="15" thickBot="1">
      <c r="A235" s="830" t="s">
        <v>528</v>
      </c>
      <c r="B235" s="824" t="s">
        <v>954</v>
      </c>
      <c r="C235" s="1054">
        <v>0.14099999999999999</v>
      </c>
      <c r="D235" s="1054">
        <v>0.14199999999999999</v>
      </c>
      <c r="E235" s="1054">
        <v>0.14499999999999999</v>
      </c>
      <c r="F235" s="1055">
        <v>0.15</v>
      </c>
    </row>
    <row r="236" spans="1:6" ht="15" thickBot="1">
      <c r="A236" s="830" t="s">
        <v>528</v>
      </c>
      <c r="B236" s="824" t="s">
        <v>461</v>
      </c>
      <c r="C236" s="1067"/>
      <c r="D236" s="1067"/>
      <c r="E236" s="1067"/>
      <c r="F236" s="1055">
        <v>0.14299999999999999</v>
      </c>
    </row>
    <row r="237" spans="1:6" ht="24.6" thickBot="1">
      <c r="A237" s="830" t="s">
        <v>528</v>
      </c>
      <c r="B237" s="824" t="s">
        <v>955</v>
      </c>
      <c r="C237" s="1067"/>
      <c r="D237" s="1067"/>
      <c r="E237" s="1067"/>
      <c r="F237" s="1055">
        <v>0.05</v>
      </c>
    </row>
    <row r="238" spans="1:6" ht="24.6" thickBot="1">
      <c r="A238" s="830" t="s">
        <v>528</v>
      </c>
      <c r="B238" s="824" t="s">
        <v>956</v>
      </c>
      <c r="C238" s="1067"/>
      <c r="D238" s="1067"/>
      <c r="E238" s="1067"/>
      <c r="F238" s="1055">
        <v>0.05</v>
      </c>
    </row>
    <row r="239" spans="1:6" ht="24.6" thickBot="1">
      <c r="A239" s="830" t="s">
        <v>528</v>
      </c>
      <c r="B239" s="824" t="s">
        <v>957</v>
      </c>
      <c r="C239" s="1067"/>
      <c r="D239" s="1067"/>
      <c r="E239" s="1067"/>
      <c r="F239" s="1055">
        <v>0.05</v>
      </c>
    </row>
    <row r="240" spans="1:6" ht="24.6" thickBot="1">
      <c r="A240" s="830" t="s">
        <v>528</v>
      </c>
      <c r="B240" s="824" t="s">
        <v>958</v>
      </c>
      <c r="C240" s="1067"/>
      <c r="D240" s="1067"/>
      <c r="E240" s="1067"/>
      <c r="F240" s="1055">
        <v>0.05</v>
      </c>
    </row>
    <row r="241" spans="1:6" ht="24.6" thickBot="1">
      <c r="A241" s="830" t="s">
        <v>528</v>
      </c>
      <c r="B241" s="824" t="s">
        <v>959</v>
      </c>
      <c r="C241" s="1067"/>
      <c r="D241" s="1067"/>
      <c r="E241" s="1067"/>
      <c r="F241" s="1055">
        <v>0.05</v>
      </c>
    </row>
    <row r="242" spans="1:6" ht="24.6" thickBot="1">
      <c r="A242" s="830" t="s">
        <v>528</v>
      </c>
      <c r="B242" s="824" t="s">
        <v>960</v>
      </c>
      <c r="C242" s="1067"/>
      <c r="D242" s="1067"/>
      <c r="E242" s="1067"/>
      <c r="F242" s="1055">
        <v>0.05</v>
      </c>
    </row>
    <row r="243" spans="1:6" ht="24.6" thickBot="1">
      <c r="A243" s="830" t="s">
        <v>528</v>
      </c>
      <c r="B243" s="824" t="s">
        <v>961</v>
      </c>
      <c r="C243" s="1067"/>
      <c r="D243" s="1067"/>
      <c r="E243" s="1067"/>
      <c r="F243" s="1055">
        <v>0.05</v>
      </c>
    </row>
    <row r="244" spans="1:6" ht="24.6" thickBot="1">
      <c r="A244" s="840" t="s">
        <v>528</v>
      </c>
      <c r="B244" s="836" t="s">
        <v>962</v>
      </c>
      <c r="C244" s="1064"/>
      <c r="D244" s="1064"/>
      <c r="E244" s="1064"/>
      <c r="F244" s="1057">
        <v>0.05</v>
      </c>
    </row>
    <row r="245" spans="1:6" ht="15" thickBot="1">
      <c r="A245" s="830" t="s">
        <v>530</v>
      </c>
      <c r="B245" s="831" t="s">
        <v>963</v>
      </c>
      <c r="C245" s="1052">
        <v>0.15</v>
      </c>
      <c r="D245" s="1052">
        <v>0.15</v>
      </c>
      <c r="E245" s="1052">
        <v>0.15</v>
      </c>
      <c r="F245" s="1053">
        <v>0.14299999999999999</v>
      </c>
    </row>
    <row r="246" spans="1:6" ht="15" thickBot="1">
      <c r="A246" s="830" t="s">
        <v>530</v>
      </c>
      <c r="B246" s="824" t="s">
        <v>195</v>
      </c>
      <c r="C246" s="1054">
        <v>0.15</v>
      </c>
      <c r="D246" s="1054">
        <v>0.15</v>
      </c>
      <c r="E246" s="1054">
        <v>0.15</v>
      </c>
      <c r="F246" s="1055">
        <v>0.114</v>
      </c>
    </row>
    <row r="247" spans="1:6" ht="15" thickBot="1">
      <c r="A247" s="830" t="s">
        <v>530</v>
      </c>
      <c r="B247" s="824" t="s">
        <v>964</v>
      </c>
      <c r="C247" s="1054">
        <v>0.15</v>
      </c>
      <c r="D247" s="1054">
        <v>0.15</v>
      </c>
      <c r="E247" s="1054">
        <v>0.15</v>
      </c>
      <c r="F247" s="1055">
        <v>0.15</v>
      </c>
    </row>
    <row r="248" spans="1:6" ht="15" thickBot="1">
      <c r="A248" s="830" t="s">
        <v>530</v>
      </c>
      <c r="B248" s="824" t="s">
        <v>965</v>
      </c>
      <c r="C248" s="1054">
        <v>0.15</v>
      </c>
      <c r="D248" s="1054">
        <v>0.15</v>
      </c>
      <c r="E248" s="1054">
        <v>0.15</v>
      </c>
      <c r="F248" s="1055">
        <v>0.14000000000000001</v>
      </c>
    </row>
    <row r="249" spans="1:6" ht="15" thickBot="1">
      <c r="A249" s="830" t="s">
        <v>530</v>
      </c>
      <c r="B249" s="824" t="s">
        <v>966</v>
      </c>
      <c r="C249" s="1054">
        <v>0.15</v>
      </c>
      <c r="D249" s="1054">
        <v>0.14899999999999999</v>
      </c>
      <c r="E249" s="1054">
        <v>0.15</v>
      </c>
      <c r="F249" s="1055">
        <v>0.1</v>
      </c>
    </row>
    <row r="250" spans="1:6" ht="15" thickBot="1">
      <c r="A250" s="830" t="s">
        <v>530</v>
      </c>
      <c r="B250" s="824" t="s">
        <v>967</v>
      </c>
      <c r="C250" s="1054">
        <v>0.15</v>
      </c>
      <c r="D250" s="1054">
        <v>0.15</v>
      </c>
      <c r="E250" s="1054">
        <v>0.15</v>
      </c>
      <c r="F250" s="1055">
        <v>0.14399999999999999</v>
      </c>
    </row>
    <row r="251" spans="1:6" ht="15" thickBot="1">
      <c r="A251" s="830" t="s">
        <v>530</v>
      </c>
      <c r="B251" s="824" t="s">
        <v>255</v>
      </c>
      <c r="C251" s="1054">
        <v>0.15</v>
      </c>
      <c r="D251" s="1054">
        <v>0.15</v>
      </c>
      <c r="E251" s="1054">
        <v>0.15</v>
      </c>
      <c r="F251" s="1055">
        <v>0.14299999999999999</v>
      </c>
    </row>
    <row r="252" spans="1:6" ht="15" thickBot="1">
      <c r="A252" s="830" t="s">
        <v>530</v>
      </c>
      <c r="B252" s="824" t="s">
        <v>266</v>
      </c>
      <c r="C252" s="1054">
        <v>0.15</v>
      </c>
      <c r="D252" s="1054">
        <v>0.15</v>
      </c>
      <c r="E252" s="1054">
        <v>0.15</v>
      </c>
      <c r="F252" s="1055">
        <v>0.1</v>
      </c>
    </row>
    <row r="253" spans="1:6" ht="15" thickBot="1">
      <c r="A253" s="830" t="s">
        <v>530</v>
      </c>
      <c r="B253" s="824" t="s">
        <v>278</v>
      </c>
      <c r="C253" s="1054">
        <v>0.15</v>
      </c>
      <c r="D253" s="1054">
        <v>0.15</v>
      </c>
      <c r="E253" s="1054">
        <v>0.15</v>
      </c>
      <c r="F253" s="1055">
        <v>0.1</v>
      </c>
    </row>
    <row r="254" spans="1:6" ht="15" thickBot="1">
      <c r="A254" s="830" t="s">
        <v>530</v>
      </c>
      <c r="B254" s="824" t="s">
        <v>288</v>
      </c>
      <c r="C254" s="1067"/>
      <c r="D254" s="1067"/>
      <c r="E254" s="1067"/>
      <c r="F254" s="1055">
        <v>0.15</v>
      </c>
    </row>
    <row r="255" spans="1:6" ht="15" thickBot="1">
      <c r="A255" s="830" t="s">
        <v>530</v>
      </c>
      <c r="B255" s="824" t="s">
        <v>298</v>
      </c>
      <c r="C255" s="1067"/>
      <c r="D255" s="1067"/>
      <c r="E255" s="1067"/>
      <c r="F255" s="1055">
        <v>0.14299999999999999</v>
      </c>
    </row>
    <row r="256" spans="1:6" ht="15" thickBot="1">
      <c r="A256" s="830" t="s">
        <v>530</v>
      </c>
      <c r="B256" s="824" t="s">
        <v>968</v>
      </c>
      <c r="C256" s="1054">
        <v>0.14599999999999999</v>
      </c>
      <c r="D256" s="1054">
        <v>0.14699999999999999</v>
      </c>
      <c r="E256" s="1054">
        <v>0.15</v>
      </c>
      <c r="F256" s="1055">
        <v>0.13200000000000001</v>
      </c>
    </row>
    <row r="257" spans="1:6" ht="15" thickBot="1">
      <c r="A257" s="830" t="s">
        <v>530</v>
      </c>
      <c r="B257" s="824" t="s">
        <v>318</v>
      </c>
      <c r="C257" s="1054">
        <v>0.15</v>
      </c>
      <c r="D257" s="1054">
        <v>0.15</v>
      </c>
      <c r="E257" s="1054">
        <v>0.15</v>
      </c>
      <c r="F257" s="1055">
        <v>0.13900000000000001</v>
      </c>
    </row>
    <row r="258" spans="1:6" ht="15" thickBot="1">
      <c r="A258" s="830" t="s">
        <v>530</v>
      </c>
      <c r="B258" s="824" t="s">
        <v>329</v>
      </c>
      <c r="C258" s="1054">
        <v>0.15</v>
      </c>
      <c r="D258" s="1054">
        <v>0.15</v>
      </c>
      <c r="E258" s="1054">
        <v>0.15</v>
      </c>
      <c r="F258" s="1055">
        <v>0.13</v>
      </c>
    </row>
    <row r="259" spans="1:6" ht="15" thickBot="1">
      <c r="A259" s="830" t="s">
        <v>530</v>
      </c>
      <c r="B259" s="824" t="s">
        <v>969</v>
      </c>
      <c r="C259" s="1054">
        <v>0.14799999999999999</v>
      </c>
      <c r="D259" s="1054">
        <v>0.14899999999999999</v>
      </c>
      <c r="E259" s="1054">
        <v>0.15</v>
      </c>
      <c r="F259" s="1055">
        <v>0.13700000000000001</v>
      </c>
    </row>
    <row r="260" spans="1:6" ht="15" thickBot="1">
      <c r="A260" s="830" t="s">
        <v>530</v>
      </c>
      <c r="B260" s="824" t="s">
        <v>350</v>
      </c>
      <c r="C260" s="1054">
        <v>0.15</v>
      </c>
      <c r="D260" s="1054">
        <v>0.15</v>
      </c>
      <c r="E260" s="1054">
        <v>0.15</v>
      </c>
      <c r="F260" s="1055">
        <v>0.14199999999999999</v>
      </c>
    </row>
    <row r="261" spans="1:6" ht="15" thickBot="1">
      <c r="A261" s="830" t="s">
        <v>530</v>
      </c>
      <c r="B261" s="824" t="s">
        <v>360</v>
      </c>
      <c r="C261" s="1054">
        <v>0.15</v>
      </c>
      <c r="D261" s="1054">
        <v>0.15</v>
      </c>
      <c r="E261" s="1054">
        <v>0.14899999999999999</v>
      </c>
      <c r="F261" s="1055">
        <v>0.14799999999999999</v>
      </c>
    </row>
    <row r="262" spans="1:6" ht="15" thickBot="1">
      <c r="A262" s="830" t="s">
        <v>530</v>
      </c>
      <c r="B262" s="824" t="s">
        <v>370</v>
      </c>
      <c r="C262" s="1054">
        <v>0.15</v>
      </c>
      <c r="D262" s="1054">
        <v>0.15</v>
      </c>
      <c r="E262" s="1054">
        <v>0.15</v>
      </c>
      <c r="F262" s="1066"/>
    </row>
    <row r="263" spans="1:6" ht="15" thickBot="1">
      <c r="A263" s="830" t="s">
        <v>530</v>
      </c>
      <c r="B263" s="824" t="s">
        <v>970</v>
      </c>
      <c r="C263" s="1054">
        <v>0.14899999999999999</v>
      </c>
      <c r="D263" s="1054">
        <v>0.14899999999999999</v>
      </c>
      <c r="E263" s="1054">
        <v>0.15</v>
      </c>
      <c r="F263" s="1055">
        <v>0.13</v>
      </c>
    </row>
    <row r="264" spans="1:6" ht="15" thickBot="1">
      <c r="A264" s="830" t="s">
        <v>530</v>
      </c>
      <c r="B264" s="824" t="s">
        <v>389</v>
      </c>
      <c r="C264" s="1054">
        <v>0.14799999999999999</v>
      </c>
      <c r="D264" s="1054">
        <v>0.14699999999999999</v>
      </c>
      <c r="E264" s="1054">
        <v>0.15</v>
      </c>
      <c r="F264" s="1055">
        <v>7.8E-2</v>
      </c>
    </row>
    <row r="265" spans="1:6" ht="15" thickBot="1">
      <c r="A265" s="830" t="s">
        <v>530</v>
      </c>
      <c r="B265" s="824" t="s">
        <v>398</v>
      </c>
      <c r="C265" s="1054">
        <v>0.15</v>
      </c>
      <c r="D265" s="1054">
        <v>0.15</v>
      </c>
      <c r="E265" s="1054">
        <v>0.15</v>
      </c>
      <c r="F265" s="1055">
        <v>7.3999999999999996E-2</v>
      </c>
    </row>
    <row r="266" spans="1:6" ht="15" thickBot="1">
      <c r="A266" s="830" t="s">
        <v>530</v>
      </c>
      <c r="B266" s="824" t="s">
        <v>406</v>
      </c>
      <c r="C266" s="1054">
        <v>0.14699999999999999</v>
      </c>
      <c r="D266" s="1054">
        <v>0.14699999999999999</v>
      </c>
      <c r="E266" s="1054">
        <v>0.15</v>
      </c>
      <c r="F266" s="1055">
        <v>0.14299999999999999</v>
      </c>
    </row>
    <row r="267" spans="1:6" ht="15" thickBot="1">
      <c r="A267" s="830" t="s">
        <v>530</v>
      </c>
      <c r="B267" s="824" t="s">
        <v>413</v>
      </c>
      <c r="C267" s="1054">
        <v>0.14199999999999999</v>
      </c>
      <c r="D267" s="1054">
        <v>0.14299999999999999</v>
      </c>
      <c r="E267" s="1054">
        <v>0.15</v>
      </c>
      <c r="F267" s="1066"/>
    </row>
    <row r="268" spans="1:6" ht="15" thickBot="1">
      <c r="A268" s="830" t="s">
        <v>530</v>
      </c>
      <c r="B268" s="824" t="s">
        <v>971</v>
      </c>
      <c r="C268" s="1054">
        <v>0.15</v>
      </c>
      <c r="D268" s="1054">
        <v>0.15</v>
      </c>
      <c r="E268" s="1054">
        <v>0.15</v>
      </c>
      <c r="F268" s="1055">
        <v>0.13</v>
      </c>
    </row>
    <row r="269" spans="1:6" ht="15" thickBot="1">
      <c r="A269" s="830" t="s">
        <v>530</v>
      </c>
      <c r="B269" s="824" t="s">
        <v>427</v>
      </c>
      <c r="C269" s="1054">
        <v>0.15</v>
      </c>
      <c r="D269" s="1054">
        <v>0.15</v>
      </c>
      <c r="E269" s="1054">
        <v>0.15</v>
      </c>
      <c r="F269" s="1055">
        <v>0.14299999999999999</v>
      </c>
    </row>
    <row r="270" spans="1:6" ht="15" thickBot="1">
      <c r="A270" s="830" t="s">
        <v>530</v>
      </c>
      <c r="B270" s="824" t="s">
        <v>434</v>
      </c>
      <c r="C270" s="1054">
        <v>0.14499999999999999</v>
      </c>
      <c r="D270" s="1054">
        <v>0.14499999999999999</v>
      </c>
      <c r="E270" s="1054">
        <v>0.15</v>
      </c>
      <c r="F270" s="1055">
        <v>0.14699999999999999</v>
      </c>
    </row>
    <row r="271" spans="1:6" ht="15" thickBot="1">
      <c r="A271" s="830" t="s">
        <v>530</v>
      </c>
      <c r="B271" s="824" t="s">
        <v>441</v>
      </c>
      <c r="C271" s="1054">
        <v>0.15</v>
      </c>
      <c r="D271" s="1054">
        <v>0.15</v>
      </c>
      <c r="E271" s="1054">
        <v>0.15</v>
      </c>
      <c r="F271" s="1055">
        <v>0.13800000000000001</v>
      </c>
    </row>
    <row r="272" spans="1:6" ht="15" thickBot="1">
      <c r="A272" s="830" t="s">
        <v>530</v>
      </c>
      <c r="B272" s="824" t="s">
        <v>448</v>
      </c>
      <c r="C272" s="1067"/>
      <c r="D272" s="1067"/>
      <c r="E272" s="1067"/>
      <c r="F272" s="1055">
        <v>0.14000000000000001</v>
      </c>
    </row>
    <row r="273" spans="1:6" ht="15" thickBot="1">
      <c r="A273" s="830" t="s">
        <v>530</v>
      </c>
      <c r="B273" s="824" t="s">
        <v>972</v>
      </c>
      <c r="C273" s="1054">
        <v>0.14199999999999999</v>
      </c>
      <c r="D273" s="1054">
        <v>0.14299999999999999</v>
      </c>
      <c r="E273" s="1054">
        <v>0.15</v>
      </c>
      <c r="F273" s="1055">
        <v>0.1</v>
      </c>
    </row>
    <row r="274" spans="1:6" ht="15" thickBot="1">
      <c r="A274" s="830" t="s">
        <v>530</v>
      </c>
      <c r="B274" s="824" t="s">
        <v>973</v>
      </c>
      <c r="C274" s="1054">
        <v>0.14799999999999999</v>
      </c>
      <c r="D274" s="1054">
        <v>0.14799999999999999</v>
      </c>
      <c r="E274" s="1054">
        <v>0.15</v>
      </c>
      <c r="F274" s="1055">
        <v>6.7000000000000004E-2</v>
      </c>
    </row>
    <row r="275" spans="1:6" ht="15" thickBot="1">
      <c r="A275" s="830" t="s">
        <v>530</v>
      </c>
      <c r="B275" s="824" t="s">
        <v>974</v>
      </c>
      <c r="C275" s="1054">
        <v>0.15</v>
      </c>
      <c r="D275" s="1054">
        <v>0.15</v>
      </c>
      <c r="E275" s="1054">
        <v>0.15</v>
      </c>
      <c r="F275" s="1055">
        <v>0.15</v>
      </c>
    </row>
    <row r="276" spans="1:6" ht="15" thickBot="1">
      <c r="A276" s="830" t="s">
        <v>530</v>
      </c>
      <c r="B276" s="824" t="s">
        <v>975</v>
      </c>
      <c r="C276" s="1054">
        <v>0.14499999999999999</v>
      </c>
      <c r="D276" s="1054">
        <v>0.14299999999999999</v>
      </c>
      <c r="E276" s="1054">
        <v>0.15</v>
      </c>
      <c r="F276" s="1055">
        <v>5.8999999999999997E-2</v>
      </c>
    </row>
    <row r="277" spans="1:6" ht="15" thickBot="1">
      <c r="A277" s="830" t="s">
        <v>530</v>
      </c>
      <c r="B277" s="824" t="s">
        <v>976</v>
      </c>
      <c r="C277" s="1054">
        <v>0.15</v>
      </c>
      <c r="D277" s="1054">
        <v>0.15</v>
      </c>
      <c r="E277" s="1054">
        <v>0.15</v>
      </c>
      <c r="F277" s="1055">
        <v>0.121</v>
      </c>
    </row>
    <row r="278" spans="1:6" ht="15" thickBot="1">
      <c r="A278" s="830" t="s">
        <v>530</v>
      </c>
      <c r="B278" s="824" t="s">
        <v>977</v>
      </c>
      <c r="C278" s="1054">
        <v>0.15</v>
      </c>
      <c r="D278" s="1054">
        <v>0.15</v>
      </c>
      <c r="E278" s="1054">
        <v>0.15</v>
      </c>
      <c r="F278" s="1055">
        <v>0.13800000000000001</v>
      </c>
    </row>
    <row r="279" spans="1:6" ht="24.6" thickBot="1">
      <c r="A279" s="830" t="s">
        <v>530</v>
      </c>
      <c r="B279" s="824" t="s">
        <v>978</v>
      </c>
      <c r="C279" s="1067"/>
      <c r="D279" s="1067"/>
      <c r="E279" s="1067"/>
      <c r="F279" s="1055">
        <v>0.05</v>
      </c>
    </row>
    <row r="280" spans="1:6" ht="24.6" thickBot="1">
      <c r="A280" s="830" t="s">
        <v>530</v>
      </c>
      <c r="B280" s="824" t="s">
        <v>979</v>
      </c>
      <c r="C280" s="1067"/>
      <c r="D280" s="1067"/>
      <c r="E280" s="1067"/>
      <c r="F280" s="1055">
        <v>0.05</v>
      </c>
    </row>
    <row r="281" spans="1:6" ht="24.6" thickBot="1">
      <c r="A281" s="830" t="s">
        <v>530</v>
      </c>
      <c r="B281" s="824" t="s">
        <v>980</v>
      </c>
      <c r="C281" s="1067"/>
      <c r="D281" s="1067"/>
      <c r="E281" s="1067"/>
      <c r="F281" s="1055">
        <v>0.05</v>
      </c>
    </row>
    <row r="282" spans="1:6" ht="24.6" thickBot="1">
      <c r="A282" s="830" t="s">
        <v>530</v>
      </c>
      <c r="B282" s="824" t="s">
        <v>981</v>
      </c>
      <c r="C282" s="1067"/>
      <c r="D282" s="1067"/>
      <c r="E282" s="1067"/>
      <c r="F282" s="1055">
        <v>0.05</v>
      </c>
    </row>
    <row r="283" spans="1:6" ht="24.6" thickBot="1">
      <c r="A283" s="830" t="s">
        <v>530</v>
      </c>
      <c r="B283" s="824" t="s">
        <v>982</v>
      </c>
      <c r="C283" s="1067"/>
      <c r="D283" s="1067"/>
      <c r="E283" s="1067"/>
      <c r="F283" s="1055">
        <v>0.05</v>
      </c>
    </row>
    <row r="284" spans="1:6" ht="24.6" thickBot="1">
      <c r="A284" s="830" t="s">
        <v>530</v>
      </c>
      <c r="B284" s="824" t="s">
        <v>983</v>
      </c>
      <c r="C284" s="1067"/>
      <c r="D284" s="1067"/>
      <c r="E284" s="1067"/>
      <c r="F284" s="1055">
        <v>0.05</v>
      </c>
    </row>
    <row r="285" spans="1:6" ht="24.6" thickBot="1">
      <c r="A285" s="830" t="s">
        <v>530</v>
      </c>
      <c r="B285" s="824" t="s">
        <v>984</v>
      </c>
      <c r="C285" s="1067"/>
      <c r="D285" s="1067"/>
      <c r="E285" s="1067"/>
      <c r="F285" s="1055">
        <v>0.05</v>
      </c>
    </row>
    <row r="286" spans="1:6" ht="24.6" thickBot="1">
      <c r="A286" s="830" t="s">
        <v>530</v>
      </c>
      <c r="B286" s="824" t="s">
        <v>985</v>
      </c>
      <c r="C286" s="1067"/>
      <c r="D286" s="1067"/>
      <c r="E286" s="1067"/>
      <c r="F286" s="1055">
        <v>0.05</v>
      </c>
    </row>
    <row r="287" spans="1:6" ht="24.6" thickBot="1">
      <c r="A287" s="830" t="s">
        <v>530</v>
      </c>
      <c r="B287" s="824" t="s">
        <v>986</v>
      </c>
      <c r="C287" s="1067"/>
      <c r="D287" s="1067"/>
      <c r="E287" s="1067"/>
      <c r="F287" s="1055">
        <v>0.05</v>
      </c>
    </row>
    <row r="288" spans="1:6" ht="24.6" thickBot="1">
      <c r="A288" s="830" t="s">
        <v>530</v>
      </c>
      <c r="B288" s="824" t="s">
        <v>987</v>
      </c>
      <c r="C288" s="1067"/>
      <c r="D288" s="1067"/>
      <c r="E288" s="1067"/>
      <c r="F288" s="1055">
        <v>0.05</v>
      </c>
    </row>
    <row r="289" spans="1:6" ht="24.6" thickBot="1">
      <c r="A289" s="840" t="s">
        <v>530</v>
      </c>
      <c r="B289" s="836" t="s">
        <v>988</v>
      </c>
      <c r="C289" s="1064"/>
      <c r="D289" s="1064"/>
      <c r="E289" s="1064"/>
      <c r="F289" s="1057">
        <v>0.05</v>
      </c>
    </row>
    <row r="290" spans="1:6" ht="15" thickBot="1">
      <c r="A290" s="830" t="s">
        <v>534</v>
      </c>
      <c r="B290" s="831" t="s">
        <v>989</v>
      </c>
      <c r="C290" s="1052">
        <v>0.15</v>
      </c>
      <c r="D290" s="1052">
        <v>0.15</v>
      </c>
      <c r="E290" s="1052">
        <v>0.15</v>
      </c>
      <c r="F290" s="1069"/>
    </row>
    <row r="291" spans="1:6" ht="15" thickBot="1">
      <c r="A291" s="830" t="s">
        <v>534</v>
      </c>
      <c r="B291" s="824" t="s">
        <v>196</v>
      </c>
      <c r="C291" s="1054">
        <v>0.15</v>
      </c>
      <c r="D291" s="1054">
        <v>0.15</v>
      </c>
      <c r="E291" s="1054">
        <v>0.15</v>
      </c>
      <c r="F291" s="1066"/>
    </row>
    <row r="292" spans="1:6" ht="15" thickBot="1">
      <c r="A292" s="830" t="s">
        <v>534</v>
      </c>
      <c r="B292" s="824" t="s">
        <v>990</v>
      </c>
      <c r="C292" s="1054">
        <v>0.15</v>
      </c>
      <c r="D292" s="1054">
        <v>0.15</v>
      </c>
      <c r="E292" s="1054">
        <v>0.15</v>
      </c>
      <c r="F292" s="1055">
        <v>0.14699999999999999</v>
      </c>
    </row>
    <row r="293" spans="1:6" ht="15" thickBot="1">
      <c r="A293" s="830" t="s">
        <v>534</v>
      </c>
      <c r="B293" s="824" t="s">
        <v>991</v>
      </c>
      <c r="C293" s="1067"/>
      <c r="D293" s="1067"/>
      <c r="E293" s="1067"/>
      <c r="F293" s="1055">
        <v>0.1</v>
      </c>
    </row>
    <row r="294" spans="1:6" ht="15" thickBot="1">
      <c r="A294" s="830" t="s">
        <v>534</v>
      </c>
      <c r="B294" s="824" t="s">
        <v>992</v>
      </c>
      <c r="C294" s="1054">
        <v>0.15</v>
      </c>
      <c r="D294" s="1054">
        <v>0.15</v>
      </c>
      <c r="E294" s="1054">
        <v>0.15</v>
      </c>
      <c r="F294" s="1055">
        <v>0.15</v>
      </c>
    </row>
    <row r="295" spans="1:6" ht="15" thickBot="1">
      <c r="A295" s="830" t="s">
        <v>534</v>
      </c>
      <c r="B295" s="824" t="s">
        <v>234</v>
      </c>
      <c r="C295" s="1054">
        <v>0.15</v>
      </c>
      <c r="D295" s="1054">
        <v>0.15</v>
      </c>
      <c r="E295" s="1054">
        <v>0.15</v>
      </c>
      <c r="F295" s="1055">
        <v>0.15</v>
      </c>
    </row>
    <row r="296" spans="1:6" ht="15" thickBot="1">
      <c r="A296" s="830" t="s">
        <v>534</v>
      </c>
      <c r="B296" s="824" t="s">
        <v>993</v>
      </c>
      <c r="C296" s="1054">
        <v>0.15</v>
      </c>
      <c r="D296" s="1054">
        <v>0.15</v>
      </c>
      <c r="E296" s="1054">
        <v>0.15</v>
      </c>
      <c r="F296" s="1055">
        <v>0.15</v>
      </c>
    </row>
    <row r="297" spans="1:6" ht="15" thickBot="1">
      <c r="A297" s="830" t="s">
        <v>534</v>
      </c>
      <c r="B297" s="824" t="s">
        <v>994</v>
      </c>
      <c r="C297" s="1054">
        <v>0.14799999999999999</v>
      </c>
      <c r="D297" s="1054">
        <v>0.14899999999999999</v>
      </c>
      <c r="E297" s="1054">
        <v>0.15</v>
      </c>
      <c r="F297" s="1055">
        <v>0.13700000000000001</v>
      </c>
    </row>
    <row r="298" spans="1:6" ht="15" thickBot="1">
      <c r="A298" s="830" t="s">
        <v>534</v>
      </c>
      <c r="B298" s="824" t="s">
        <v>267</v>
      </c>
      <c r="C298" s="1054">
        <v>0.13400000000000001</v>
      </c>
      <c r="D298" s="1054">
        <v>0.13400000000000001</v>
      </c>
      <c r="E298" s="1054">
        <v>0.14499999999999999</v>
      </c>
      <c r="F298" s="1055">
        <v>0.14799999999999999</v>
      </c>
    </row>
    <row r="299" spans="1:6" ht="15" thickBot="1">
      <c r="A299" s="830" t="s">
        <v>534</v>
      </c>
      <c r="B299" s="824" t="s">
        <v>279</v>
      </c>
      <c r="C299" s="1054">
        <v>0.15</v>
      </c>
      <c r="D299" s="1054">
        <v>0.15</v>
      </c>
      <c r="E299" s="1054">
        <v>0.15</v>
      </c>
      <c r="F299" s="1066"/>
    </row>
    <row r="300" spans="1:6" ht="15" thickBot="1">
      <c r="A300" s="830" t="s">
        <v>534</v>
      </c>
      <c r="B300" s="824" t="s">
        <v>995</v>
      </c>
      <c r="C300" s="1054">
        <v>0.15</v>
      </c>
      <c r="D300" s="1054">
        <v>0.15</v>
      </c>
      <c r="E300" s="1054">
        <v>0.15</v>
      </c>
      <c r="F300" s="1055">
        <v>0.15</v>
      </c>
    </row>
    <row r="301" spans="1:6" ht="15" thickBot="1">
      <c r="A301" s="830" t="s">
        <v>534</v>
      </c>
      <c r="B301" s="824" t="s">
        <v>299</v>
      </c>
      <c r="C301" s="1054">
        <v>0.15</v>
      </c>
      <c r="D301" s="1054">
        <v>0.15</v>
      </c>
      <c r="E301" s="1054">
        <v>0.15</v>
      </c>
      <c r="F301" s="1066"/>
    </row>
    <row r="302" spans="1:6" ht="15" thickBot="1">
      <c r="A302" s="830" t="s">
        <v>534</v>
      </c>
      <c r="B302" s="824" t="s">
        <v>996</v>
      </c>
      <c r="C302" s="1054">
        <v>0.15</v>
      </c>
      <c r="D302" s="1054">
        <v>0.15</v>
      </c>
      <c r="E302" s="1054">
        <v>0.15</v>
      </c>
      <c r="F302" s="1055">
        <v>0.15</v>
      </c>
    </row>
    <row r="303" spans="1:6" ht="15" thickBot="1">
      <c r="A303" s="830" t="s">
        <v>534</v>
      </c>
      <c r="B303" s="824" t="s">
        <v>319</v>
      </c>
      <c r="C303" s="1054">
        <v>0.15</v>
      </c>
      <c r="D303" s="1054">
        <v>0.15</v>
      </c>
      <c r="E303" s="1054">
        <v>0.15</v>
      </c>
      <c r="F303" s="1055">
        <v>0.15</v>
      </c>
    </row>
    <row r="304" spans="1:6" ht="15" thickBot="1">
      <c r="A304" s="830" t="s">
        <v>534</v>
      </c>
      <c r="B304" s="824" t="s">
        <v>330</v>
      </c>
      <c r="C304" s="1054">
        <v>0.15</v>
      </c>
      <c r="D304" s="1054">
        <v>0.15</v>
      </c>
      <c r="E304" s="1054">
        <v>0.15</v>
      </c>
      <c r="F304" s="1066"/>
    </row>
    <row r="305" spans="1:6" ht="15" thickBot="1">
      <c r="A305" s="830" t="s">
        <v>534</v>
      </c>
      <c r="B305" s="824" t="s">
        <v>997</v>
      </c>
      <c r="C305" s="1054">
        <v>0.15</v>
      </c>
      <c r="D305" s="1054">
        <v>0.15</v>
      </c>
      <c r="E305" s="1054">
        <v>0.15</v>
      </c>
      <c r="F305" s="1055">
        <v>0.14000000000000001</v>
      </c>
    </row>
    <row r="306" spans="1:6" ht="15" thickBot="1">
      <c r="A306" s="830" t="s">
        <v>534</v>
      </c>
      <c r="B306" s="824" t="s">
        <v>351</v>
      </c>
      <c r="C306" s="1054">
        <v>0.15</v>
      </c>
      <c r="D306" s="1054">
        <v>0.15</v>
      </c>
      <c r="E306" s="1054">
        <v>0.15</v>
      </c>
      <c r="F306" s="1066"/>
    </row>
    <row r="307" spans="1:6" ht="15" thickBot="1">
      <c r="A307" s="830" t="s">
        <v>534</v>
      </c>
      <c r="B307" s="824" t="s">
        <v>998</v>
      </c>
      <c r="C307" s="1054">
        <v>0.15</v>
      </c>
      <c r="D307" s="1054">
        <v>0.15</v>
      </c>
      <c r="E307" s="1054">
        <v>0.15</v>
      </c>
      <c r="F307" s="1055">
        <v>0.14299999999999999</v>
      </c>
    </row>
    <row r="308" spans="1:6" ht="15" thickBot="1">
      <c r="A308" s="830" t="s">
        <v>534</v>
      </c>
      <c r="B308" s="824" t="s">
        <v>371</v>
      </c>
      <c r="C308" s="1054">
        <v>0.15</v>
      </c>
      <c r="D308" s="1054">
        <v>0.15</v>
      </c>
      <c r="E308" s="1054">
        <v>0.15</v>
      </c>
      <c r="F308" s="1055">
        <v>0.15</v>
      </c>
    </row>
    <row r="309" spans="1:6" ht="15" thickBot="1">
      <c r="A309" s="830" t="s">
        <v>534</v>
      </c>
      <c r="B309" s="824" t="s">
        <v>381</v>
      </c>
      <c r="C309" s="1054">
        <v>0.15</v>
      </c>
      <c r="D309" s="1054">
        <v>0.15</v>
      </c>
      <c r="E309" s="1054">
        <v>0.15</v>
      </c>
      <c r="F309" s="1066"/>
    </row>
    <row r="310" spans="1:6" ht="15" thickBot="1">
      <c r="A310" s="830" t="s">
        <v>534</v>
      </c>
      <c r="B310" s="824" t="s">
        <v>999</v>
      </c>
      <c r="C310" s="1054">
        <v>0.15</v>
      </c>
      <c r="D310" s="1054">
        <v>0.15</v>
      </c>
      <c r="E310" s="1054">
        <v>0.15</v>
      </c>
      <c r="F310" s="1055">
        <v>0.13700000000000001</v>
      </c>
    </row>
    <row r="311" spans="1:6" ht="15" thickBot="1">
      <c r="A311" s="830" t="s">
        <v>534</v>
      </c>
      <c r="B311" s="824" t="s">
        <v>1000</v>
      </c>
      <c r="C311" s="1054">
        <v>0.15</v>
      </c>
      <c r="D311" s="1054">
        <v>0.15</v>
      </c>
      <c r="E311" s="1054">
        <v>0.15</v>
      </c>
      <c r="F311" s="1055">
        <v>0.15</v>
      </c>
    </row>
    <row r="312" spans="1:6" ht="15" thickBot="1">
      <c r="A312" s="830" t="s">
        <v>534</v>
      </c>
      <c r="B312" s="824" t="s">
        <v>407</v>
      </c>
      <c r="C312" s="1054">
        <v>0.15</v>
      </c>
      <c r="D312" s="1054">
        <v>0.15</v>
      </c>
      <c r="E312" s="1054">
        <v>0.15</v>
      </c>
      <c r="F312" s="1055">
        <v>0.1</v>
      </c>
    </row>
    <row r="313" spans="1:6" ht="15" thickBot="1">
      <c r="A313" s="830" t="s">
        <v>534</v>
      </c>
      <c r="B313" s="824" t="s">
        <v>1001</v>
      </c>
      <c r="C313" s="1054">
        <v>0.15</v>
      </c>
      <c r="D313" s="1054">
        <v>0.15</v>
      </c>
      <c r="E313" s="1054">
        <v>0.15</v>
      </c>
      <c r="F313" s="1055">
        <v>0.15</v>
      </c>
    </row>
    <row r="314" spans="1:6" ht="24.6" thickBot="1">
      <c r="A314" s="830" t="s">
        <v>534</v>
      </c>
      <c r="B314" s="824" t="s">
        <v>1002</v>
      </c>
      <c r="C314" s="1067"/>
      <c r="D314" s="1067"/>
      <c r="E314" s="1067"/>
      <c r="F314" s="1055">
        <v>0.05</v>
      </c>
    </row>
    <row r="315" spans="1:6" ht="24.6" thickBot="1">
      <c r="A315" s="830" t="s">
        <v>534</v>
      </c>
      <c r="B315" s="824" t="s">
        <v>1003</v>
      </c>
      <c r="C315" s="1067"/>
      <c r="D315" s="1067"/>
      <c r="E315" s="1067"/>
      <c r="F315" s="1055">
        <v>0.05</v>
      </c>
    </row>
    <row r="316" spans="1:6" ht="24.6" thickBot="1">
      <c r="A316" s="840" t="s">
        <v>534</v>
      </c>
      <c r="B316" s="836" t="s">
        <v>1004</v>
      </c>
      <c r="C316" s="1064"/>
      <c r="D316" s="1064"/>
      <c r="E316" s="1064"/>
      <c r="F316" s="1057">
        <v>0.05</v>
      </c>
    </row>
    <row r="317" spans="1:6" ht="15" thickBot="1">
      <c r="A317" s="830" t="s">
        <v>1005</v>
      </c>
      <c r="B317" s="831" t="s">
        <v>1006</v>
      </c>
      <c r="C317" s="1052">
        <v>0.15</v>
      </c>
      <c r="D317" s="1052">
        <v>0.15</v>
      </c>
      <c r="E317" s="1052">
        <v>0.15</v>
      </c>
      <c r="F317" s="1053">
        <v>0.15</v>
      </c>
    </row>
    <row r="318" spans="1:6" ht="15" thickBot="1">
      <c r="A318" s="830" t="s">
        <v>1005</v>
      </c>
      <c r="B318" s="824" t="s">
        <v>1007</v>
      </c>
      <c r="C318" s="1054">
        <v>0.107</v>
      </c>
      <c r="D318" s="1054">
        <v>0.11</v>
      </c>
      <c r="E318" s="1054">
        <v>0.112</v>
      </c>
      <c r="F318" s="1066"/>
    </row>
    <row r="319" spans="1:6" ht="15" thickBot="1">
      <c r="A319" s="830" t="s">
        <v>1005</v>
      </c>
      <c r="B319" s="824" t="s">
        <v>1008</v>
      </c>
      <c r="C319" s="1054">
        <v>0.15</v>
      </c>
      <c r="D319" s="1054">
        <v>0.15</v>
      </c>
      <c r="E319" s="1054">
        <v>0.15</v>
      </c>
      <c r="F319" s="1055">
        <v>0.15</v>
      </c>
    </row>
    <row r="320" spans="1:6" ht="15" thickBot="1">
      <c r="A320" s="830" t="s">
        <v>1005</v>
      </c>
      <c r="B320" s="824" t="s">
        <v>223</v>
      </c>
      <c r="C320" s="1054">
        <v>0.15</v>
      </c>
      <c r="D320" s="1054">
        <v>0.15</v>
      </c>
      <c r="E320" s="1054">
        <v>0.15</v>
      </c>
      <c r="F320" s="1066"/>
    </row>
    <row r="321" spans="1:6" ht="15" thickBot="1">
      <c r="A321" s="830" t="s">
        <v>1005</v>
      </c>
      <c r="B321" s="824" t="s">
        <v>1009</v>
      </c>
      <c r="C321" s="1054">
        <v>0.15</v>
      </c>
      <c r="D321" s="1054">
        <v>0.15</v>
      </c>
      <c r="E321" s="1054">
        <v>0.15</v>
      </c>
      <c r="F321" s="1066"/>
    </row>
    <row r="322" spans="1:6" ht="15" thickBot="1">
      <c r="A322" s="830" t="s">
        <v>1005</v>
      </c>
      <c r="B322" s="824" t="s">
        <v>1010</v>
      </c>
      <c r="C322" s="1054">
        <v>0.15</v>
      </c>
      <c r="D322" s="1054">
        <v>0.15</v>
      </c>
      <c r="E322" s="1054">
        <v>0.15</v>
      </c>
      <c r="F322" s="1055">
        <v>0.15</v>
      </c>
    </row>
    <row r="323" spans="1:6" ht="15" thickBot="1">
      <c r="A323" s="830" t="s">
        <v>1005</v>
      </c>
      <c r="B323" s="824" t="s">
        <v>1011</v>
      </c>
      <c r="C323" s="1054">
        <v>0.15</v>
      </c>
      <c r="D323" s="1054">
        <v>0.15</v>
      </c>
      <c r="E323" s="1054">
        <v>0.15</v>
      </c>
      <c r="F323" s="1066"/>
    </row>
    <row r="324" spans="1:6" ht="15" thickBot="1">
      <c r="A324" s="830" t="s">
        <v>1005</v>
      </c>
      <c r="B324" s="824" t="s">
        <v>1012</v>
      </c>
      <c r="C324" s="1054">
        <v>0.15</v>
      </c>
      <c r="D324" s="1054">
        <v>0.15</v>
      </c>
      <c r="E324" s="1054">
        <v>0.15</v>
      </c>
      <c r="F324" s="1066"/>
    </row>
    <row r="325" spans="1:6" ht="15" thickBot="1">
      <c r="A325" s="830" t="s">
        <v>1005</v>
      </c>
      <c r="B325" s="824" t="s">
        <v>1013</v>
      </c>
      <c r="C325" s="1054">
        <v>0.15</v>
      </c>
      <c r="D325" s="1054">
        <v>0.15</v>
      </c>
      <c r="E325" s="1054">
        <v>0.15</v>
      </c>
      <c r="F325" s="1055">
        <v>0.14699999999999999</v>
      </c>
    </row>
    <row r="326" spans="1:6" ht="15" thickBot="1">
      <c r="A326" s="830" t="s">
        <v>1005</v>
      </c>
      <c r="B326" s="824" t="s">
        <v>290</v>
      </c>
      <c r="C326" s="1054">
        <v>0.15</v>
      </c>
      <c r="D326" s="1054">
        <v>0.15</v>
      </c>
      <c r="E326" s="1054">
        <v>0.15</v>
      </c>
      <c r="F326" s="1066"/>
    </row>
    <row r="327" spans="1:6" ht="15" thickBot="1">
      <c r="A327" s="830" t="s">
        <v>1005</v>
      </c>
      <c r="B327" s="824" t="s">
        <v>1014</v>
      </c>
      <c r="C327" s="1054">
        <v>0.15</v>
      </c>
      <c r="D327" s="1054">
        <v>0.15</v>
      </c>
      <c r="E327" s="1054">
        <v>0.15</v>
      </c>
      <c r="F327" s="1055">
        <v>0.15</v>
      </c>
    </row>
    <row r="328" spans="1:6" ht="15" thickBot="1">
      <c r="A328" s="830" t="s">
        <v>1005</v>
      </c>
      <c r="B328" s="824" t="s">
        <v>310</v>
      </c>
      <c r="C328" s="1054">
        <v>0.15</v>
      </c>
      <c r="D328" s="1054">
        <v>0.15</v>
      </c>
      <c r="E328" s="1054">
        <v>0.15</v>
      </c>
      <c r="F328" s="1055">
        <v>0.14099999999999999</v>
      </c>
    </row>
    <row r="329" spans="1:6" ht="15" thickBot="1">
      <c r="A329" s="830" t="s">
        <v>1005</v>
      </c>
      <c r="B329" s="824" t="s">
        <v>320</v>
      </c>
      <c r="C329" s="1054">
        <v>0.15</v>
      </c>
      <c r="D329" s="1054">
        <v>0.15</v>
      </c>
      <c r="E329" s="1054">
        <v>0.15</v>
      </c>
      <c r="F329" s="1055">
        <v>0.15</v>
      </c>
    </row>
    <row r="330" spans="1:6" ht="15" thickBot="1">
      <c r="A330" s="830" t="s">
        <v>1005</v>
      </c>
      <c r="B330" s="824" t="s">
        <v>331</v>
      </c>
      <c r="C330" s="1054">
        <v>0.15</v>
      </c>
      <c r="D330" s="1054">
        <v>0.15</v>
      </c>
      <c r="E330" s="1054">
        <v>0.15</v>
      </c>
      <c r="F330" s="1066"/>
    </row>
    <row r="331" spans="1:6" ht="15" thickBot="1">
      <c r="A331" s="830" t="s">
        <v>1005</v>
      </c>
      <c r="B331" s="824" t="s">
        <v>1015</v>
      </c>
      <c r="C331" s="1054">
        <v>0.15</v>
      </c>
      <c r="D331" s="1054">
        <v>0.15</v>
      </c>
      <c r="E331" s="1054">
        <v>0.15</v>
      </c>
      <c r="F331" s="1055">
        <v>0.15</v>
      </c>
    </row>
    <row r="332" spans="1:6" ht="15" thickBot="1">
      <c r="A332" s="830" t="s">
        <v>1005</v>
      </c>
      <c r="B332" s="824" t="s">
        <v>352</v>
      </c>
      <c r="C332" s="1054">
        <v>0.15</v>
      </c>
      <c r="D332" s="1054">
        <v>0.15</v>
      </c>
      <c r="E332" s="1054">
        <v>0.15</v>
      </c>
      <c r="F332" s="1055">
        <v>0.15</v>
      </c>
    </row>
    <row r="333" spans="1:6" ht="15" thickBot="1">
      <c r="A333" s="830" t="s">
        <v>1005</v>
      </c>
      <c r="B333" s="824" t="s">
        <v>1016</v>
      </c>
      <c r="C333" s="1054">
        <v>0.15</v>
      </c>
      <c r="D333" s="1054">
        <v>0.15</v>
      </c>
      <c r="E333" s="1054">
        <v>0.15</v>
      </c>
      <c r="F333" s="1055">
        <v>0.14099999999999999</v>
      </c>
    </row>
    <row r="334" spans="1:6" ht="15" thickBot="1">
      <c r="A334" s="830" t="s">
        <v>1005</v>
      </c>
      <c r="B334" s="824" t="s">
        <v>372</v>
      </c>
      <c r="C334" s="1054">
        <v>0.15</v>
      </c>
      <c r="D334" s="1054">
        <v>0.15</v>
      </c>
      <c r="E334" s="1054">
        <v>0.15</v>
      </c>
      <c r="F334" s="1055">
        <v>0.15</v>
      </c>
    </row>
    <row r="335" spans="1:6" ht="15" thickBot="1">
      <c r="A335" s="830" t="s">
        <v>1005</v>
      </c>
      <c r="B335" s="824" t="s">
        <v>382</v>
      </c>
      <c r="C335" s="1054">
        <v>0.15</v>
      </c>
      <c r="D335" s="1054">
        <v>0.15</v>
      </c>
      <c r="E335" s="1054">
        <v>0.15</v>
      </c>
      <c r="F335" s="1066"/>
    </row>
    <row r="336" spans="1:6" ht="15" thickBot="1">
      <c r="A336" s="830" t="s">
        <v>1005</v>
      </c>
      <c r="B336" s="824" t="s">
        <v>1017</v>
      </c>
      <c r="C336" s="1054">
        <v>0.15</v>
      </c>
      <c r="D336" s="1054">
        <v>0.15</v>
      </c>
      <c r="E336" s="1054">
        <v>0.15</v>
      </c>
      <c r="F336" s="1055">
        <v>0.11799999999999999</v>
      </c>
    </row>
    <row r="337" spans="1:6" ht="15" thickBot="1">
      <c r="A337" s="840" t="s">
        <v>1005</v>
      </c>
      <c r="B337" s="836" t="s">
        <v>400</v>
      </c>
      <c r="C337" s="1064"/>
      <c r="D337" s="1064"/>
      <c r="E337" s="1064"/>
      <c r="F337" s="1057">
        <v>0.14299999999999999</v>
      </c>
    </row>
    <row r="338" spans="1:6" ht="15" thickBot="1">
      <c r="A338" s="830" t="s">
        <v>1018</v>
      </c>
      <c r="B338" s="831" t="s">
        <v>1019</v>
      </c>
      <c r="C338" s="1052">
        <v>0.15</v>
      </c>
      <c r="D338" s="1052">
        <v>0.15</v>
      </c>
      <c r="E338" s="1052">
        <v>0.15</v>
      </c>
      <c r="F338" s="1069"/>
    </row>
    <row r="339" spans="1:6" ht="15" thickBot="1">
      <c r="A339" s="830" t="s">
        <v>1018</v>
      </c>
      <c r="B339" s="824" t="s">
        <v>1020</v>
      </c>
      <c r="C339" s="1054">
        <v>0.15</v>
      </c>
      <c r="D339" s="1054">
        <v>0.15</v>
      </c>
      <c r="E339" s="1054">
        <v>0.15</v>
      </c>
      <c r="F339" s="1066"/>
    </row>
    <row r="340" spans="1:6" ht="15" thickBot="1">
      <c r="A340" s="830" t="s">
        <v>1018</v>
      </c>
      <c r="B340" s="824" t="s">
        <v>1021</v>
      </c>
      <c r="C340" s="1054">
        <v>0.15</v>
      </c>
      <c r="D340" s="1054">
        <v>0.15</v>
      </c>
      <c r="E340" s="1054">
        <v>0.15</v>
      </c>
      <c r="F340" s="1066"/>
    </row>
    <row r="341" spans="1:6" ht="15" thickBot="1">
      <c r="A341" s="830" t="s">
        <v>1018</v>
      </c>
      <c r="B341" s="824" t="s">
        <v>1022</v>
      </c>
      <c r="C341" s="1054">
        <v>0.15</v>
      </c>
      <c r="D341" s="1054">
        <v>0.15</v>
      </c>
      <c r="E341" s="1054">
        <v>0.15</v>
      </c>
      <c r="F341" s="1055">
        <v>0.15</v>
      </c>
    </row>
    <row r="342" spans="1:6" ht="15" thickBot="1">
      <c r="A342" s="830" t="s">
        <v>1018</v>
      </c>
      <c r="B342" s="824" t="s">
        <v>1023</v>
      </c>
      <c r="C342" s="1054">
        <v>0.15</v>
      </c>
      <c r="D342" s="1054">
        <v>0.15</v>
      </c>
      <c r="E342" s="1054">
        <v>0.15</v>
      </c>
      <c r="F342" s="1055">
        <v>0.15</v>
      </c>
    </row>
    <row r="343" spans="1:6" ht="15" thickBot="1">
      <c r="A343" s="830" t="s">
        <v>1018</v>
      </c>
      <c r="B343" s="824" t="s">
        <v>1024</v>
      </c>
      <c r="C343" s="1054">
        <v>0.15</v>
      </c>
      <c r="D343" s="1054">
        <v>0.15</v>
      </c>
      <c r="E343" s="1054">
        <v>0.15</v>
      </c>
      <c r="F343" s="1055">
        <v>0.15</v>
      </c>
    </row>
    <row r="344" spans="1:6" ht="1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W63"/>
  <sheetViews>
    <sheetView workbookViewId="0">
      <selection activeCell="I1" sqref="I1"/>
    </sheetView>
  </sheetViews>
  <sheetFormatPr defaultRowHeight="14.4"/>
  <cols>
    <col min="1" max="1" width="4.88671875" style="1618" customWidth="1"/>
    <col min="2" max="2" width="13.21875" style="1624" customWidth="1"/>
    <col min="3" max="3" width="15.6640625" style="1624" customWidth="1"/>
    <col min="4" max="4" width="9.33203125" style="1624" bestFit="1" customWidth="1"/>
    <col min="5" max="5" width="13.44140625" style="1624" customWidth="1"/>
    <col min="6" max="6" width="9" style="1624"/>
    <col min="7" max="7" width="9.33203125" style="1624" bestFit="1" customWidth="1"/>
    <col min="8" max="8" width="12.21875" style="1624" customWidth="1"/>
    <col min="9" max="9" width="9" style="1624"/>
    <col min="10" max="10" width="9.33203125" style="1624" bestFit="1" customWidth="1"/>
    <col min="11" max="11" width="4" style="1618" customWidth="1"/>
    <col min="12" max="12" width="5.109375" style="1624" customWidth="1"/>
    <col min="13" max="13" width="13.77734375" style="1624" customWidth="1"/>
    <col min="14" max="256" width="9" style="1624"/>
    <col min="257" max="257" width="4.88671875" style="1615" customWidth="1"/>
    <col min="258" max="258" width="13.21875" style="1615" customWidth="1"/>
    <col min="259" max="259" width="15.6640625" style="1615" customWidth="1"/>
    <col min="260" max="260" width="9.33203125" style="1615" bestFit="1" customWidth="1"/>
    <col min="261" max="261" width="13.44140625" style="1615" customWidth="1"/>
    <col min="262" max="262" width="9" style="1615"/>
    <col min="263" max="263" width="9.33203125" style="1615" bestFit="1" customWidth="1"/>
    <col min="264" max="265" width="9" style="1615"/>
    <col min="266" max="266" width="9.33203125" style="1615" bestFit="1" customWidth="1"/>
    <col min="267" max="267" width="4" style="1615" customWidth="1"/>
    <col min="268" max="268" width="5.109375" style="1615" customWidth="1"/>
    <col min="269" max="269" width="13.77734375" style="1615" customWidth="1"/>
    <col min="270" max="512" width="9" style="1615"/>
    <col min="513" max="513" width="4.88671875" style="1615" customWidth="1"/>
    <col min="514" max="514" width="13.21875" style="1615" customWidth="1"/>
    <col min="515" max="515" width="15.6640625" style="1615" customWidth="1"/>
    <col min="516" max="516" width="9.33203125" style="1615" bestFit="1" customWidth="1"/>
    <col min="517" max="517" width="13.44140625" style="1615" customWidth="1"/>
    <col min="518" max="518" width="9" style="1615"/>
    <col min="519" max="519" width="9.33203125" style="1615" bestFit="1" customWidth="1"/>
    <col min="520" max="521" width="9" style="1615"/>
    <col min="522" max="522" width="9.33203125" style="1615" bestFit="1" customWidth="1"/>
    <col min="523" max="523" width="4" style="1615" customWidth="1"/>
    <col min="524" max="524" width="5.109375" style="1615" customWidth="1"/>
    <col min="525" max="525" width="13.77734375" style="1615" customWidth="1"/>
    <col min="526" max="768" width="9" style="1615"/>
    <col min="769" max="769" width="4.88671875" style="1615" customWidth="1"/>
    <col min="770" max="770" width="13.21875" style="1615" customWidth="1"/>
    <col min="771" max="771" width="15.6640625" style="1615" customWidth="1"/>
    <col min="772" max="772" width="9.33203125" style="1615" bestFit="1" customWidth="1"/>
    <col min="773" max="773" width="13.44140625" style="1615" customWidth="1"/>
    <col min="774" max="774" width="9" style="1615"/>
    <col min="775" max="775" width="9.33203125" style="1615" bestFit="1" customWidth="1"/>
    <col min="776" max="777" width="9" style="1615"/>
    <col min="778" max="778" width="9.33203125" style="1615" bestFit="1" customWidth="1"/>
    <col min="779" max="779" width="4" style="1615" customWidth="1"/>
    <col min="780" max="780" width="5.109375" style="1615" customWidth="1"/>
    <col min="781" max="781" width="13.77734375" style="1615" customWidth="1"/>
    <col min="782" max="1024" width="9" style="1615"/>
    <col min="1025" max="1025" width="4.88671875" style="1615" customWidth="1"/>
    <col min="1026" max="1026" width="13.21875" style="1615" customWidth="1"/>
    <col min="1027" max="1027" width="15.6640625" style="1615" customWidth="1"/>
    <col min="1028" max="1028" width="9.33203125" style="1615" bestFit="1" customWidth="1"/>
    <col min="1029" max="1029" width="13.44140625" style="1615" customWidth="1"/>
    <col min="1030" max="1030" width="9" style="1615"/>
    <col min="1031" max="1031" width="9.33203125" style="1615" bestFit="1" customWidth="1"/>
    <col min="1032" max="1033" width="9" style="1615"/>
    <col min="1034" max="1034" width="9.33203125" style="1615" bestFit="1" customWidth="1"/>
    <col min="1035" max="1035" width="4" style="1615" customWidth="1"/>
    <col min="1036" max="1036" width="5.109375" style="1615" customWidth="1"/>
    <col min="1037" max="1037" width="13.77734375" style="1615" customWidth="1"/>
    <col min="1038" max="1280" width="9" style="1615"/>
    <col min="1281" max="1281" width="4.88671875" style="1615" customWidth="1"/>
    <col min="1282" max="1282" width="13.21875" style="1615" customWidth="1"/>
    <col min="1283" max="1283" width="15.6640625" style="1615" customWidth="1"/>
    <col min="1284" max="1284" width="9.33203125" style="1615" bestFit="1" customWidth="1"/>
    <col min="1285" max="1285" width="13.44140625" style="1615" customWidth="1"/>
    <col min="1286" max="1286" width="9" style="1615"/>
    <col min="1287" max="1287" width="9.33203125" style="1615" bestFit="1" customWidth="1"/>
    <col min="1288" max="1289" width="9" style="1615"/>
    <col min="1290" max="1290" width="9.33203125" style="1615" bestFit="1" customWidth="1"/>
    <col min="1291" max="1291" width="4" style="1615" customWidth="1"/>
    <col min="1292" max="1292" width="5.109375" style="1615" customWidth="1"/>
    <col min="1293" max="1293" width="13.77734375" style="1615" customWidth="1"/>
    <col min="1294" max="1536" width="9" style="1615"/>
    <col min="1537" max="1537" width="4.88671875" style="1615" customWidth="1"/>
    <col min="1538" max="1538" width="13.21875" style="1615" customWidth="1"/>
    <col min="1539" max="1539" width="15.6640625" style="1615" customWidth="1"/>
    <col min="1540" max="1540" width="9.33203125" style="1615" bestFit="1" customWidth="1"/>
    <col min="1541" max="1541" width="13.44140625" style="1615" customWidth="1"/>
    <col min="1542" max="1542" width="9" style="1615"/>
    <col min="1543" max="1543" width="9.33203125" style="1615" bestFit="1" customWidth="1"/>
    <col min="1544" max="1545" width="9" style="1615"/>
    <col min="1546" max="1546" width="9.33203125" style="1615" bestFit="1" customWidth="1"/>
    <col min="1547" max="1547" width="4" style="1615" customWidth="1"/>
    <col min="1548" max="1548" width="5.109375" style="1615" customWidth="1"/>
    <col min="1549" max="1549" width="13.77734375" style="1615" customWidth="1"/>
    <col min="1550" max="1792" width="9" style="1615"/>
    <col min="1793" max="1793" width="4.88671875" style="1615" customWidth="1"/>
    <col min="1794" max="1794" width="13.21875" style="1615" customWidth="1"/>
    <col min="1795" max="1795" width="15.6640625" style="1615" customWidth="1"/>
    <col min="1796" max="1796" width="9.33203125" style="1615" bestFit="1" customWidth="1"/>
    <col min="1797" max="1797" width="13.44140625" style="1615" customWidth="1"/>
    <col min="1798" max="1798" width="9" style="1615"/>
    <col min="1799" max="1799" width="9.33203125" style="1615" bestFit="1" customWidth="1"/>
    <col min="1800" max="1801" width="9" style="1615"/>
    <col min="1802" max="1802" width="9.33203125" style="1615" bestFit="1" customWidth="1"/>
    <col min="1803" max="1803" width="4" style="1615" customWidth="1"/>
    <col min="1804" max="1804" width="5.109375" style="1615" customWidth="1"/>
    <col min="1805" max="1805" width="13.77734375" style="1615" customWidth="1"/>
    <col min="1806" max="2048" width="9" style="1615"/>
    <col min="2049" max="2049" width="4.88671875" style="1615" customWidth="1"/>
    <col min="2050" max="2050" width="13.21875" style="1615" customWidth="1"/>
    <col min="2051" max="2051" width="15.6640625" style="1615" customWidth="1"/>
    <col min="2052" max="2052" width="9.33203125" style="1615" bestFit="1" customWidth="1"/>
    <col min="2053" max="2053" width="13.44140625" style="1615" customWidth="1"/>
    <col min="2054" max="2054" width="9" style="1615"/>
    <col min="2055" max="2055" width="9.33203125" style="1615" bestFit="1" customWidth="1"/>
    <col min="2056" max="2057" width="9" style="1615"/>
    <col min="2058" max="2058" width="9.33203125" style="1615" bestFit="1" customWidth="1"/>
    <col min="2059" max="2059" width="4" style="1615" customWidth="1"/>
    <col min="2060" max="2060" width="5.109375" style="1615" customWidth="1"/>
    <col min="2061" max="2061" width="13.77734375" style="1615" customWidth="1"/>
    <col min="2062" max="2304" width="9" style="1615"/>
    <col min="2305" max="2305" width="4.88671875" style="1615" customWidth="1"/>
    <col min="2306" max="2306" width="13.21875" style="1615" customWidth="1"/>
    <col min="2307" max="2307" width="15.6640625" style="1615" customWidth="1"/>
    <col min="2308" max="2308" width="9.33203125" style="1615" bestFit="1" customWidth="1"/>
    <col min="2309" max="2309" width="13.44140625" style="1615" customWidth="1"/>
    <col min="2310" max="2310" width="9" style="1615"/>
    <col min="2311" max="2311" width="9.33203125" style="1615" bestFit="1" customWidth="1"/>
    <col min="2312" max="2313" width="9" style="1615"/>
    <col min="2314" max="2314" width="9.33203125" style="1615" bestFit="1" customWidth="1"/>
    <col min="2315" max="2315" width="4" style="1615" customWidth="1"/>
    <col min="2316" max="2316" width="5.109375" style="1615" customWidth="1"/>
    <col min="2317" max="2317" width="13.77734375" style="1615" customWidth="1"/>
    <col min="2318" max="2560" width="9" style="1615"/>
    <col min="2561" max="2561" width="4.88671875" style="1615" customWidth="1"/>
    <col min="2562" max="2562" width="13.21875" style="1615" customWidth="1"/>
    <col min="2563" max="2563" width="15.6640625" style="1615" customWidth="1"/>
    <col min="2564" max="2564" width="9.33203125" style="1615" bestFit="1" customWidth="1"/>
    <col min="2565" max="2565" width="13.44140625" style="1615" customWidth="1"/>
    <col min="2566" max="2566" width="9" style="1615"/>
    <col min="2567" max="2567" width="9.33203125" style="1615" bestFit="1" customWidth="1"/>
    <col min="2568" max="2569" width="9" style="1615"/>
    <col min="2570" max="2570" width="9.33203125" style="1615" bestFit="1" customWidth="1"/>
    <col min="2571" max="2571" width="4" style="1615" customWidth="1"/>
    <col min="2572" max="2572" width="5.109375" style="1615" customWidth="1"/>
    <col min="2573" max="2573" width="13.77734375" style="1615" customWidth="1"/>
    <col min="2574" max="2816" width="9" style="1615"/>
    <col min="2817" max="2817" width="4.88671875" style="1615" customWidth="1"/>
    <col min="2818" max="2818" width="13.21875" style="1615" customWidth="1"/>
    <col min="2819" max="2819" width="15.6640625" style="1615" customWidth="1"/>
    <col min="2820" max="2820" width="9.33203125" style="1615" bestFit="1" customWidth="1"/>
    <col min="2821" max="2821" width="13.44140625" style="1615" customWidth="1"/>
    <col min="2822" max="2822" width="9" style="1615"/>
    <col min="2823" max="2823" width="9.33203125" style="1615" bestFit="1" customWidth="1"/>
    <col min="2824" max="2825" width="9" style="1615"/>
    <col min="2826" max="2826" width="9.33203125" style="1615" bestFit="1" customWidth="1"/>
    <col min="2827" max="2827" width="4" style="1615" customWidth="1"/>
    <col min="2828" max="2828" width="5.109375" style="1615" customWidth="1"/>
    <col min="2829" max="2829" width="13.77734375" style="1615" customWidth="1"/>
    <col min="2830" max="3072" width="9" style="1615"/>
    <col min="3073" max="3073" width="4.88671875" style="1615" customWidth="1"/>
    <col min="3074" max="3074" width="13.21875" style="1615" customWidth="1"/>
    <col min="3075" max="3075" width="15.6640625" style="1615" customWidth="1"/>
    <col min="3076" max="3076" width="9.33203125" style="1615" bestFit="1" customWidth="1"/>
    <col min="3077" max="3077" width="13.44140625" style="1615" customWidth="1"/>
    <col min="3078" max="3078" width="9" style="1615"/>
    <col min="3079" max="3079" width="9.33203125" style="1615" bestFit="1" customWidth="1"/>
    <col min="3080" max="3081" width="9" style="1615"/>
    <col min="3082" max="3082" width="9.33203125" style="1615" bestFit="1" customWidth="1"/>
    <col min="3083" max="3083" width="4" style="1615" customWidth="1"/>
    <col min="3084" max="3084" width="5.109375" style="1615" customWidth="1"/>
    <col min="3085" max="3085" width="13.77734375" style="1615" customWidth="1"/>
    <col min="3086" max="3328" width="9" style="1615"/>
    <col min="3329" max="3329" width="4.88671875" style="1615" customWidth="1"/>
    <col min="3330" max="3330" width="13.21875" style="1615" customWidth="1"/>
    <col min="3331" max="3331" width="15.6640625" style="1615" customWidth="1"/>
    <col min="3332" max="3332" width="9.33203125" style="1615" bestFit="1" customWidth="1"/>
    <col min="3333" max="3333" width="13.44140625" style="1615" customWidth="1"/>
    <col min="3334" max="3334" width="9" style="1615"/>
    <col min="3335" max="3335" width="9.33203125" style="1615" bestFit="1" customWidth="1"/>
    <col min="3336" max="3337" width="9" style="1615"/>
    <col min="3338" max="3338" width="9.33203125" style="1615" bestFit="1" customWidth="1"/>
    <col min="3339" max="3339" width="4" style="1615" customWidth="1"/>
    <col min="3340" max="3340" width="5.109375" style="1615" customWidth="1"/>
    <col min="3341" max="3341" width="13.77734375" style="1615" customWidth="1"/>
    <col min="3342" max="3584" width="9" style="1615"/>
    <col min="3585" max="3585" width="4.88671875" style="1615" customWidth="1"/>
    <col min="3586" max="3586" width="13.21875" style="1615" customWidth="1"/>
    <col min="3587" max="3587" width="15.6640625" style="1615" customWidth="1"/>
    <col min="3588" max="3588" width="9.33203125" style="1615" bestFit="1" customWidth="1"/>
    <col min="3589" max="3589" width="13.44140625" style="1615" customWidth="1"/>
    <col min="3590" max="3590" width="9" style="1615"/>
    <col min="3591" max="3591" width="9.33203125" style="1615" bestFit="1" customWidth="1"/>
    <col min="3592" max="3593" width="9" style="1615"/>
    <col min="3594" max="3594" width="9.33203125" style="1615" bestFit="1" customWidth="1"/>
    <col min="3595" max="3595" width="4" style="1615" customWidth="1"/>
    <col min="3596" max="3596" width="5.109375" style="1615" customWidth="1"/>
    <col min="3597" max="3597" width="13.77734375" style="1615" customWidth="1"/>
    <col min="3598" max="3840" width="9" style="1615"/>
    <col min="3841" max="3841" width="4.88671875" style="1615" customWidth="1"/>
    <col min="3842" max="3842" width="13.21875" style="1615" customWidth="1"/>
    <col min="3843" max="3843" width="15.6640625" style="1615" customWidth="1"/>
    <col min="3844" max="3844" width="9.33203125" style="1615" bestFit="1" customWidth="1"/>
    <col min="3845" max="3845" width="13.44140625" style="1615" customWidth="1"/>
    <col min="3846" max="3846" width="9" style="1615"/>
    <col min="3847" max="3847" width="9.33203125" style="1615" bestFit="1" customWidth="1"/>
    <col min="3848" max="3849" width="9" style="1615"/>
    <col min="3850" max="3850" width="9.33203125" style="1615" bestFit="1" customWidth="1"/>
    <col min="3851" max="3851" width="4" style="1615" customWidth="1"/>
    <col min="3852" max="3852" width="5.109375" style="1615" customWidth="1"/>
    <col min="3853" max="3853" width="13.77734375" style="1615" customWidth="1"/>
    <col min="3854" max="4096" width="9" style="1615"/>
    <col min="4097" max="4097" width="4.88671875" style="1615" customWidth="1"/>
    <col min="4098" max="4098" width="13.21875" style="1615" customWidth="1"/>
    <col min="4099" max="4099" width="15.6640625" style="1615" customWidth="1"/>
    <col min="4100" max="4100" width="9.33203125" style="1615" bestFit="1" customWidth="1"/>
    <col min="4101" max="4101" width="13.44140625" style="1615" customWidth="1"/>
    <col min="4102" max="4102" width="9" style="1615"/>
    <col min="4103" max="4103" width="9.33203125" style="1615" bestFit="1" customWidth="1"/>
    <col min="4104" max="4105" width="9" style="1615"/>
    <col min="4106" max="4106" width="9.33203125" style="1615" bestFit="1" customWidth="1"/>
    <col min="4107" max="4107" width="4" style="1615" customWidth="1"/>
    <col min="4108" max="4108" width="5.109375" style="1615" customWidth="1"/>
    <col min="4109" max="4109" width="13.77734375" style="1615" customWidth="1"/>
    <col min="4110" max="4352" width="9" style="1615"/>
    <col min="4353" max="4353" width="4.88671875" style="1615" customWidth="1"/>
    <col min="4354" max="4354" width="13.21875" style="1615" customWidth="1"/>
    <col min="4355" max="4355" width="15.6640625" style="1615" customWidth="1"/>
    <col min="4356" max="4356" width="9.33203125" style="1615" bestFit="1" customWidth="1"/>
    <col min="4357" max="4357" width="13.44140625" style="1615" customWidth="1"/>
    <col min="4358" max="4358" width="9" style="1615"/>
    <col min="4359" max="4359" width="9.33203125" style="1615" bestFit="1" customWidth="1"/>
    <col min="4360" max="4361" width="9" style="1615"/>
    <col min="4362" max="4362" width="9.33203125" style="1615" bestFit="1" customWidth="1"/>
    <col min="4363" max="4363" width="4" style="1615" customWidth="1"/>
    <col min="4364" max="4364" width="5.109375" style="1615" customWidth="1"/>
    <col min="4365" max="4365" width="13.77734375" style="1615" customWidth="1"/>
    <col min="4366" max="4608" width="9" style="1615"/>
    <col min="4609" max="4609" width="4.88671875" style="1615" customWidth="1"/>
    <col min="4610" max="4610" width="13.21875" style="1615" customWidth="1"/>
    <col min="4611" max="4611" width="15.6640625" style="1615" customWidth="1"/>
    <col min="4612" max="4612" width="9.33203125" style="1615" bestFit="1" customWidth="1"/>
    <col min="4613" max="4613" width="13.44140625" style="1615" customWidth="1"/>
    <col min="4614" max="4614" width="9" style="1615"/>
    <col min="4615" max="4615" width="9.33203125" style="1615" bestFit="1" customWidth="1"/>
    <col min="4616" max="4617" width="9" style="1615"/>
    <col min="4618" max="4618" width="9.33203125" style="1615" bestFit="1" customWidth="1"/>
    <col min="4619" max="4619" width="4" style="1615" customWidth="1"/>
    <col min="4620" max="4620" width="5.109375" style="1615" customWidth="1"/>
    <col min="4621" max="4621" width="13.77734375" style="1615" customWidth="1"/>
    <col min="4622" max="4864" width="9" style="1615"/>
    <col min="4865" max="4865" width="4.88671875" style="1615" customWidth="1"/>
    <col min="4866" max="4866" width="13.21875" style="1615" customWidth="1"/>
    <col min="4867" max="4867" width="15.6640625" style="1615" customWidth="1"/>
    <col min="4868" max="4868" width="9.33203125" style="1615" bestFit="1" customWidth="1"/>
    <col min="4869" max="4869" width="13.44140625" style="1615" customWidth="1"/>
    <col min="4870" max="4870" width="9" style="1615"/>
    <col min="4871" max="4871" width="9.33203125" style="1615" bestFit="1" customWidth="1"/>
    <col min="4872" max="4873" width="9" style="1615"/>
    <col min="4874" max="4874" width="9.33203125" style="1615" bestFit="1" customWidth="1"/>
    <col min="4875" max="4875" width="4" style="1615" customWidth="1"/>
    <col min="4876" max="4876" width="5.109375" style="1615" customWidth="1"/>
    <col min="4877" max="4877" width="13.77734375" style="1615" customWidth="1"/>
    <col min="4878" max="5120" width="9" style="1615"/>
    <col min="5121" max="5121" width="4.88671875" style="1615" customWidth="1"/>
    <col min="5122" max="5122" width="13.21875" style="1615" customWidth="1"/>
    <col min="5123" max="5123" width="15.6640625" style="1615" customWidth="1"/>
    <col min="5124" max="5124" width="9.33203125" style="1615" bestFit="1" customWidth="1"/>
    <col min="5125" max="5125" width="13.44140625" style="1615" customWidth="1"/>
    <col min="5126" max="5126" width="9" style="1615"/>
    <col min="5127" max="5127" width="9.33203125" style="1615" bestFit="1" customWidth="1"/>
    <col min="5128" max="5129" width="9" style="1615"/>
    <col min="5130" max="5130" width="9.33203125" style="1615" bestFit="1" customWidth="1"/>
    <col min="5131" max="5131" width="4" style="1615" customWidth="1"/>
    <col min="5132" max="5132" width="5.109375" style="1615" customWidth="1"/>
    <col min="5133" max="5133" width="13.77734375" style="1615" customWidth="1"/>
    <col min="5134" max="5376" width="9" style="1615"/>
    <col min="5377" max="5377" width="4.88671875" style="1615" customWidth="1"/>
    <col min="5378" max="5378" width="13.21875" style="1615" customWidth="1"/>
    <col min="5379" max="5379" width="15.6640625" style="1615" customWidth="1"/>
    <col min="5380" max="5380" width="9.33203125" style="1615" bestFit="1" customWidth="1"/>
    <col min="5381" max="5381" width="13.44140625" style="1615" customWidth="1"/>
    <col min="5382" max="5382" width="9" style="1615"/>
    <col min="5383" max="5383" width="9.33203125" style="1615" bestFit="1" customWidth="1"/>
    <col min="5384" max="5385" width="9" style="1615"/>
    <col min="5386" max="5386" width="9.33203125" style="1615" bestFit="1" customWidth="1"/>
    <col min="5387" max="5387" width="4" style="1615" customWidth="1"/>
    <col min="5388" max="5388" width="5.109375" style="1615" customWidth="1"/>
    <col min="5389" max="5389" width="13.77734375" style="1615" customWidth="1"/>
    <col min="5390" max="5632" width="9" style="1615"/>
    <col min="5633" max="5633" width="4.88671875" style="1615" customWidth="1"/>
    <col min="5634" max="5634" width="13.21875" style="1615" customWidth="1"/>
    <col min="5635" max="5635" width="15.6640625" style="1615" customWidth="1"/>
    <col min="5636" max="5636" width="9.33203125" style="1615" bestFit="1" customWidth="1"/>
    <col min="5637" max="5637" width="13.44140625" style="1615" customWidth="1"/>
    <col min="5638" max="5638" width="9" style="1615"/>
    <col min="5639" max="5639" width="9.33203125" style="1615" bestFit="1" customWidth="1"/>
    <col min="5640" max="5641" width="9" style="1615"/>
    <col min="5642" max="5642" width="9.33203125" style="1615" bestFit="1" customWidth="1"/>
    <col min="5643" max="5643" width="4" style="1615" customWidth="1"/>
    <col min="5644" max="5644" width="5.109375" style="1615" customWidth="1"/>
    <col min="5645" max="5645" width="13.77734375" style="1615" customWidth="1"/>
    <col min="5646" max="5888" width="9" style="1615"/>
    <col min="5889" max="5889" width="4.88671875" style="1615" customWidth="1"/>
    <col min="5890" max="5890" width="13.21875" style="1615" customWidth="1"/>
    <col min="5891" max="5891" width="15.6640625" style="1615" customWidth="1"/>
    <col min="5892" max="5892" width="9.33203125" style="1615" bestFit="1" customWidth="1"/>
    <col min="5893" max="5893" width="13.44140625" style="1615" customWidth="1"/>
    <col min="5894" max="5894" width="9" style="1615"/>
    <col min="5895" max="5895" width="9.33203125" style="1615" bestFit="1" customWidth="1"/>
    <col min="5896" max="5897" width="9" style="1615"/>
    <col min="5898" max="5898" width="9.33203125" style="1615" bestFit="1" customWidth="1"/>
    <col min="5899" max="5899" width="4" style="1615" customWidth="1"/>
    <col min="5900" max="5900" width="5.109375" style="1615" customWidth="1"/>
    <col min="5901" max="5901" width="13.77734375" style="1615" customWidth="1"/>
    <col min="5902" max="6144" width="9" style="1615"/>
    <col min="6145" max="6145" width="4.88671875" style="1615" customWidth="1"/>
    <col min="6146" max="6146" width="13.21875" style="1615" customWidth="1"/>
    <col min="6147" max="6147" width="15.6640625" style="1615" customWidth="1"/>
    <col min="6148" max="6148" width="9.33203125" style="1615" bestFit="1" customWidth="1"/>
    <col min="6149" max="6149" width="13.44140625" style="1615" customWidth="1"/>
    <col min="6150" max="6150" width="9" style="1615"/>
    <col min="6151" max="6151" width="9.33203125" style="1615" bestFit="1" customWidth="1"/>
    <col min="6152" max="6153" width="9" style="1615"/>
    <col min="6154" max="6154" width="9.33203125" style="1615" bestFit="1" customWidth="1"/>
    <col min="6155" max="6155" width="4" style="1615" customWidth="1"/>
    <col min="6156" max="6156" width="5.109375" style="1615" customWidth="1"/>
    <col min="6157" max="6157" width="13.77734375" style="1615" customWidth="1"/>
    <col min="6158" max="6400" width="9" style="1615"/>
    <col min="6401" max="6401" width="4.88671875" style="1615" customWidth="1"/>
    <col min="6402" max="6402" width="13.21875" style="1615" customWidth="1"/>
    <col min="6403" max="6403" width="15.6640625" style="1615" customWidth="1"/>
    <col min="6404" max="6404" width="9.33203125" style="1615" bestFit="1" customWidth="1"/>
    <col min="6405" max="6405" width="13.44140625" style="1615" customWidth="1"/>
    <col min="6406" max="6406" width="9" style="1615"/>
    <col min="6407" max="6407" width="9.33203125" style="1615" bestFit="1" customWidth="1"/>
    <col min="6408" max="6409" width="9" style="1615"/>
    <col min="6410" max="6410" width="9.33203125" style="1615" bestFit="1" customWidth="1"/>
    <col min="6411" max="6411" width="4" style="1615" customWidth="1"/>
    <col min="6412" max="6412" width="5.109375" style="1615" customWidth="1"/>
    <col min="6413" max="6413" width="13.77734375" style="1615" customWidth="1"/>
    <col min="6414" max="6656" width="9" style="1615"/>
    <col min="6657" max="6657" width="4.88671875" style="1615" customWidth="1"/>
    <col min="6658" max="6658" width="13.21875" style="1615" customWidth="1"/>
    <col min="6659" max="6659" width="15.6640625" style="1615" customWidth="1"/>
    <col min="6660" max="6660" width="9.33203125" style="1615" bestFit="1" customWidth="1"/>
    <col min="6661" max="6661" width="13.44140625" style="1615" customWidth="1"/>
    <col min="6662" max="6662" width="9" style="1615"/>
    <col min="6663" max="6663" width="9.33203125" style="1615" bestFit="1" customWidth="1"/>
    <col min="6664" max="6665" width="9" style="1615"/>
    <col min="6666" max="6666" width="9.33203125" style="1615" bestFit="1" customWidth="1"/>
    <col min="6667" max="6667" width="4" style="1615" customWidth="1"/>
    <col min="6668" max="6668" width="5.109375" style="1615" customWidth="1"/>
    <col min="6669" max="6669" width="13.77734375" style="1615" customWidth="1"/>
    <col min="6670" max="6912" width="9" style="1615"/>
    <col min="6913" max="6913" width="4.88671875" style="1615" customWidth="1"/>
    <col min="6914" max="6914" width="13.21875" style="1615" customWidth="1"/>
    <col min="6915" max="6915" width="15.6640625" style="1615" customWidth="1"/>
    <col min="6916" max="6916" width="9.33203125" style="1615" bestFit="1" customWidth="1"/>
    <col min="6917" max="6917" width="13.44140625" style="1615" customWidth="1"/>
    <col min="6918" max="6918" width="9" style="1615"/>
    <col min="6919" max="6919" width="9.33203125" style="1615" bestFit="1" customWidth="1"/>
    <col min="6920" max="6921" width="9" style="1615"/>
    <col min="6922" max="6922" width="9.33203125" style="1615" bestFit="1" customWidth="1"/>
    <col min="6923" max="6923" width="4" style="1615" customWidth="1"/>
    <col min="6924" max="6924" width="5.109375" style="1615" customWidth="1"/>
    <col min="6925" max="6925" width="13.77734375" style="1615" customWidth="1"/>
    <col min="6926" max="7168" width="9" style="1615"/>
    <col min="7169" max="7169" width="4.88671875" style="1615" customWidth="1"/>
    <col min="7170" max="7170" width="13.21875" style="1615" customWidth="1"/>
    <col min="7171" max="7171" width="15.6640625" style="1615" customWidth="1"/>
    <col min="7172" max="7172" width="9.33203125" style="1615" bestFit="1" customWidth="1"/>
    <col min="7173" max="7173" width="13.44140625" style="1615" customWidth="1"/>
    <col min="7174" max="7174" width="9" style="1615"/>
    <col min="7175" max="7175" width="9.33203125" style="1615" bestFit="1" customWidth="1"/>
    <col min="7176" max="7177" width="9" style="1615"/>
    <col min="7178" max="7178" width="9.33203125" style="1615" bestFit="1" customWidth="1"/>
    <col min="7179" max="7179" width="4" style="1615" customWidth="1"/>
    <col min="7180" max="7180" width="5.109375" style="1615" customWidth="1"/>
    <col min="7181" max="7181" width="13.77734375" style="1615" customWidth="1"/>
    <col min="7182" max="7424" width="9" style="1615"/>
    <col min="7425" max="7425" width="4.88671875" style="1615" customWidth="1"/>
    <col min="7426" max="7426" width="13.21875" style="1615" customWidth="1"/>
    <col min="7427" max="7427" width="15.6640625" style="1615" customWidth="1"/>
    <col min="7428" max="7428" width="9.33203125" style="1615" bestFit="1" customWidth="1"/>
    <col min="7429" max="7429" width="13.44140625" style="1615" customWidth="1"/>
    <col min="7430" max="7430" width="9" style="1615"/>
    <col min="7431" max="7431" width="9.33203125" style="1615" bestFit="1" customWidth="1"/>
    <col min="7432" max="7433" width="9" style="1615"/>
    <col min="7434" max="7434" width="9.33203125" style="1615" bestFit="1" customWidth="1"/>
    <col min="7435" max="7435" width="4" style="1615" customWidth="1"/>
    <col min="7436" max="7436" width="5.109375" style="1615" customWidth="1"/>
    <col min="7437" max="7437" width="13.77734375" style="1615" customWidth="1"/>
    <col min="7438" max="7680" width="9" style="1615"/>
    <col min="7681" max="7681" width="4.88671875" style="1615" customWidth="1"/>
    <col min="7682" max="7682" width="13.21875" style="1615" customWidth="1"/>
    <col min="7683" max="7683" width="15.6640625" style="1615" customWidth="1"/>
    <col min="7684" max="7684" width="9.33203125" style="1615" bestFit="1" customWidth="1"/>
    <col min="7685" max="7685" width="13.44140625" style="1615" customWidth="1"/>
    <col min="7686" max="7686" width="9" style="1615"/>
    <col min="7687" max="7687" width="9.33203125" style="1615" bestFit="1" customWidth="1"/>
    <col min="7688" max="7689" width="9" style="1615"/>
    <col min="7690" max="7690" width="9.33203125" style="1615" bestFit="1" customWidth="1"/>
    <col min="7691" max="7691" width="4" style="1615" customWidth="1"/>
    <col min="7692" max="7692" width="5.109375" style="1615" customWidth="1"/>
    <col min="7693" max="7693" width="13.77734375" style="1615" customWidth="1"/>
    <col min="7694" max="7936" width="9" style="1615"/>
    <col min="7937" max="7937" width="4.88671875" style="1615" customWidth="1"/>
    <col min="7938" max="7938" width="13.21875" style="1615" customWidth="1"/>
    <col min="7939" max="7939" width="15.6640625" style="1615" customWidth="1"/>
    <col min="7940" max="7940" width="9.33203125" style="1615" bestFit="1" customWidth="1"/>
    <col min="7941" max="7941" width="13.44140625" style="1615" customWidth="1"/>
    <col min="7942" max="7942" width="9" style="1615"/>
    <col min="7943" max="7943" width="9.33203125" style="1615" bestFit="1" customWidth="1"/>
    <col min="7944" max="7945" width="9" style="1615"/>
    <col min="7946" max="7946" width="9.33203125" style="1615" bestFit="1" customWidth="1"/>
    <col min="7947" max="7947" width="4" style="1615" customWidth="1"/>
    <col min="7948" max="7948" width="5.109375" style="1615" customWidth="1"/>
    <col min="7949" max="7949" width="13.77734375" style="1615" customWidth="1"/>
    <col min="7950" max="8192" width="9" style="1615"/>
    <col min="8193" max="8193" width="4.88671875" style="1615" customWidth="1"/>
    <col min="8194" max="8194" width="13.21875" style="1615" customWidth="1"/>
    <col min="8195" max="8195" width="15.6640625" style="1615" customWidth="1"/>
    <col min="8196" max="8196" width="9.33203125" style="1615" bestFit="1" customWidth="1"/>
    <col min="8197" max="8197" width="13.44140625" style="1615" customWidth="1"/>
    <col min="8198" max="8198" width="9" style="1615"/>
    <col min="8199" max="8199" width="9.33203125" style="1615" bestFit="1" customWidth="1"/>
    <col min="8200" max="8201" width="9" style="1615"/>
    <col min="8202" max="8202" width="9.33203125" style="1615" bestFit="1" customWidth="1"/>
    <col min="8203" max="8203" width="4" style="1615" customWidth="1"/>
    <col min="8204" max="8204" width="5.109375" style="1615" customWidth="1"/>
    <col min="8205" max="8205" width="13.77734375" style="1615" customWidth="1"/>
    <col min="8206" max="8448" width="9" style="1615"/>
    <col min="8449" max="8449" width="4.88671875" style="1615" customWidth="1"/>
    <col min="8450" max="8450" width="13.21875" style="1615" customWidth="1"/>
    <col min="8451" max="8451" width="15.6640625" style="1615" customWidth="1"/>
    <col min="8452" max="8452" width="9.33203125" style="1615" bestFit="1" customWidth="1"/>
    <col min="8453" max="8453" width="13.44140625" style="1615" customWidth="1"/>
    <col min="8454" max="8454" width="9" style="1615"/>
    <col min="8455" max="8455" width="9.33203125" style="1615" bestFit="1" customWidth="1"/>
    <col min="8456" max="8457" width="9" style="1615"/>
    <col min="8458" max="8458" width="9.33203125" style="1615" bestFit="1" customWidth="1"/>
    <col min="8459" max="8459" width="4" style="1615" customWidth="1"/>
    <col min="8460" max="8460" width="5.109375" style="1615" customWidth="1"/>
    <col min="8461" max="8461" width="13.77734375" style="1615" customWidth="1"/>
    <col min="8462" max="8704" width="9" style="1615"/>
    <col min="8705" max="8705" width="4.88671875" style="1615" customWidth="1"/>
    <col min="8706" max="8706" width="13.21875" style="1615" customWidth="1"/>
    <col min="8707" max="8707" width="15.6640625" style="1615" customWidth="1"/>
    <col min="8708" max="8708" width="9.33203125" style="1615" bestFit="1" customWidth="1"/>
    <col min="8709" max="8709" width="13.44140625" style="1615" customWidth="1"/>
    <col min="8710" max="8710" width="9" style="1615"/>
    <col min="8711" max="8711" width="9.33203125" style="1615" bestFit="1" customWidth="1"/>
    <col min="8712" max="8713" width="9" style="1615"/>
    <col min="8714" max="8714" width="9.33203125" style="1615" bestFit="1" customWidth="1"/>
    <col min="8715" max="8715" width="4" style="1615" customWidth="1"/>
    <col min="8716" max="8716" width="5.109375" style="1615" customWidth="1"/>
    <col min="8717" max="8717" width="13.77734375" style="1615" customWidth="1"/>
    <col min="8718" max="8960" width="9" style="1615"/>
    <col min="8961" max="8961" width="4.88671875" style="1615" customWidth="1"/>
    <col min="8962" max="8962" width="13.21875" style="1615" customWidth="1"/>
    <col min="8963" max="8963" width="15.6640625" style="1615" customWidth="1"/>
    <col min="8964" max="8964" width="9.33203125" style="1615" bestFit="1" customWidth="1"/>
    <col min="8965" max="8965" width="13.44140625" style="1615" customWidth="1"/>
    <col min="8966" max="8966" width="9" style="1615"/>
    <col min="8967" max="8967" width="9.33203125" style="1615" bestFit="1" customWidth="1"/>
    <col min="8968" max="8969" width="9" style="1615"/>
    <col min="8970" max="8970" width="9.33203125" style="1615" bestFit="1" customWidth="1"/>
    <col min="8971" max="8971" width="4" style="1615" customWidth="1"/>
    <col min="8972" max="8972" width="5.109375" style="1615" customWidth="1"/>
    <col min="8973" max="8973" width="13.77734375" style="1615" customWidth="1"/>
    <col min="8974" max="9216" width="9" style="1615"/>
    <col min="9217" max="9217" width="4.88671875" style="1615" customWidth="1"/>
    <col min="9218" max="9218" width="13.21875" style="1615" customWidth="1"/>
    <col min="9219" max="9219" width="15.6640625" style="1615" customWidth="1"/>
    <col min="9220" max="9220" width="9.33203125" style="1615" bestFit="1" customWidth="1"/>
    <col min="9221" max="9221" width="13.44140625" style="1615" customWidth="1"/>
    <col min="9222" max="9222" width="9" style="1615"/>
    <col min="9223" max="9223" width="9.33203125" style="1615" bestFit="1" customWidth="1"/>
    <col min="9224" max="9225" width="9" style="1615"/>
    <col min="9226" max="9226" width="9.33203125" style="1615" bestFit="1" customWidth="1"/>
    <col min="9227" max="9227" width="4" style="1615" customWidth="1"/>
    <col min="9228" max="9228" width="5.109375" style="1615" customWidth="1"/>
    <col min="9229" max="9229" width="13.77734375" style="1615" customWidth="1"/>
    <col min="9230" max="9472" width="9" style="1615"/>
    <col min="9473" max="9473" width="4.88671875" style="1615" customWidth="1"/>
    <col min="9474" max="9474" width="13.21875" style="1615" customWidth="1"/>
    <col min="9475" max="9475" width="15.6640625" style="1615" customWidth="1"/>
    <col min="9476" max="9476" width="9.33203125" style="1615" bestFit="1" customWidth="1"/>
    <col min="9477" max="9477" width="13.44140625" style="1615" customWidth="1"/>
    <col min="9478" max="9478" width="9" style="1615"/>
    <col min="9479" max="9479" width="9.33203125" style="1615" bestFit="1" customWidth="1"/>
    <col min="9480" max="9481" width="9" style="1615"/>
    <col min="9482" max="9482" width="9.33203125" style="1615" bestFit="1" customWidth="1"/>
    <col min="9483" max="9483" width="4" style="1615" customWidth="1"/>
    <col min="9484" max="9484" width="5.109375" style="1615" customWidth="1"/>
    <col min="9485" max="9485" width="13.77734375" style="1615" customWidth="1"/>
    <col min="9486" max="9728" width="9" style="1615"/>
    <col min="9729" max="9729" width="4.88671875" style="1615" customWidth="1"/>
    <col min="9730" max="9730" width="13.21875" style="1615" customWidth="1"/>
    <col min="9731" max="9731" width="15.6640625" style="1615" customWidth="1"/>
    <col min="9732" max="9732" width="9.33203125" style="1615" bestFit="1" customWidth="1"/>
    <col min="9733" max="9733" width="13.44140625" style="1615" customWidth="1"/>
    <col min="9734" max="9734" width="9" style="1615"/>
    <col min="9735" max="9735" width="9.33203125" style="1615" bestFit="1" customWidth="1"/>
    <col min="9736" max="9737" width="9" style="1615"/>
    <col min="9738" max="9738" width="9.33203125" style="1615" bestFit="1" customWidth="1"/>
    <col min="9739" max="9739" width="4" style="1615" customWidth="1"/>
    <col min="9740" max="9740" width="5.109375" style="1615" customWidth="1"/>
    <col min="9741" max="9741" width="13.77734375" style="1615" customWidth="1"/>
    <col min="9742" max="9984" width="9" style="1615"/>
    <col min="9985" max="9985" width="4.88671875" style="1615" customWidth="1"/>
    <col min="9986" max="9986" width="13.21875" style="1615" customWidth="1"/>
    <col min="9987" max="9987" width="15.6640625" style="1615" customWidth="1"/>
    <col min="9988" max="9988" width="9.33203125" style="1615" bestFit="1" customWidth="1"/>
    <col min="9989" max="9989" width="13.44140625" style="1615" customWidth="1"/>
    <col min="9990" max="9990" width="9" style="1615"/>
    <col min="9991" max="9991" width="9.33203125" style="1615" bestFit="1" customWidth="1"/>
    <col min="9992" max="9993" width="9" style="1615"/>
    <col min="9994" max="9994" width="9.33203125" style="1615" bestFit="1" customWidth="1"/>
    <col min="9995" max="9995" width="4" style="1615" customWidth="1"/>
    <col min="9996" max="9996" width="5.109375" style="1615" customWidth="1"/>
    <col min="9997" max="9997" width="13.77734375" style="1615" customWidth="1"/>
    <col min="9998" max="10240" width="9" style="1615"/>
    <col min="10241" max="10241" width="4.88671875" style="1615" customWidth="1"/>
    <col min="10242" max="10242" width="13.21875" style="1615" customWidth="1"/>
    <col min="10243" max="10243" width="15.6640625" style="1615" customWidth="1"/>
    <col min="10244" max="10244" width="9.33203125" style="1615" bestFit="1" customWidth="1"/>
    <col min="10245" max="10245" width="13.44140625" style="1615" customWidth="1"/>
    <col min="10246" max="10246" width="9" style="1615"/>
    <col min="10247" max="10247" width="9.33203125" style="1615" bestFit="1" customWidth="1"/>
    <col min="10248" max="10249" width="9" style="1615"/>
    <col min="10250" max="10250" width="9.33203125" style="1615" bestFit="1" customWidth="1"/>
    <col min="10251" max="10251" width="4" style="1615" customWidth="1"/>
    <col min="10252" max="10252" width="5.109375" style="1615" customWidth="1"/>
    <col min="10253" max="10253" width="13.77734375" style="1615" customWidth="1"/>
    <col min="10254" max="10496" width="9" style="1615"/>
    <col min="10497" max="10497" width="4.88671875" style="1615" customWidth="1"/>
    <col min="10498" max="10498" width="13.21875" style="1615" customWidth="1"/>
    <col min="10499" max="10499" width="15.6640625" style="1615" customWidth="1"/>
    <col min="10500" max="10500" width="9.33203125" style="1615" bestFit="1" customWidth="1"/>
    <col min="10501" max="10501" width="13.44140625" style="1615" customWidth="1"/>
    <col min="10502" max="10502" width="9" style="1615"/>
    <col min="10503" max="10503" width="9.33203125" style="1615" bestFit="1" customWidth="1"/>
    <col min="10504" max="10505" width="9" style="1615"/>
    <col min="10506" max="10506" width="9.33203125" style="1615" bestFit="1" customWidth="1"/>
    <col min="10507" max="10507" width="4" style="1615" customWidth="1"/>
    <col min="10508" max="10508" width="5.109375" style="1615" customWidth="1"/>
    <col min="10509" max="10509" width="13.77734375" style="1615" customWidth="1"/>
    <col min="10510" max="10752" width="9" style="1615"/>
    <col min="10753" max="10753" width="4.88671875" style="1615" customWidth="1"/>
    <col min="10754" max="10754" width="13.21875" style="1615" customWidth="1"/>
    <col min="10755" max="10755" width="15.6640625" style="1615" customWidth="1"/>
    <col min="10756" max="10756" width="9.33203125" style="1615" bestFit="1" customWidth="1"/>
    <col min="10757" max="10757" width="13.44140625" style="1615" customWidth="1"/>
    <col min="10758" max="10758" width="9" style="1615"/>
    <col min="10759" max="10759" width="9.33203125" style="1615" bestFit="1" customWidth="1"/>
    <col min="10760" max="10761" width="9" style="1615"/>
    <col min="10762" max="10762" width="9.33203125" style="1615" bestFit="1" customWidth="1"/>
    <col min="10763" max="10763" width="4" style="1615" customWidth="1"/>
    <col min="10764" max="10764" width="5.109375" style="1615" customWidth="1"/>
    <col min="10765" max="10765" width="13.77734375" style="1615" customWidth="1"/>
    <col min="10766" max="11008" width="9" style="1615"/>
    <col min="11009" max="11009" width="4.88671875" style="1615" customWidth="1"/>
    <col min="11010" max="11010" width="13.21875" style="1615" customWidth="1"/>
    <col min="11011" max="11011" width="15.6640625" style="1615" customWidth="1"/>
    <col min="11012" max="11012" width="9.33203125" style="1615" bestFit="1" customWidth="1"/>
    <col min="11013" max="11013" width="13.44140625" style="1615" customWidth="1"/>
    <col min="11014" max="11014" width="9" style="1615"/>
    <col min="11015" max="11015" width="9.33203125" style="1615" bestFit="1" customWidth="1"/>
    <col min="11016" max="11017" width="9" style="1615"/>
    <col min="11018" max="11018" width="9.33203125" style="1615" bestFit="1" customWidth="1"/>
    <col min="11019" max="11019" width="4" style="1615" customWidth="1"/>
    <col min="11020" max="11020" width="5.109375" style="1615" customWidth="1"/>
    <col min="11021" max="11021" width="13.77734375" style="1615" customWidth="1"/>
    <col min="11022" max="11264" width="9" style="1615"/>
    <col min="11265" max="11265" width="4.88671875" style="1615" customWidth="1"/>
    <col min="11266" max="11266" width="13.21875" style="1615" customWidth="1"/>
    <col min="11267" max="11267" width="15.6640625" style="1615" customWidth="1"/>
    <col min="11268" max="11268" width="9.33203125" style="1615" bestFit="1" customWidth="1"/>
    <col min="11269" max="11269" width="13.44140625" style="1615" customWidth="1"/>
    <col min="11270" max="11270" width="9" style="1615"/>
    <col min="11271" max="11271" width="9.33203125" style="1615" bestFit="1" customWidth="1"/>
    <col min="11272" max="11273" width="9" style="1615"/>
    <col min="11274" max="11274" width="9.33203125" style="1615" bestFit="1" customWidth="1"/>
    <col min="11275" max="11275" width="4" style="1615" customWidth="1"/>
    <col min="11276" max="11276" width="5.109375" style="1615" customWidth="1"/>
    <col min="11277" max="11277" width="13.77734375" style="1615" customWidth="1"/>
    <col min="11278" max="11520" width="9" style="1615"/>
    <col min="11521" max="11521" width="4.88671875" style="1615" customWidth="1"/>
    <col min="11522" max="11522" width="13.21875" style="1615" customWidth="1"/>
    <col min="11523" max="11523" width="15.6640625" style="1615" customWidth="1"/>
    <col min="11524" max="11524" width="9.33203125" style="1615" bestFit="1" customWidth="1"/>
    <col min="11525" max="11525" width="13.44140625" style="1615" customWidth="1"/>
    <col min="11526" max="11526" width="9" style="1615"/>
    <col min="11527" max="11527" width="9.33203125" style="1615" bestFit="1" customWidth="1"/>
    <col min="11528" max="11529" width="9" style="1615"/>
    <col min="11530" max="11530" width="9.33203125" style="1615" bestFit="1" customWidth="1"/>
    <col min="11531" max="11531" width="4" style="1615" customWidth="1"/>
    <col min="11532" max="11532" width="5.109375" style="1615" customWidth="1"/>
    <col min="11533" max="11533" width="13.77734375" style="1615" customWidth="1"/>
    <col min="11534" max="11776" width="9" style="1615"/>
    <col min="11777" max="11777" width="4.88671875" style="1615" customWidth="1"/>
    <col min="11778" max="11778" width="13.21875" style="1615" customWidth="1"/>
    <col min="11779" max="11779" width="15.6640625" style="1615" customWidth="1"/>
    <col min="11780" max="11780" width="9.33203125" style="1615" bestFit="1" customWidth="1"/>
    <col min="11781" max="11781" width="13.44140625" style="1615" customWidth="1"/>
    <col min="11782" max="11782" width="9" style="1615"/>
    <col min="11783" max="11783" width="9.33203125" style="1615" bestFit="1" customWidth="1"/>
    <col min="11784" max="11785" width="9" style="1615"/>
    <col min="11786" max="11786" width="9.33203125" style="1615" bestFit="1" customWidth="1"/>
    <col min="11787" max="11787" width="4" style="1615" customWidth="1"/>
    <col min="11788" max="11788" width="5.109375" style="1615" customWidth="1"/>
    <col min="11789" max="11789" width="13.77734375" style="1615" customWidth="1"/>
    <col min="11790" max="12032" width="9" style="1615"/>
    <col min="12033" max="12033" width="4.88671875" style="1615" customWidth="1"/>
    <col min="12034" max="12034" width="13.21875" style="1615" customWidth="1"/>
    <col min="12035" max="12035" width="15.6640625" style="1615" customWidth="1"/>
    <col min="12036" max="12036" width="9.33203125" style="1615" bestFit="1" customWidth="1"/>
    <col min="12037" max="12037" width="13.44140625" style="1615" customWidth="1"/>
    <col min="12038" max="12038" width="9" style="1615"/>
    <col min="12039" max="12039" width="9.33203125" style="1615" bestFit="1" customWidth="1"/>
    <col min="12040" max="12041" width="9" style="1615"/>
    <col min="12042" max="12042" width="9.33203125" style="1615" bestFit="1" customWidth="1"/>
    <col min="12043" max="12043" width="4" style="1615" customWidth="1"/>
    <col min="12044" max="12044" width="5.109375" style="1615" customWidth="1"/>
    <col min="12045" max="12045" width="13.77734375" style="1615" customWidth="1"/>
    <col min="12046" max="12288" width="9" style="1615"/>
    <col min="12289" max="12289" width="4.88671875" style="1615" customWidth="1"/>
    <col min="12290" max="12290" width="13.21875" style="1615" customWidth="1"/>
    <col min="12291" max="12291" width="15.6640625" style="1615" customWidth="1"/>
    <col min="12292" max="12292" width="9.33203125" style="1615" bestFit="1" customWidth="1"/>
    <col min="12293" max="12293" width="13.44140625" style="1615" customWidth="1"/>
    <col min="12294" max="12294" width="9" style="1615"/>
    <col min="12295" max="12295" width="9.33203125" style="1615" bestFit="1" customWidth="1"/>
    <col min="12296" max="12297" width="9" style="1615"/>
    <col min="12298" max="12298" width="9.33203125" style="1615" bestFit="1" customWidth="1"/>
    <col min="12299" max="12299" width="4" style="1615" customWidth="1"/>
    <col min="12300" max="12300" width="5.109375" style="1615" customWidth="1"/>
    <col min="12301" max="12301" width="13.77734375" style="1615" customWidth="1"/>
    <col min="12302" max="12544" width="9" style="1615"/>
    <col min="12545" max="12545" width="4.88671875" style="1615" customWidth="1"/>
    <col min="12546" max="12546" width="13.21875" style="1615" customWidth="1"/>
    <col min="12547" max="12547" width="15.6640625" style="1615" customWidth="1"/>
    <col min="12548" max="12548" width="9.33203125" style="1615" bestFit="1" customWidth="1"/>
    <col min="12549" max="12549" width="13.44140625" style="1615" customWidth="1"/>
    <col min="12550" max="12550" width="9" style="1615"/>
    <col min="12551" max="12551" width="9.33203125" style="1615" bestFit="1" customWidth="1"/>
    <col min="12552" max="12553" width="9" style="1615"/>
    <col min="12554" max="12554" width="9.33203125" style="1615" bestFit="1" customWidth="1"/>
    <col min="12555" max="12555" width="4" style="1615" customWidth="1"/>
    <col min="12556" max="12556" width="5.109375" style="1615" customWidth="1"/>
    <col min="12557" max="12557" width="13.77734375" style="1615" customWidth="1"/>
    <col min="12558" max="12800" width="9" style="1615"/>
    <col min="12801" max="12801" width="4.88671875" style="1615" customWidth="1"/>
    <col min="12802" max="12802" width="13.21875" style="1615" customWidth="1"/>
    <col min="12803" max="12803" width="15.6640625" style="1615" customWidth="1"/>
    <col min="12804" max="12804" width="9.33203125" style="1615" bestFit="1" customWidth="1"/>
    <col min="12805" max="12805" width="13.44140625" style="1615" customWidth="1"/>
    <col min="12806" max="12806" width="9" style="1615"/>
    <col min="12807" max="12807" width="9.33203125" style="1615" bestFit="1" customWidth="1"/>
    <col min="12808" max="12809" width="9" style="1615"/>
    <col min="12810" max="12810" width="9.33203125" style="1615" bestFit="1" customWidth="1"/>
    <col min="12811" max="12811" width="4" style="1615" customWidth="1"/>
    <col min="12812" max="12812" width="5.109375" style="1615" customWidth="1"/>
    <col min="12813" max="12813" width="13.77734375" style="1615" customWidth="1"/>
    <col min="12814" max="13056" width="9" style="1615"/>
    <col min="13057" max="13057" width="4.88671875" style="1615" customWidth="1"/>
    <col min="13058" max="13058" width="13.21875" style="1615" customWidth="1"/>
    <col min="13059" max="13059" width="15.6640625" style="1615" customWidth="1"/>
    <col min="13060" max="13060" width="9.33203125" style="1615" bestFit="1" customWidth="1"/>
    <col min="13061" max="13061" width="13.44140625" style="1615" customWidth="1"/>
    <col min="13062" max="13062" width="9" style="1615"/>
    <col min="13063" max="13063" width="9.33203125" style="1615" bestFit="1" customWidth="1"/>
    <col min="13064" max="13065" width="9" style="1615"/>
    <col min="13066" max="13066" width="9.33203125" style="1615" bestFit="1" customWidth="1"/>
    <col min="13067" max="13067" width="4" style="1615" customWidth="1"/>
    <col min="13068" max="13068" width="5.109375" style="1615" customWidth="1"/>
    <col min="13069" max="13069" width="13.77734375" style="1615" customWidth="1"/>
    <col min="13070" max="13312" width="9" style="1615"/>
    <col min="13313" max="13313" width="4.88671875" style="1615" customWidth="1"/>
    <col min="13314" max="13314" width="13.21875" style="1615" customWidth="1"/>
    <col min="13315" max="13315" width="15.6640625" style="1615" customWidth="1"/>
    <col min="13316" max="13316" width="9.33203125" style="1615" bestFit="1" customWidth="1"/>
    <col min="13317" max="13317" width="13.44140625" style="1615" customWidth="1"/>
    <col min="13318" max="13318" width="9" style="1615"/>
    <col min="13319" max="13319" width="9.33203125" style="1615" bestFit="1" customWidth="1"/>
    <col min="13320" max="13321" width="9" style="1615"/>
    <col min="13322" max="13322" width="9.33203125" style="1615" bestFit="1" customWidth="1"/>
    <col min="13323" max="13323" width="4" style="1615" customWidth="1"/>
    <col min="13324" max="13324" width="5.109375" style="1615" customWidth="1"/>
    <col min="13325" max="13325" width="13.77734375" style="1615" customWidth="1"/>
    <col min="13326" max="13568" width="9" style="1615"/>
    <col min="13569" max="13569" width="4.88671875" style="1615" customWidth="1"/>
    <col min="13570" max="13570" width="13.21875" style="1615" customWidth="1"/>
    <col min="13571" max="13571" width="15.6640625" style="1615" customWidth="1"/>
    <col min="13572" max="13572" width="9.33203125" style="1615" bestFit="1" customWidth="1"/>
    <col min="13573" max="13573" width="13.44140625" style="1615" customWidth="1"/>
    <col min="13574" max="13574" width="9" style="1615"/>
    <col min="13575" max="13575" width="9.33203125" style="1615" bestFit="1" customWidth="1"/>
    <col min="13576" max="13577" width="9" style="1615"/>
    <col min="13578" max="13578" width="9.33203125" style="1615" bestFit="1" customWidth="1"/>
    <col min="13579" max="13579" width="4" style="1615" customWidth="1"/>
    <col min="13580" max="13580" width="5.109375" style="1615" customWidth="1"/>
    <col min="13581" max="13581" width="13.77734375" style="1615" customWidth="1"/>
    <col min="13582" max="13824" width="9" style="1615"/>
    <col min="13825" max="13825" width="4.88671875" style="1615" customWidth="1"/>
    <col min="13826" max="13826" width="13.21875" style="1615" customWidth="1"/>
    <col min="13827" max="13827" width="15.6640625" style="1615" customWidth="1"/>
    <col min="13828" max="13828" width="9.33203125" style="1615" bestFit="1" customWidth="1"/>
    <col min="13829" max="13829" width="13.44140625" style="1615" customWidth="1"/>
    <col min="13830" max="13830" width="9" style="1615"/>
    <col min="13831" max="13831" width="9.33203125" style="1615" bestFit="1" customWidth="1"/>
    <col min="13832" max="13833" width="9" style="1615"/>
    <col min="13834" max="13834" width="9.33203125" style="1615" bestFit="1" customWidth="1"/>
    <col min="13835" max="13835" width="4" style="1615" customWidth="1"/>
    <col min="13836" max="13836" width="5.109375" style="1615" customWidth="1"/>
    <col min="13837" max="13837" width="13.77734375" style="1615" customWidth="1"/>
    <col min="13838" max="14080" width="9" style="1615"/>
    <col min="14081" max="14081" width="4.88671875" style="1615" customWidth="1"/>
    <col min="14082" max="14082" width="13.21875" style="1615" customWidth="1"/>
    <col min="14083" max="14083" width="15.6640625" style="1615" customWidth="1"/>
    <col min="14084" max="14084" width="9.33203125" style="1615" bestFit="1" customWidth="1"/>
    <col min="14085" max="14085" width="13.44140625" style="1615" customWidth="1"/>
    <col min="14086" max="14086" width="9" style="1615"/>
    <col min="14087" max="14087" width="9.33203125" style="1615" bestFit="1" customWidth="1"/>
    <col min="14088" max="14089" width="9" style="1615"/>
    <col min="14090" max="14090" width="9.33203125" style="1615" bestFit="1" customWidth="1"/>
    <col min="14091" max="14091" width="4" style="1615" customWidth="1"/>
    <col min="14092" max="14092" width="5.109375" style="1615" customWidth="1"/>
    <col min="14093" max="14093" width="13.77734375" style="1615" customWidth="1"/>
    <col min="14094" max="14336" width="9" style="1615"/>
    <col min="14337" max="14337" width="4.88671875" style="1615" customWidth="1"/>
    <col min="14338" max="14338" width="13.21875" style="1615" customWidth="1"/>
    <col min="14339" max="14339" width="15.6640625" style="1615" customWidth="1"/>
    <col min="14340" max="14340" width="9.33203125" style="1615" bestFit="1" customWidth="1"/>
    <col min="14341" max="14341" width="13.44140625" style="1615" customWidth="1"/>
    <col min="14342" max="14342" width="9" style="1615"/>
    <col min="14343" max="14343" width="9.33203125" style="1615" bestFit="1" customWidth="1"/>
    <col min="14344" max="14345" width="9" style="1615"/>
    <col min="14346" max="14346" width="9.33203125" style="1615" bestFit="1" customWidth="1"/>
    <col min="14347" max="14347" width="4" style="1615" customWidth="1"/>
    <col min="14348" max="14348" width="5.109375" style="1615" customWidth="1"/>
    <col min="14349" max="14349" width="13.77734375" style="1615" customWidth="1"/>
    <col min="14350" max="14592" width="9" style="1615"/>
    <col min="14593" max="14593" width="4.88671875" style="1615" customWidth="1"/>
    <col min="14594" max="14594" width="13.21875" style="1615" customWidth="1"/>
    <col min="14595" max="14595" width="15.6640625" style="1615" customWidth="1"/>
    <col min="14596" max="14596" width="9.33203125" style="1615" bestFit="1" customWidth="1"/>
    <col min="14597" max="14597" width="13.44140625" style="1615" customWidth="1"/>
    <col min="14598" max="14598" width="9" style="1615"/>
    <col min="14599" max="14599" width="9.33203125" style="1615" bestFit="1" customWidth="1"/>
    <col min="14600" max="14601" width="9" style="1615"/>
    <col min="14602" max="14602" width="9.33203125" style="1615" bestFit="1" customWidth="1"/>
    <col min="14603" max="14603" width="4" style="1615" customWidth="1"/>
    <col min="14604" max="14604" width="5.109375" style="1615" customWidth="1"/>
    <col min="14605" max="14605" width="13.77734375" style="1615" customWidth="1"/>
    <col min="14606" max="14848" width="9" style="1615"/>
    <col min="14849" max="14849" width="4.88671875" style="1615" customWidth="1"/>
    <col min="14850" max="14850" width="13.21875" style="1615" customWidth="1"/>
    <col min="14851" max="14851" width="15.6640625" style="1615" customWidth="1"/>
    <col min="14852" max="14852" width="9.33203125" style="1615" bestFit="1" customWidth="1"/>
    <col min="14853" max="14853" width="13.44140625" style="1615" customWidth="1"/>
    <col min="14854" max="14854" width="9" style="1615"/>
    <col min="14855" max="14855" width="9.33203125" style="1615" bestFit="1" customWidth="1"/>
    <col min="14856" max="14857" width="9" style="1615"/>
    <col min="14858" max="14858" width="9.33203125" style="1615" bestFit="1" customWidth="1"/>
    <col min="14859" max="14859" width="4" style="1615" customWidth="1"/>
    <col min="14860" max="14860" width="5.109375" style="1615" customWidth="1"/>
    <col min="14861" max="14861" width="13.77734375" style="1615" customWidth="1"/>
    <col min="14862" max="15104" width="9" style="1615"/>
    <col min="15105" max="15105" width="4.88671875" style="1615" customWidth="1"/>
    <col min="15106" max="15106" width="13.21875" style="1615" customWidth="1"/>
    <col min="15107" max="15107" width="15.6640625" style="1615" customWidth="1"/>
    <col min="15108" max="15108" width="9.33203125" style="1615" bestFit="1" customWidth="1"/>
    <col min="15109" max="15109" width="13.44140625" style="1615" customWidth="1"/>
    <col min="15110" max="15110" width="9" style="1615"/>
    <col min="15111" max="15111" width="9.33203125" style="1615" bestFit="1" customWidth="1"/>
    <col min="15112" max="15113" width="9" style="1615"/>
    <col min="15114" max="15114" width="9.33203125" style="1615" bestFit="1" customWidth="1"/>
    <col min="15115" max="15115" width="4" style="1615" customWidth="1"/>
    <col min="15116" max="15116" width="5.109375" style="1615" customWidth="1"/>
    <col min="15117" max="15117" width="13.77734375" style="1615" customWidth="1"/>
    <col min="15118" max="15360" width="9" style="1615"/>
    <col min="15361" max="15361" width="4.88671875" style="1615" customWidth="1"/>
    <col min="15362" max="15362" width="13.21875" style="1615" customWidth="1"/>
    <col min="15363" max="15363" width="15.6640625" style="1615" customWidth="1"/>
    <col min="15364" max="15364" width="9.33203125" style="1615" bestFit="1" customWidth="1"/>
    <col min="15365" max="15365" width="13.44140625" style="1615" customWidth="1"/>
    <col min="15366" max="15366" width="9" style="1615"/>
    <col min="15367" max="15367" width="9.33203125" style="1615" bestFit="1" customWidth="1"/>
    <col min="15368" max="15369" width="9" style="1615"/>
    <col min="15370" max="15370" width="9.33203125" style="1615" bestFit="1" customWidth="1"/>
    <col min="15371" max="15371" width="4" style="1615" customWidth="1"/>
    <col min="15372" max="15372" width="5.109375" style="1615" customWidth="1"/>
    <col min="15373" max="15373" width="13.77734375" style="1615" customWidth="1"/>
    <col min="15374" max="15616" width="9" style="1615"/>
    <col min="15617" max="15617" width="4.88671875" style="1615" customWidth="1"/>
    <col min="15618" max="15618" width="13.21875" style="1615" customWidth="1"/>
    <col min="15619" max="15619" width="15.6640625" style="1615" customWidth="1"/>
    <col min="15620" max="15620" width="9.33203125" style="1615" bestFit="1" customWidth="1"/>
    <col min="15621" max="15621" width="13.44140625" style="1615" customWidth="1"/>
    <col min="15622" max="15622" width="9" style="1615"/>
    <col min="15623" max="15623" width="9.33203125" style="1615" bestFit="1" customWidth="1"/>
    <col min="15624" max="15625" width="9" style="1615"/>
    <col min="15626" max="15626" width="9.33203125" style="1615" bestFit="1" customWidth="1"/>
    <col min="15627" max="15627" width="4" style="1615" customWidth="1"/>
    <col min="15628" max="15628" width="5.109375" style="1615" customWidth="1"/>
    <col min="15629" max="15629" width="13.77734375" style="1615" customWidth="1"/>
    <col min="15630" max="15872" width="9" style="1615"/>
    <col min="15873" max="15873" width="4.88671875" style="1615" customWidth="1"/>
    <col min="15874" max="15874" width="13.21875" style="1615" customWidth="1"/>
    <col min="15875" max="15875" width="15.6640625" style="1615" customWidth="1"/>
    <col min="15876" max="15876" width="9.33203125" style="1615" bestFit="1" customWidth="1"/>
    <col min="15877" max="15877" width="13.44140625" style="1615" customWidth="1"/>
    <col min="15878" max="15878" width="9" style="1615"/>
    <col min="15879" max="15879" width="9.33203125" style="1615" bestFit="1" customWidth="1"/>
    <col min="15880" max="15881" width="9" style="1615"/>
    <col min="15882" max="15882" width="9.33203125" style="1615" bestFit="1" customWidth="1"/>
    <col min="15883" max="15883" width="4" style="1615" customWidth="1"/>
    <col min="15884" max="15884" width="5.109375" style="1615" customWidth="1"/>
    <col min="15885" max="15885" width="13.77734375" style="1615" customWidth="1"/>
    <col min="15886" max="16128" width="9" style="1615"/>
    <col min="16129" max="16129" width="4.88671875" style="1615" customWidth="1"/>
    <col min="16130" max="16130" width="13.21875" style="1615" customWidth="1"/>
    <col min="16131" max="16131" width="15.6640625" style="1615" customWidth="1"/>
    <col min="16132" max="16132" width="9.33203125" style="1615" bestFit="1" customWidth="1"/>
    <col min="16133" max="16133" width="13.44140625" style="1615" customWidth="1"/>
    <col min="16134" max="16134" width="9" style="1615"/>
    <col min="16135" max="16135" width="9.33203125" style="1615" bestFit="1" customWidth="1"/>
    <col min="16136" max="16137" width="9" style="1615"/>
    <col min="16138" max="16138" width="9.33203125" style="1615" bestFit="1" customWidth="1"/>
    <col min="16139" max="16139" width="4" style="1615" customWidth="1"/>
    <col min="16140" max="16140" width="5.109375" style="1615" customWidth="1"/>
    <col min="16141" max="16141" width="13.77734375" style="1615" customWidth="1"/>
    <col min="16142" max="16384" width="9" style="1615"/>
  </cols>
  <sheetData>
    <row r="1" spans="1:257" s="1679" customFormat="1" ht="15" thickBot="1">
      <c r="A1" s="1673"/>
      <c r="B1" s="1680" t="s">
        <v>1289</v>
      </c>
      <c r="C1" s="1674">
        <f>项目基本情况!D3</f>
        <v>43836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6"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399999999999999">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2">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31.2">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6.8">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17"/>
  <sheetViews>
    <sheetView workbookViewId="0">
      <selection activeCell="K25" sqref="K25"/>
    </sheetView>
  </sheetViews>
  <sheetFormatPr defaultRowHeight="14.4"/>
  <sheetData>
    <row r="1" spans="1:13" ht="27.6">
      <c r="A1" s="1762" t="s">
        <v>1361</v>
      </c>
      <c r="E1" s="1756" t="s">
        <v>1365</v>
      </c>
      <c r="F1" s="1757" t="s">
        <v>1369</v>
      </c>
    </row>
    <row r="2" spans="1:13" ht="19.8">
      <c r="A2" s="1763" t="s">
        <v>1362</v>
      </c>
    </row>
    <row r="3" spans="1:13" ht="15.6">
      <c r="A3" s="1764" t="s">
        <v>1363</v>
      </c>
    </row>
    <row r="4" spans="1:13">
      <c r="A4" s="1754" t="s">
        <v>1364</v>
      </c>
      <c r="B4" s="1759" t="s">
        <v>1366</v>
      </c>
      <c r="C4" s="1760"/>
      <c r="D4" s="1761"/>
      <c r="E4" s="1759" t="s">
        <v>27</v>
      </c>
      <c r="F4" s="1760"/>
      <c r="G4" s="1761"/>
      <c r="H4" s="1759" t="s">
        <v>1367</v>
      </c>
      <c r="I4" s="1760"/>
      <c r="J4" s="1761"/>
      <c r="K4" s="1759" t="s">
        <v>6</v>
      </c>
      <c r="L4" s="1760"/>
      <c r="M4" s="1761"/>
    </row>
    <row r="5" spans="1:13">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22" customWidth="1"/>
    <col min="3" max="10" width="12.44140625" style="1922" customWidth="1"/>
    <col min="11" max="16384" width="9" style="1922"/>
  </cols>
  <sheetData>
    <row r="1" spans="1:10" ht="17.399999999999999">
      <c r="A1" s="1955" t="s">
        <v>867</v>
      </c>
      <c r="B1" s="1966"/>
      <c r="C1" s="1966"/>
      <c r="D1" s="1966"/>
      <c r="E1" s="1966"/>
      <c r="F1" s="1966"/>
      <c r="G1" s="1966"/>
      <c r="H1" s="1966"/>
      <c r="I1" s="1966"/>
      <c r="J1" s="1966"/>
    </row>
    <row r="2" spans="1:10" ht="17.399999999999999">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72" customWidth="1"/>
    <col min="2" max="16384" width="14.44140625" style="1954"/>
  </cols>
  <sheetData>
    <row r="1" spans="1:7" s="1969" customFormat="1" ht="17.399999999999999">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4.4">
      <c r="A15" s="3509" t="s">
        <v>1657</v>
      </c>
      <c r="B15" s="3504" t="s">
        <v>136</v>
      </c>
      <c r="C15" s="3505"/>
    </row>
    <row r="16" spans="1:7" ht="14.4">
      <c r="A16" s="3510"/>
      <c r="B16" s="3504" t="s">
        <v>69</v>
      </c>
      <c r="C16" s="3505"/>
    </row>
    <row r="17" spans="1:3" ht="14.4">
      <c r="A17" s="3510"/>
      <c r="B17" s="3507" t="s">
        <v>1658</v>
      </c>
      <c r="C17" s="1979" t="s">
        <v>1657</v>
      </c>
    </row>
    <row r="18" spans="1:3" ht="14.4">
      <c r="A18" s="3510"/>
      <c r="B18" s="3507"/>
      <c r="C18" s="1979" t="s">
        <v>1659</v>
      </c>
    </row>
    <row r="19" spans="1:3" ht="14.4">
      <c r="A19" s="3510"/>
      <c r="B19" s="3507"/>
      <c r="C19" s="1979" t="s">
        <v>1660</v>
      </c>
    </row>
    <row r="20" spans="1:3" ht="14.4">
      <c r="A20" s="3511"/>
      <c r="B20" s="3506" t="s">
        <v>1661</v>
      </c>
      <c r="C20" s="3505"/>
    </row>
    <row r="21" spans="1:3" ht="14.4">
      <c r="A21" s="1980" t="s">
        <v>1662</v>
      </c>
      <c r="B21" s="1981"/>
      <c r="C21" s="1982"/>
    </row>
    <row r="22" spans="1:3" ht="14.4">
      <c r="A22" s="3508" t="s">
        <v>1663</v>
      </c>
      <c r="B22" s="3506" t="s">
        <v>1664</v>
      </c>
      <c r="C22" s="3505"/>
    </row>
    <row r="23" spans="1:3" ht="14.4">
      <c r="A23" s="3508"/>
      <c r="B23" s="3506" t="s">
        <v>1665</v>
      </c>
      <c r="C23" s="3505"/>
    </row>
    <row r="24" spans="1:3" ht="14.4">
      <c r="A24" s="3508"/>
      <c r="B24" s="3506" t="s">
        <v>1666</v>
      </c>
      <c r="C24" s="3505"/>
    </row>
    <row r="25" spans="1:3" ht="14.4">
      <c r="A25" s="3508"/>
      <c r="B25" s="3507" t="s">
        <v>1667</v>
      </c>
      <c r="C25" s="1979" t="s">
        <v>1668</v>
      </c>
    </row>
    <row r="26" spans="1:3" ht="14.4">
      <c r="A26" s="3508"/>
      <c r="B26" s="3507"/>
      <c r="C26" s="1979" t="s">
        <v>1669</v>
      </c>
    </row>
    <row r="27" spans="1:3" ht="14.4">
      <c r="A27" s="3508"/>
      <c r="B27" s="3507"/>
      <c r="C27" s="1979" t="s">
        <v>1670</v>
      </c>
    </row>
    <row r="28" spans="1:3" ht="14.4">
      <c r="A28" s="3508"/>
      <c r="B28" s="3507"/>
      <c r="C28" s="1979" t="s">
        <v>1671</v>
      </c>
    </row>
    <row r="29" spans="1:3" ht="14.4">
      <c r="A29" s="3508"/>
      <c r="B29" s="3507"/>
      <c r="C29" s="1979" t="s">
        <v>1672</v>
      </c>
    </row>
    <row r="30" spans="1:3" ht="14.4">
      <c r="A30" s="3508"/>
      <c r="B30" s="3507"/>
      <c r="C30" s="1979" t="s">
        <v>1673</v>
      </c>
    </row>
    <row r="31" spans="1:3" ht="14.4">
      <c r="A31" s="3508"/>
      <c r="B31" s="3507"/>
      <c r="C31" s="1979" t="s">
        <v>1674</v>
      </c>
    </row>
    <row r="32" spans="1:3" ht="14.4">
      <c r="A32" s="3508"/>
      <c r="B32" s="3507"/>
      <c r="C32" s="1979" t="s">
        <v>1675</v>
      </c>
    </row>
    <row r="33" spans="1:3" ht="14.4">
      <c r="A33" s="3508"/>
      <c r="B33" s="3507"/>
      <c r="C33" s="1979" t="s">
        <v>1676</v>
      </c>
    </row>
    <row r="34" spans="1:3">
      <c r="A34" s="1983" t="s">
        <v>76</v>
      </c>
    </row>
    <row r="37" spans="1:3">
      <c r="A37" s="1983" t="s">
        <v>1677</v>
      </c>
    </row>
    <row r="38" spans="1:3" ht="14.4">
      <c r="A38" s="1984" t="s">
        <v>77</v>
      </c>
    </row>
    <row r="39" spans="1:3" ht="14.4">
      <c r="A39" s="1984" t="s">
        <v>78</v>
      </c>
    </row>
    <row r="40" spans="1:3" ht="14.4">
      <c r="A40" s="1984" t="s">
        <v>79</v>
      </c>
    </row>
    <row r="41" spans="1:3" ht="14.4">
      <c r="A41" s="1985" t="s">
        <v>80</v>
      </c>
    </row>
    <row r="42" spans="1:3" ht="14.4">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5"/>
    <col min="3" max="3" width="32.21875" style="1005" customWidth="1"/>
    <col min="4" max="5" width="22.6640625" style="1005"/>
    <col min="6" max="6" width="25.6640625" style="1005" customWidth="1"/>
    <col min="7" max="16384" width="22.6640625" style="1005"/>
  </cols>
  <sheetData>
    <row r="2" spans="1:6" ht="24" customHeight="1">
      <c r="A2" s="1007" t="s">
        <v>825</v>
      </c>
      <c r="B2" s="1008">
        <f ca="1">TODAY()</f>
        <v>43870</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t="str">
        <f ca="1">IF(C4&lt;B2,"已过期",1119970066)</f>
        <v>已过期</v>
      </c>
      <c r="C4" s="2322">
        <v>43849</v>
      </c>
      <c r="D4" s="2325" t="s">
        <v>832</v>
      </c>
      <c r="E4" s="1012">
        <f ca="1">IF(F4&lt;B2,"已过期",96010014)</f>
        <v>96010014</v>
      </c>
      <c r="F4" s="1020">
        <v>47118</v>
      </c>
    </row>
    <row r="5" spans="1:6" ht="24" customHeight="1">
      <c r="A5" s="1682" t="s">
        <v>833</v>
      </c>
      <c r="B5" s="1012" t="str">
        <f ca="1">IF(C5&lt;B2,"已过期",1119970074)</f>
        <v>已过期</v>
      </c>
      <c r="C5" s="2322">
        <v>43849</v>
      </c>
      <c r="D5" s="2325" t="s">
        <v>833</v>
      </c>
      <c r="E5" s="1012">
        <f ca="1">IF(F5&lt;B2,"已过期",2002110027)</f>
        <v>2002110027</v>
      </c>
      <c r="F5" s="1020">
        <v>46752</v>
      </c>
    </row>
    <row r="6" spans="1:6" ht="24" customHeight="1">
      <c r="A6" s="1682" t="s">
        <v>834</v>
      </c>
      <c r="B6" s="1012" t="str">
        <f ca="1">IF(C6&lt;B2,"已过期",1119970111)</f>
        <v>已过期</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t="str">
        <f ca="1">IF(C8&lt;B2,"已过期",1120000080)</f>
        <v>已过期</v>
      </c>
      <c r="C8" s="2322">
        <v>43849</v>
      </c>
      <c r="D8" s="2325" t="s">
        <v>836</v>
      </c>
      <c r="E8" s="1012">
        <f ca="1">IF(F8&lt;B2,"已过期",2000110082)</f>
        <v>2000110082</v>
      </c>
      <c r="F8" s="1020">
        <v>46387</v>
      </c>
    </row>
    <row r="9" spans="1:6" ht="24" customHeight="1">
      <c r="A9" s="1682" t="s">
        <v>837</v>
      </c>
      <c r="B9" s="1012" t="str">
        <f ca="1">IF(C9&lt;B2,"已过期",1419970001)</f>
        <v>已过期</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512" t="s">
        <v>843</v>
      </c>
      <c r="B25" s="3512"/>
      <c r="C25" s="3512"/>
      <c r="D25" s="3512"/>
      <c r="E25" s="3512"/>
      <c r="F25" s="3512"/>
      <c r="G25" s="3512"/>
    </row>
    <row r="26" spans="1:7" s="1015" customFormat="1" ht="24" customHeight="1">
      <c r="A26" s="3513" t="s">
        <v>844</v>
      </c>
      <c r="B26" s="3513"/>
      <c r="C26" s="3514"/>
      <c r="D26" s="3515" t="s">
        <v>845</v>
      </c>
      <c r="E26" s="3513"/>
      <c r="F26" s="3513"/>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76" priority="97" stopIfTrue="1" operator="lessThan">
      <formula>$B$2</formula>
    </cfRule>
  </conditionalFormatting>
  <conditionalFormatting sqref="C5">
    <cfRule type="expression" dxfId="275" priority="92">
      <formula>AND($C5-TODAY()&lt;30,TODAY()&lt;$C5)</formula>
    </cfRule>
  </conditionalFormatting>
  <conditionalFormatting sqref="C5 F5">
    <cfRule type="cellIs" dxfId="274" priority="93" stopIfTrue="1" operator="lessThan">
      <formula>$B$2</formula>
    </cfRule>
  </conditionalFormatting>
  <conditionalFormatting sqref="F6 F8 F10">
    <cfRule type="cellIs" dxfId="273" priority="91" stopIfTrue="1" operator="lessThan">
      <formula>$B$2</formula>
    </cfRule>
  </conditionalFormatting>
  <conditionalFormatting sqref="C4:C11 C13 C23 C17 C19:C21">
    <cfRule type="expression" dxfId="272" priority="89">
      <formula>AND($C4-TODAY()&lt;30,TODAY()&lt;$C4)</formula>
    </cfRule>
  </conditionalFormatting>
  <conditionalFormatting sqref="F7 F9 F11 C4:C11 C13 C23 C17 C19:C21">
    <cfRule type="cellIs" dxfId="271" priority="90" stopIfTrue="1" operator="lessThan">
      <formula>$B$2</formula>
    </cfRule>
  </conditionalFormatting>
  <conditionalFormatting sqref="C20">
    <cfRule type="expression" dxfId="270" priority="77">
      <formula>AND($C20-TODAY()&lt;30,TODAY()&lt;$C20)</formula>
    </cfRule>
  </conditionalFormatting>
  <conditionalFormatting sqref="C20">
    <cfRule type="cellIs" dxfId="269" priority="78" stopIfTrue="1" operator="lessThan">
      <formula>$B$2</formula>
    </cfRule>
  </conditionalFormatting>
  <conditionalFormatting sqref="C17">
    <cfRule type="expression" dxfId="268" priority="71">
      <formula>AND($C17-TODAY()&lt;30,TODAY()&lt;$C17)</formula>
    </cfRule>
  </conditionalFormatting>
  <conditionalFormatting sqref="C17">
    <cfRule type="cellIs" dxfId="267" priority="72" stopIfTrue="1" operator="lessThan">
      <formula>$B$2</formula>
    </cfRule>
  </conditionalFormatting>
  <conditionalFormatting sqref="C19">
    <cfRule type="expression" dxfId="266" priority="69">
      <formula>AND($C19-TODAY()&lt;30,TODAY()&lt;$C19)</formula>
    </cfRule>
  </conditionalFormatting>
  <conditionalFormatting sqref="C19">
    <cfRule type="cellIs" dxfId="265" priority="70" stopIfTrue="1" operator="lessThan">
      <formula>$B$2</formula>
    </cfRule>
  </conditionalFormatting>
  <conditionalFormatting sqref="C21">
    <cfRule type="expression" dxfId="264" priority="67">
      <formula>AND($C21-TODAY()&lt;30,TODAY()&lt;$C21)</formula>
    </cfRule>
  </conditionalFormatting>
  <conditionalFormatting sqref="C21">
    <cfRule type="cellIs" dxfId="263" priority="68" stopIfTrue="1" operator="lessThan">
      <formula>$B$2</formula>
    </cfRule>
  </conditionalFormatting>
  <conditionalFormatting sqref="C23">
    <cfRule type="expression" dxfId="262" priority="65">
      <formula>AND($C23-TODAY()&lt;30,TODAY()&lt;$C23)</formula>
    </cfRule>
  </conditionalFormatting>
  <conditionalFormatting sqref="C23">
    <cfRule type="cellIs" dxfId="261" priority="66" stopIfTrue="1" operator="lessThan">
      <formula>$B$2</formula>
    </cfRule>
  </conditionalFormatting>
  <conditionalFormatting sqref="F18">
    <cfRule type="cellIs" dxfId="260" priority="62" stopIfTrue="1" operator="lessThan">
      <formula>$B$2</formula>
    </cfRule>
  </conditionalFormatting>
  <conditionalFormatting sqref="F22">
    <cfRule type="cellIs" dxfId="259" priority="61" stopIfTrue="1" operator="lessThan">
      <formula>$B$2</formula>
    </cfRule>
  </conditionalFormatting>
  <conditionalFormatting sqref="F21">
    <cfRule type="cellIs" dxfId="258" priority="60" stopIfTrue="1" operator="lessThan">
      <formula>$B$2</formula>
    </cfRule>
  </conditionalFormatting>
  <conditionalFormatting sqref="B4:B11 E4:E11 B17 E18:E23 B13 E13 B19:B23">
    <cfRule type="cellIs" dxfId="257" priority="58" stopIfTrue="1" operator="equal">
      <formula>"已过期"</formula>
    </cfRule>
  </conditionalFormatting>
  <conditionalFormatting sqref="A24:F24">
    <cfRule type="cellIs" dxfId="256" priority="54" stopIfTrue="1" operator="equal">
      <formula>"已过期"</formula>
    </cfRule>
  </conditionalFormatting>
  <conditionalFormatting sqref="F28">
    <cfRule type="expression" dxfId="255" priority="52">
      <formula>AND($E28-TODAY()&lt;30,TODAY()&lt;$E28)</formula>
    </cfRule>
  </conditionalFormatting>
  <conditionalFormatting sqref="F28">
    <cfRule type="cellIs" dxfId="254" priority="53" stopIfTrue="1" operator="lessThan">
      <formula>$B$2</formula>
    </cfRule>
  </conditionalFormatting>
  <conditionalFormatting sqref="F29">
    <cfRule type="expression" dxfId="253" priority="48" stopIfTrue="1">
      <formula>AND($E29-TODAY()&lt;30,TODAY()&lt;$E29)</formula>
    </cfRule>
  </conditionalFormatting>
  <conditionalFormatting sqref="F29">
    <cfRule type="cellIs" dxfId="252" priority="49" stopIfTrue="1" operator="lessThan">
      <formula>$B$2</formula>
    </cfRule>
  </conditionalFormatting>
  <conditionalFormatting sqref="F13">
    <cfRule type="cellIs" dxfId="251" priority="41" stopIfTrue="1" operator="lessThan">
      <formula>$B$2</formula>
    </cfRule>
  </conditionalFormatting>
  <conditionalFormatting sqref="C12">
    <cfRule type="expression" dxfId="250" priority="39">
      <formula>AND($C12-TODAY()&lt;30,TODAY()&lt;$C12)</formula>
    </cfRule>
  </conditionalFormatting>
  <conditionalFormatting sqref="C12">
    <cfRule type="cellIs" dxfId="249" priority="40" stopIfTrue="1" operator="lessThan">
      <formula>$B$2</formula>
    </cfRule>
  </conditionalFormatting>
  <conditionalFormatting sqref="C12">
    <cfRule type="expression" dxfId="248" priority="37">
      <formula>AND($C12-TODAY()&lt;30,TODAY()&lt;$C12)</formula>
    </cfRule>
  </conditionalFormatting>
  <conditionalFormatting sqref="C12">
    <cfRule type="cellIs" dxfId="247" priority="38" stopIfTrue="1" operator="lessThan">
      <formula>$B$2</formula>
    </cfRule>
  </conditionalFormatting>
  <conditionalFormatting sqref="B12">
    <cfRule type="cellIs" dxfId="246" priority="36" stopIfTrue="1" operator="equal">
      <formula>"已过期"</formula>
    </cfRule>
  </conditionalFormatting>
  <conditionalFormatting sqref="E12">
    <cfRule type="cellIs" dxfId="245" priority="35" stopIfTrue="1" operator="equal">
      <formula>"已过期"</formula>
    </cfRule>
  </conditionalFormatting>
  <conditionalFormatting sqref="F12">
    <cfRule type="cellIs" dxfId="244" priority="34" stopIfTrue="1" operator="lessThan">
      <formula>$B$2</formula>
    </cfRule>
  </conditionalFormatting>
  <conditionalFormatting sqref="C22">
    <cfRule type="expression" dxfId="243" priority="32">
      <formula>AND($C22-TODAY()&lt;30,TODAY()&lt;$C22)</formula>
    </cfRule>
  </conditionalFormatting>
  <conditionalFormatting sqref="C22">
    <cfRule type="cellIs" dxfId="242" priority="33" stopIfTrue="1" operator="lessThan">
      <formula>$B$2</formula>
    </cfRule>
  </conditionalFormatting>
  <conditionalFormatting sqref="C22">
    <cfRule type="expression" dxfId="241" priority="30">
      <formula>AND($C22-TODAY()&lt;30,TODAY()&lt;$C22)</formula>
    </cfRule>
  </conditionalFormatting>
  <conditionalFormatting sqref="C22">
    <cfRule type="cellIs" dxfId="240" priority="31" stopIfTrue="1" operator="lessThan">
      <formula>$B$2</formula>
    </cfRule>
  </conditionalFormatting>
  <conditionalFormatting sqref="C16">
    <cfRule type="expression" dxfId="239" priority="28">
      <formula>AND($C16-TODAY()&lt;30,TODAY()&lt;$C16)</formula>
    </cfRule>
  </conditionalFormatting>
  <conditionalFormatting sqref="C16">
    <cfRule type="cellIs" dxfId="238" priority="29" stopIfTrue="1" operator="lessThan">
      <formula>$B$2</formula>
    </cfRule>
  </conditionalFormatting>
  <conditionalFormatting sqref="C16">
    <cfRule type="expression" dxfId="237" priority="26">
      <formula>AND($C16-TODAY()&lt;30,TODAY()&lt;$C16)</formula>
    </cfRule>
  </conditionalFormatting>
  <conditionalFormatting sqref="C16">
    <cfRule type="cellIs" dxfId="236" priority="27" stopIfTrue="1" operator="lessThan">
      <formula>$B$2</formula>
    </cfRule>
  </conditionalFormatting>
  <conditionalFormatting sqref="B16">
    <cfRule type="cellIs" dxfId="235" priority="25" stopIfTrue="1" operator="equal">
      <formula>"已过期"</formula>
    </cfRule>
  </conditionalFormatting>
  <conditionalFormatting sqref="C14:C15">
    <cfRule type="expression" dxfId="234" priority="23">
      <formula>AND($C14-TODAY()&lt;30,TODAY()&lt;$C14)</formula>
    </cfRule>
  </conditionalFormatting>
  <conditionalFormatting sqref="C14:C15">
    <cfRule type="cellIs" dxfId="233" priority="24" stopIfTrue="1" operator="lessThan">
      <formula>$B$2</formula>
    </cfRule>
  </conditionalFormatting>
  <conditionalFormatting sqref="C14">
    <cfRule type="expression" dxfId="232" priority="21">
      <formula>AND($C14-TODAY()&lt;30,TODAY()&lt;$C14)</formula>
    </cfRule>
  </conditionalFormatting>
  <conditionalFormatting sqref="C14">
    <cfRule type="cellIs" dxfId="231" priority="22" stopIfTrue="1" operator="lessThan">
      <formula>$B$2</formula>
    </cfRule>
  </conditionalFormatting>
  <conditionalFormatting sqref="C15">
    <cfRule type="expression" dxfId="230" priority="19">
      <formula>AND($C15-TODAY()&lt;30,TODAY()&lt;$C15)</formula>
    </cfRule>
  </conditionalFormatting>
  <conditionalFormatting sqref="C15">
    <cfRule type="cellIs" dxfId="229" priority="20" stopIfTrue="1" operator="lessThan">
      <formula>$B$2</formula>
    </cfRule>
  </conditionalFormatting>
  <conditionalFormatting sqref="B14">
    <cfRule type="cellIs" dxfId="228" priority="18" stopIfTrue="1" operator="equal">
      <formula>"已过期"</formula>
    </cfRule>
  </conditionalFormatting>
  <conditionalFormatting sqref="B15">
    <cfRule type="cellIs" dxfId="227" priority="17" stopIfTrue="1" operator="equal">
      <formula>"已过期"</formula>
    </cfRule>
  </conditionalFormatting>
  <conditionalFormatting sqref="A15">
    <cfRule type="cellIs" dxfId="226" priority="16" stopIfTrue="1" operator="equal">
      <formula>"已过期"</formula>
    </cfRule>
  </conditionalFormatting>
  <conditionalFormatting sqref="C15">
    <cfRule type="expression" dxfId="225" priority="15">
      <formula>AND($C15-TODAY()&lt;30,TODAY()&lt;$C15)</formula>
    </cfRule>
  </conditionalFormatting>
  <conditionalFormatting sqref="F16">
    <cfRule type="cellIs" dxfId="224" priority="14" stopIfTrue="1" operator="lessThan">
      <formula>$B$2</formula>
    </cfRule>
  </conditionalFormatting>
  <conditionalFormatting sqref="E16 E14">
    <cfRule type="cellIs" dxfId="223" priority="13" stopIfTrue="1" operator="equal">
      <formula>"已过期"</formula>
    </cfRule>
  </conditionalFormatting>
  <conditionalFormatting sqref="E15">
    <cfRule type="cellIs" dxfId="222" priority="12" stopIfTrue="1" operator="equal">
      <formula>"已过期"</formula>
    </cfRule>
  </conditionalFormatting>
  <conditionalFormatting sqref="D15">
    <cfRule type="cellIs" dxfId="221" priority="11" stopIfTrue="1" operator="equal">
      <formula>"已过期"</formula>
    </cfRule>
  </conditionalFormatting>
  <conditionalFormatting sqref="F17">
    <cfRule type="cellIs" dxfId="220" priority="10" stopIfTrue="1" operator="lessThan">
      <formula>$B$2</formula>
    </cfRule>
  </conditionalFormatting>
  <conditionalFormatting sqref="E17">
    <cfRule type="cellIs" dxfId="219" priority="9" stopIfTrue="1" operator="equal">
      <formula>"已过期"</formula>
    </cfRule>
  </conditionalFormatting>
  <conditionalFormatting sqref="F14">
    <cfRule type="cellIs" dxfId="218" priority="8" stopIfTrue="1" operator="lessThan">
      <formula>$B$2</formula>
    </cfRule>
  </conditionalFormatting>
  <conditionalFormatting sqref="C18">
    <cfRule type="expression" dxfId="217" priority="6">
      <formula>AND($C18-TODAY()&lt;30,TODAY()&lt;$C18)</formula>
    </cfRule>
  </conditionalFormatting>
  <conditionalFormatting sqref="C18">
    <cfRule type="cellIs" dxfId="216" priority="7" stopIfTrue="1" operator="lessThan">
      <formula>$B$2</formula>
    </cfRule>
  </conditionalFormatting>
  <conditionalFormatting sqref="C18">
    <cfRule type="expression" dxfId="215" priority="4">
      <formula>AND($C18-TODAY()&lt;30,TODAY()&lt;$C18)</formula>
    </cfRule>
  </conditionalFormatting>
  <conditionalFormatting sqref="C18">
    <cfRule type="cellIs" dxfId="214" priority="5" stopIfTrue="1" operator="lessThan">
      <formula>$B$2</formula>
    </cfRule>
  </conditionalFormatting>
  <conditionalFormatting sqref="B18">
    <cfRule type="cellIs" dxfId="213" priority="3" stopIfTrue="1" operator="equal">
      <formula>"已过期"</formula>
    </cfRule>
  </conditionalFormatting>
  <conditionalFormatting sqref="C28">
    <cfRule type="expression" dxfId="212" priority="1">
      <formula>AND($C28-TODAY()&lt;30,TODAY()&lt;$C28)</formula>
    </cfRule>
  </conditionalFormatting>
  <conditionalFormatting sqref="C28">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148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按楼清单</vt:lpstr>
      <vt:lpstr>结果表汇总</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vt:lpstr>
      <vt:lpstr>土地比较法-住宅、综合</vt:lpstr>
      <vt:lpstr>成本法</vt:lpstr>
      <vt:lpstr>比较法-商业</vt:lpstr>
      <vt:lpstr>典型户型修正</vt:lpstr>
      <vt:lpstr>收益法商租</vt:lpstr>
      <vt:lpstr>收益法商自</vt:lpstr>
      <vt:lpstr>收益法1号楼</vt:lpstr>
      <vt:lpstr>收益法2号楼</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土地案例</vt:lpstr>
      <vt:lpstr>成本法（废）</vt:lpstr>
      <vt:lpstr>区片价</vt:lpstr>
      <vt:lpstr>因素修正幅度</vt:lpstr>
      <vt:lpstr>存贷款利率</vt:lpstr>
      <vt:lpstr>区片价（范围）</vt:lpstr>
      <vt:lpstr>估价师及机构信息!Print_Area</vt:lpstr>
      <vt:lpstr>'收益法 (元)'!Print_Area</vt:lpstr>
      <vt:lpstr>收益法1号楼!Print_Area</vt:lpstr>
      <vt:lpstr>收益法2号楼!Print_Area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2020-02-09T08:38:30Z</dcterms:modified>
</cp:coreProperties>
</file>