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2" sheetId="69" r:id="rId17"/>
    <sheet name="结果表" sheetId="9" r:id="rId18"/>
    <sheet name="剩余法-待开发" sheetId="12" state="hidden" r:id="rId19"/>
    <sheet name="基准地价" sheetId="46" r:id="rId20"/>
    <sheet name="剩余法-现房" sheetId="43"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案例" sheetId="68"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2" i="69" l="1"/>
  <c r="D16" i="69"/>
  <c r="D15" i="69"/>
  <c r="C13" i="43"/>
  <c r="C14" i="43"/>
  <c r="C15" i="43"/>
  <c r="D16" i="43"/>
  <c r="C16" i="43"/>
  <c r="C17" i="43"/>
  <c r="C18" i="43"/>
  <c r="C19" i="43"/>
  <c r="I6" i="65"/>
  <c r="B22" i="1"/>
  <c r="C2" i="65"/>
  <c r="I1" i="65"/>
  <c r="I5" i="65"/>
  <c r="E2" i="65"/>
  <c r="B40" i="1"/>
  <c r="F21" i="43"/>
  <c r="C22" i="43"/>
  <c r="C21" i="43"/>
  <c r="F24" i="43"/>
  <c r="C25" i="43"/>
  <c r="C24" i="43"/>
  <c r="C23" i="43"/>
  <c r="D21" i="43"/>
  <c r="C26" i="43"/>
  <c r="D24" i="43"/>
  <c r="C28" i="43"/>
  <c r="C29" i="43"/>
  <c r="C30" i="43"/>
  <c r="C32" i="43"/>
  <c r="C12" i="69"/>
  <c r="I4" i="65"/>
  <c r="E20" i="46"/>
  <c r="N17" i="46"/>
  <c r="G20" i="46"/>
  <c r="C20" i="46"/>
  <c r="C39" i="46"/>
  <c r="C15" i="69"/>
  <c r="C29" i="46"/>
  <c r="C11" i="69"/>
  <c r="B2" i="43"/>
  <c r="B3" i="43"/>
  <c r="C20" i="9"/>
  <c r="G3" i="46"/>
  <c r="C23" i="46"/>
  <c r="C21" i="46"/>
  <c r="G17" i="46"/>
  <c r="C16" i="46"/>
  <c r="C5" i="46"/>
  <c r="E29" i="46"/>
  <c r="D5" i="46"/>
  <c r="C33" i="46"/>
  <c r="E33" i="46"/>
  <c r="C34" i="46"/>
  <c r="E34" i="46"/>
  <c r="C35" i="46"/>
  <c r="E35" i="46"/>
  <c r="C36" i="46"/>
  <c r="E36" i="46"/>
  <c r="C37" i="46"/>
  <c r="E37" i="46"/>
  <c r="C38" i="46"/>
  <c r="E38" i="46"/>
  <c r="E39" i="46"/>
  <c r="C26" i="46"/>
  <c r="B2" i="46"/>
  <c r="B3" i="46"/>
  <c r="D20" i="9"/>
  <c r="G20" i="9"/>
  <c r="E11" i="69"/>
  <c r="D29" i="69"/>
  <c r="D2" i="69"/>
  <c r="C29" i="69"/>
  <c r="E29" i="69"/>
  <c r="F48" i="69"/>
  <c r="F49" i="69"/>
  <c r="C16" i="69"/>
  <c r="E15" i="69"/>
  <c r="G15" i="69"/>
  <c r="L35" i="69"/>
  <c r="D4" i="69"/>
  <c r="C36" i="69"/>
  <c r="K35" i="69"/>
  <c r="M35" i="69"/>
  <c r="F54" i="69"/>
  <c r="F56" i="69"/>
  <c r="F57" i="69"/>
  <c r="E54" i="69"/>
  <c r="C13" i="69"/>
  <c r="C14" i="69"/>
  <c r="E13" i="69"/>
  <c r="G13" i="69"/>
  <c r="L32" i="69"/>
  <c r="E52" i="69"/>
  <c r="D36" i="69"/>
  <c r="D31" i="69"/>
  <c r="D49" i="69"/>
  <c r="D54" i="69"/>
  <c r="D3" i="69"/>
  <c r="C31" i="69"/>
  <c r="D52" i="69"/>
  <c r="D56" i="69"/>
  <c r="D57" i="69"/>
  <c r="E48" i="69"/>
  <c r="D48" i="69"/>
  <c r="G11" i="69"/>
  <c r="L28" i="69"/>
  <c r="K28" i="69"/>
  <c r="M28" i="69"/>
  <c r="M38" i="69"/>
  <c r="E31" i="69"/>
  <c r="E36" i="69"/>
  <c r="E38" i="69"/>
  <c r="C38" i="69"/>
  <c r="H15" i="69"/>
  <c r="H11" i="69"/>
  <c r="H17" i="69"/>
  <c r="H13" i="69"/>
  <c r="C34" i="34"/>
  <c r="R48" i="34"/>
  <c r="C7" i="34"/>
  <c r="C59" i="34"/>
  <c r="D59" i="34"/>
  <c r="E59" i="34"/>
  <c r="F59" i="34"/>
  <c r="G59" i="34"/>
  <c r="H59" i="34"/>
  <c r="I59" i="34"/>
  <c r="J59" i="34"/>
  <c r="K59" i="34"/>
  <c r="L59" i="34"/>
  <c r="M59" i="34"/>
  <c r="N59" i="34"/>
  <c r="O59" i="34"/>
  <c r="F7" i="34"/>
  <c r="AA7" i="34"/>
  <c r="D86" i="34"/>
  <c r="F23" i="34"/>
  <c r="AA23" i="34"/>
  <c r="D88" i="34"/>
  <c r="F25" i="34"/>
  <c r="AA25" i="34"/>
  <c r="F34" i="34"/>
  <c r="AA34" i="34"/>
  <c r="F35" i="34"/>
  <c r="AA35" i="34"/>
  <c r="D109" i="34"/>
  <c r="F36" i="34"/>
  <c r="AA36" i="34"/>
  <c r="F37" i="34"/>
  <c r="AA37" i="34"/>
  <c r="F38" i="34"/>
  <c r="AA38" i="34"/>
  <c r="F39" i="34"/>
  <c r="AA39" i="34"/>
  <c r="D118" i="34"/>
  <c r="F40" i="34"/>
  <c r="AA40" i="34"/>
  <c r="F41" i="34"/>
  <c r="AA41" i="34"/>
  <c r="F42" i="34"/>
  <c r="AA42" i="34"/>
  <c r="D124" i="34"/>
  <c r="F43" i="34"/>
  <c r="AA43" i="34"/>
  <c r="D126" i="34"/>
  <c r="F44" i="34"/>
  <c r="AA44" i="34"/>
  <c r="F45" i="34"/>
  <c r="AA45" i="34"/>
  <c r="D78" i="34"/>
  <c r="E78" i="34"/>
  <c r="F15" i="34"/>
  <c r="AA15" i="34"/>
  <c r="D84" i="34"/>
  <c r="E84" i="34"/>
  <c r="F21" i="34"/>
  <c r="AA21" i="34"/>
  <c r="F10" i="34"/>
  <c r="AA10" i="34"/>
  <c r="D80" i="34"/>
  <c r="E80" i="34"/>
  <c r="F17" i="34"/>
  <c r="AA17" i="34"/>
  <c r="D82" i="34"/>
  <c r="E82" i="34"/>
  <c r="F19" i="34"/>
  <c r="AA19" i="34"/>
  <c r="F33" i="34"/>
  <c r="AA33" i="34"/>
  <c r="R49" i="34"/>
  <c r="H35" i="34"/>
  <c r="AB35" i="34"/>
  <c r="H36" i="34"/>
  <c r="AB36" i="34"/>
  <c r="H37" i="34"/>
  <c r="AB37" i="34"/>
  <c r="H38" i="34"/>
  <c r="AB38" i="34"/>
  <c r="H39" i="34"/>
  <c r="AB39" i="34"/>
  <c r="H40" i="34"/>
  <c r="AB40" i="34"/>
  <c r="H41" i="34"/>
  <c r="AB41" i="34"/>
  <c r="H42" i="34"/>
  <c r="AB42" i="34"/>
  <c r="H43" i="34"/>
  <c r="AB43" i="34"/>
  <c r="H44" i="34"/>
  <c r="AB44" i="34"/>
  <c r="H45" i="34"/>
  <c r="AB45" i="34"/>
  <c r="T48" i="34"/>
  <c r="H7" i="34"/>
  <c r="AB7" i="34"/>
  <c r="H15" i="34"/>
  <c r="AB15" i="34"/>
  <c r="H25" i="34"/>
  <c r="AB25" i="34"/>
  <c r="H21" i="34"/>
  <c r="AB21" i="34"/>
  <c r="H34" i="34"/>
  <c r="AB34" i="34"/>
  <c r="H10" i="34"/>
  <c r="AB10" i="34"/>
  <c r="H17" i="34"/>
  <c r="AB17" i="34"/>
  <c r="H19" i="34"/>
  <c r="AB19" i="34"/>
  <c r="H23" i="34"/>
  <c r="AB23" i="34"/>
  <c r="H33" i="34"/>
  <c r="AB33" i="34"/>
  <c r="T49" i="34"/>
  <c r="J35" i="34"/>
  <c r="AC35" i="34"/>
  <c r="J36" i="34"/>
  <c r="AC36" i="34"/>
  <c r="J37" i="34"/>
  <c r="AC37" i="34"/>
  <c r="J38" i="34"/>
  <c r="AC38" i="34"/>
  <c r="J39" i="34"/>
  <c r="AC39" i="34"/>
  <c r="J40" i="34"/>
  <c r="AC40" i="34"/>
  <c r="J41" i="34"/>
  <c r="AC41" i="34"/>
  <c r="J42" i="34"/>
  <c r="AC42" i="34"/>
  <c r="J43" i="34"/>
  <c r="AC43" i="34"/>
  <c r="J44" i="34"/>
  <c r="AC44" i="34"/>
  <c r="J45" i="34"/>
  <c r="AC45" i="34"/>
  <c r="V48" i="34"/>
  <c r="J7" i="34"/>
  <c r="AC7" i="34"/>
  <c r="J15" i="34"/>
  <c r="AC15" i="34"/>
  <c r="J25" i="34"/>
  <c r="AC25" i="34"/>
  <c r="J21" i="34"/>
  <c r="AC21" i="34"/>
  <c r="J34" i="34"/>
  <c r="AC34" i="34"/>
  <c r="J10" i="34"/>
  <c r="AC10" i="34"/>
  <c r="J17" i="34"/>
  <c r="AC17" i="34"/>
  <c r="J19" i="34"/>
  <c r="AC19" i="34"/>
  <c r="J23" i="34"/>
  <c r="AC23" i="34"/>
  <c r="J33" i="34"/>
  <c r="AC33" i="34"/>
  <c r="V49" i="34"/>
  <c r="R50" i="34"/>
  <c r="C50" i="34"/>
  <c r="C8" i="43"/>
  <c r="C10" i="43"/>
  <c r="D39" i="46"/>
  <c r="D37" i="46"/>
  <c r="D29" i="46"/>
  <c r="F1" i="46"/>
  <c r="X5" i="59"/>
  <c r="AH5" i="59"/>
  <c r="AG5" i="59"/>
  <c r="AE5" i="59"/>
  <c r="AF5" i="59"/>
  <c r="AD5" i="59"/>
  <c r="Q5" i="59"/>
  <c r="Q6" i="59"/>
  <c r="AB5" i="59"/>
  <c r="P5" i="59"/>
  <c r="P6" i="59"/>
  <c r="AA5" i="59"/>
  <c r="O5" i="59"/>
  <c r="O6" i="59"/>
  <c r="Y5" i="59"/>
  <c r="N5" i="59"/>
  <c r="N6" i="59"/>
  <c r="Z5" i="59"/>
  <c r="F6" i="59"/>
  <c r="F5" i="59"/>
  <c r="E6" i="59"/>
  <c r="E5" i="59"/>
  <c r="C6" i="59"/>
  <c r="C5" i="59"/>
  <c r="D5" i="59"/>
  <c r="B6" i="59"/>
  <c r="B5" i="59"/>
  <c r="G2" i="46"/>
  <c r="I2" i="46"/>
  <c r="M7" i="46"/>
  <c r="C6" i="46"/>
  <c r="H17" i="46"/>
  <c r="I17" i="46"/>
  <c r="J17" i="46"/>
  <c r="C17" i="46"/>
  <c r="B2" i="1"/>
  <c r="G19" i="46"/>
  <c r="N7" i="59"/>
  <c r="B7" i="59"/>
  <c r="O7" i="59"/>
  <c r="C7" i="59"/>
  <c r="D6" i="59"/>
  <c r="P7" i="59"/>
  <c r="E7" i="59"/>
  <c r="Q7" i="59"/>
  <c r="F7" i="59"/>
  <c r="D7" i="59"/>
  <c r="D8" i="59"/>
  <c r="N11" i="59"/>
  <c r="B11" i="59"/>
  <c r="N10" i="59"/>
  <c r="B10" i="59"/>
  <c r="N9" i="59"/>
  <c r="B9" i="59"/>
  <c r="O11" i="59"/>
  <c r="C11" i="59"/>
  <c r="O10" i="59"/>
  <c r="C10" i="59"/>
  <c r="O9" i="59"/>
  <c r="C9" i="59"/>
  <c r="D9" i="59"/>
  <c r="P11" i="59"/>
  <c r="E11" i="59"/>
  <c r="P10" i="59"/>
  <c r="E10" i="59"/>
  <c r="P9" i="59"/>
  <c r="E9" i="59"/>
  <c r="Q11" i="59"/>
  <c r="F11" i="59"/>
  <c r="Q10" i="59"/>
  <c r="F10" i="59"/>
  <c r="Q9" i="59"/>
  <c r="F9" i="59"/>
  <c r="D10" i="59"/>
  <c r="D11" i="59"/>
  <c r="D12" i="59"/>
  <c r="N12" i="59"/>
  <c r="B13" i="59"/>
  <c r="O12" i="59"/>
  <c r="C13" i="59"/>
  <c r="D13" i="59"/>
  <c r="P12" i="59"/>
  <c r="E13" i="59"/>
  <c r="Q12" i="59"/>
  <c r="F13" i="59"/>
  <c r="N13" i="59"/>
  <c r="B14" i="59"/>
  <c r="O13" i="59"/>
  <c r="C14" i="59"/>
  <c r="D14" i="59"/>
  <c r="P13" i="59"/>
  <c r="E14" i="59"/>
  <c r="Q13" i="59"/>
  <c r="F14" i="59"/>
  <c r="N14" i="59"/>
  <c r="B15" i="59"/>
  <c r="O14" i="59"/>
  <c r="C15" i="59"/>
  <c r="D15" i="59"/>
  <c r="P14" i="59"/>
  <c r="E15" i="59"/>
  <c r="Q14" i="59"/>
  <c r="F15" i="59"/>
  <c r="D16" i="59"/>
  <c r="N16" i="59"/>
  <c r="B17" i="59"/>
  <c r="O16" i="59"/>
  <c r="C17" i="59"/>
  <c r="D17" i="59"/>
  <c r="P16" i="59"/>
  <c r="E17" i="59"/>
  <c r="Q16" i="59"/>
  <c r="F17" i="59"/>
  <c r="N17" i="59"/>
  <c r="B18" i="59"/>
  <c r="O17" i="59"/>
  <c r="C18" i="59"/>
  <c r="D18" i="59"/>
  <c r="P17" i="59"/>
  <c r="E18" i="59"/>
  <c r="Q17" i="59"/>
  <c r="F18" i="59"/>
  <c r="N18" i="59"/>
  <c r="B19" i="59"/>
  <c r="O18" i="59"/>
  <c r="C19" i="59"/>
  <c r="D19" i="59"/>
  <c r="P18" i="59"/>
  <c r="E19" i="59"/>
  <c r="Q18" i="59"/>
  <c r="F19" i="59"/>
  <c r="D20" i="59"/>
  <c r="N20" i="59"/>
  <c r="B21" i="59"/>
  <c r="O20" i="59"/>
  <c r="C21" i="59"/>
  <c r="D21" i="59"/>
  <c r="P20" i="59"/>
  <c r="E21" i="59"/>
  <c r="Q20" i="59"/>
  <c r="F21" i="59"/>
  <c r="N21" i="59"/>
  <c r="B22" i="59"/>
  <c r="O21" i="59"/>
  <c r="C22" i="59"/>
  <c r="D22" i="59"/>
  <c r="P21" i="59"/>
  <c r="E22" i="59"/>
  <c r="Q21" i="59"/>
  <c r="F22" i="59"/>
  <c r="N22" i="59"/>
  <c r="B23" i="59"/>
  <c r="O22" i="59"/>
  <c r="C23" i="59"/>
  <c r="D23" i="59"/>
  <c r="P22" i="59"/>
  <c r="E23" i="59"/>
  <c r="Q22" i="59"/>
  <c r="F23" i="59"/>
  <c r="M20" i="46"/>
  <c r="M19" i="46"/>
  <c r="X3" i="59"/>
  <c r="Y3" i="59"/>
  <c r="Z3" i="59"/>
  <c r="AA3" i="59"/>
  <c r="AB3" i="59"/>
  <c r="Z8" i="59"/>
  <c r="Z9" i="59"/>
  <c r="Z10" i="59"/>
  <c r="Z11" i="59"/>
  <c r="Z12" i="59"/>
  <c r="Z13" i="59"/>
  <c r="Z14" i="59"/>
  <c r="Z15" i="59"/>
  <c r="Z16" i="59"/>
  <c r="Z17" i="59"/>
  <c r="Z18" i="59"/>
  <c r="Z19" i="59"/>
  <c r="Z20" i="59"/>
  <c r="X6" i="59"/>
  <c r="Y6" i="59"/>
  <c r="Z6" i="59"/>
  <c r="AA6" i="59"/>
  <c r="AB6" i="59"/>
  <c r="C19" i="46"/>
  <c r="C1" i="65"/>
  <c r="H1" i="65"/>
  <c r="J20" i="46"/>
  <c r="F19" i="4"/>
  <c r="F6" i="1"/>
  <c r="F7" i="1"/>
  <c r="I20" i="46"/>
  <c r="D58" i="46"/>
  <c r="K59" i="46"/>
  <c r="D59" i="46"/>
  <c r="K60" i="46"/>
  <c r="D60" i="46"/>
  <c r="K61" i="46"/>
  <c r="D61" i="46"/>
  <c r="K62" i="46"/>
  <c r="D62" i="46"/>
  <c r="K63" i="46"/>
  <c r="D63" i="46"/>
  <c r="D64" i="46"/>
  <c r="K65" i="46"/>
  <c r="D65" i="46"/>
  <c r="K66" i="46"/>
  <c r="D66" i="46"/>
  <c r="E58" i="46"/>
  <c r="B56" i="46"/>
  <c r="C24" i="46"/>
  <c r="F39" i="46"/>
  <c r="G39" i="46"/>
  <c r="F38" i="46"/>
  <c r="G38" i="46"/>
  <c r="F37" i="46"/>
  <c r="G37" i="46"/>
  <c r="F36" i="46"/>
  <c r="G36" i="46"/>
  <c r="F35" i="46"/>
  <c r="G35" i="46"/>
  <c r="F34" i="46"/>
  <c r="G34" i="46"/>
  <c r="A6" i="1"/>
  <c r="A7" i="1"/>
  <c r="A8" i="1"/>
  <c r="G1" i="15"/>
  <c r="F8" i="1"/>
  <c r="F9" i="1"/>
  <c r="L48" i="15"/>
  <c r="J50" i="15"/>
  <c r="J51" i="15"/>
  <c r="M47" i="15"/>
  <c r="J53" i="15"/>
  <c r="G1" i="44"/>
  <c r="L49" i="44"/>
  <c r="M48" i="44"/>
  <c r="J51" i="44"/>
  <c r="J52" i="44"/>
  <c r="J54" i="44"/>
  <c r="C10" i="46"/>
  <c r="C11" i="46"/>
  <c r="E8" i="46"/>
  <c r="E9" i="46"/>
  <c r="E10" i="46"/>
  <c r="E11" i="46"/>
  <c r="E15" i="46"/>
  <c r="E17" i="46"/>
  <c r="AD5" i="3"/>
  <c r="AH5" i="3"/>
  <c r="AL5" i="3"/>
  <c r="AP5" i="3"/>
  <c r="I5" i="3"/>
  <c r="I4" i="6"/>
  <c r="E22" i="46"/>
  <c r="C18" i="46"/>
  <c r="F33"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F80" i="46"/>
  <c r="F99" i="46"/>
  <c r="F100" i="46"/>
  <c r="F101" i="46"/>
  <c r="F102" i="46"/>
  <c r="F103" i="46"/>
  <c r="F104" i="46"/>
  <c r="F105" i="46"/>
  <c r="F106" i="46"/>
  <c r="F107" i="46"/>
  <c r="F108" i="46"/>
  <c r="F109" i="46"/>
  <c r="F113" i="46"/>
  <c r="F115" i="46"/>
  <c r="F116" i="46"/>
  <c r="F117" i="46"/>
  <c r="F118" i="46"/>
  <c r="F8" i="67"/>
  <c r="F9" i="67"/>
  <c r="F10" i="67"/>
  <c r="F11" i="67"/>
  <c r="F12" i="67"/>
  <c r="F13" i="67"/>
  <c r="F14" i="67"/>
  <c r="G33" i="46"/>
  <c r="H33" i="46"/>
  <c r="I33" i="46"/>
  <c r="I34" i="46"/>
  <c r="I35" i="46"/>
  <c r="I36" i="46"/>
  <c r="H37" i="46"/>
  <c r="I37" i="46"/>
  <c r="I38" i="46"/>
  <c r="H39" i="46"/>
  <c r="I39"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8" i="67"/>
  <c r="E9" i="67"/>
  <c r="E10" i="67"/>
  <c r="E11" i="67"/>
  <c r="E12" i="67"/>
  <c r="E13" i="67"/>
  <c r="E14" i="67"/>
  <c r="A7" i="46"/>
  <c r="B8" i="67"/>
  <c r="B9" i="67"/>
  <c r="B10" i="67"/>
  <c r="B11" i="67"/>
  <c r="B12" i="67"/>
  <c r="B13" i="67"/>
  <c r="B14"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Q8" i="59"/>
  <c r="Q15" i="59"/>
  <c r="Q19" i="59"/>
  <c r="P8" i="59"/>
  <c r="P15" i="59"/>
  <c r="P19" i="59"/>
  <c r="O8" i="59"/>
  <c r="O15" i="59"/>
  <c r="O19" i="59"/>
  <c r="N8" i="59"/>
  <c r="N15" i="59"/>
  <c r="N19"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AA12" i="59"/>
  <c r="AB12" i="59"/>
  <c r="X13" i="59"/>
  <c r="Y13" i="59"/>
  <c r="AA13" i="59"/>
  <c r="AB13" i="59"/>
  <c r="X14" i="59"/>
  <c r="Y14" i="59"/>
  <c r="AA14" i="59"/>
  <c r="AB14" i="59"/>
  <c r="X15" i="59"/>
  <c r="Y15" i="59"/>
  <c r="AA15" i="59"/>
  <c r="AB15" i="59"/>
  <c r="X16" i="59"/>
  <c r="Y16" i="59"/>
  <c r="AA16" i="59"/>
  <c r="AB16" i="59"/>
  <c r="X17" i="59"/>
  <c r="Y17" i="59"/>
  <c r="AA17" i="59"/>
  <c r="AB17" i="59"/>
  <c r="X18" i="59"/>
  <c r="Y18" i="59"/>
  <c r="AA18" i="59"/>
  <c r="AB18" i="59"/>
  <c r="X19" i="59"/>
  <c r="Y19" i="59"/>
  <c r="AA19" i="59"/>
  <c r="AB19" i="59"/>
  <c r="X20" i="59"/>
  <c r="Y20" i="59"/>
  <c r="AA20" i="59"/>
  <c r="AB20" i="59"/>
  <c r="AB21" i="59"/>
  <c r="AA21" i="59"/>
  <c r="Y21" i="59"/>
  <c r="X21" i="59"/>
  <c r="S2" i="31"/>
  <c r="M2" i="31"/>
  <c r="N2" i="31"/>
  <c r="O2" i="31"/>
  <c r="P2" i="31"/>
  <c r="Q2" i="31"/>
  <c r="R2" i="31"/>
  <c r="C3" i="65"/>
  <c r="N1" i="65"/>
  <c r="N7" i="65"/>
  <c r="T7" i="59"/>
  <c r="B76" i="63"/>
  <c r="I3" i="65"/>
  <c r="J7" i="65"/>
  <c r="I7" i="65"/>
  <c r="N5" i="65"/>
  <c r="J6" i="65"/>
  <c r="N4" i="65"/>
  <c r="N3" i="65"/>
  <c r="J5" i="65"/>
  <c r="N6" i="65"/>
  <c r="J4" i="65"/>
  <c r="J3"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8" i="59"/>
  <c r="X9" i="59"/>
  <c r="X10" i="59"/>
  <c r="X11" i="59"/>
  <c r="AA8" i="59"/>
  <c r="AA9" i="59"/>
  <c r="AA10" i="59"/>
  <c r="AA11" i="59"/>
  <c r="Y8" i="59"/>
  <c r="Y9" i="59"/>
  <c r="Y10" i="59"/>
  <c r="Y11" i="59"/>
  <c r="AB11"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F84" i="34"/>
  <c r="G84"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M65" i="46"/>
  <c r="N65" i="46"/>
  <c r="J65" i="46"/>
  <c r="M64" i="46"/>
  <c r="N64" i="46"/>
  <c r="K64" i="46"/>
  <c r="J64" i="46"/>
  <c r="M63" i="46"/>
  <c r="N63" i="46"/>
  <c r="J63" i="46"/>
  <c r="M62" i="46"/>
  <c r="N62" i="46"/>
  <c r="J62" i="46"/>
  <c r="M61" i="46"/>
  <c r="N61" i="46"/>
  <c r="J61" i="46"/>
  <c r="M60" i="46"/>
  <c r="N60" i="46"/>
  <c r="J60" i="46"/>
  <c r="M59" i="46"/>
  <c r="N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E19" i="4"/>
  <c r="B2" i="52"/>
  <c r="E22" i="52"/>
  <c r="N12" i="46"/>
  <c r="F41" i="4"/>
  <c r="J52" i="40"/>
  <c r="H61" i="49"/>
  <c r="H38" i="46"/>
  <c r="H36" i="46"/>
  <c r="H35" i="46"/>
  <c r="H34" i="46"/>
  <c r="P17" i="46"/>
  <c r="O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E126" i="34"/>
  <c r="F126" i="34"/>
  <c r="G126" i="34"/>
  <c r="E124" i="34"/>
  <c r="F124" i="34"/>
  <c r="G124" i="34"/>
  <c r="H124" i="34"/>
  <c r="I124" i="34"/>
  <c r="J124" i="34"/>
  <c r="K124" i="34"/>
  <c r="L124" i="34"/>
  <c r="M124" i="34"/>
  <c r="E118" i="34"/>
  <c r="F118" i="34"/>
  <c r="G118" i="34"/>
  <c r="U40"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B91" i="34"/>
  <c r="F28" i="34"/>
  <c r="S28" i="34"/>
  <c r="B89" i="34"/>
  <c r="J27" i="34"/>
  <c r="E88" i="34"/>
  <c r="F88" i="34"/>
  <c r="G88" i="34"/>
  <c r="H88" i="34"/>
  <c r="I88" i="34"/>
  <c r="J88" i="34"/>
  <c r="K88" i="34"/>
  <c r="L88" i="34"/>
  <c r="M88" i="34"/>
  <c r="E86" i="34"/>
  <c r="F82" i="34"/>
  <c r="G82" i="34"/>
  <c r="D70" i="34"/>
  <c r="E70" i="34"/>
  <c r="F70" i="34"/>
  <c r="G70" i="34"/>
  <c r="H70" i="34"/>
  <c r="I70" i="34"/>
  <c r="J70" i="34"/>
  <c r="K70" i="34"/>
  <c r="L70" i="34"/>
  <c r="M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AA28" i="34"/>
  <c r="U9" i="34"/>
  <c r="W8" i="34"/>
  <c r="J2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U45" i="34"/>
  <c r="W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F11" i="34"/>
  <c r="S11" i="34"/>
  <c r="F80"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E5"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O7" i="1"/>
  <c r="P7" i="1"/>
  <c r="C20" i="43"/>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AA12" i="34"/>
  <c r="AA30" i="34"/>
  <c r="AC32" i="34"/>
  <c r="U44" i="34"/>
  <c r="U34" i="34"/>
  <c r="U28" i="34"/>
  <c r="AA27" i="34"/>
  <c r="F86" i="34"/>
  <c r="G86" i="34"/>
  <c r="W17" i="34"/>
  <c r="AC11"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4" i="15"/>
  <c r="C24" i="15"/>
  <c r="F26" i="44"/>
  <c r="C26" i="44"/>
  <c r="F26" i="12"/>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B21" i="55"/>
  <c r="B72" i="63"/>
  <c r="B20" i="55"/>
  <c r="B70" i="63"/>
  <c r="S7" i="36"/>
  <c r="AA7" i="36"/>
  <c r="R36" i="36"/>
  <c r="E36" i="36"/>
  <c r="E40" i="36"/>
  <c r="F40" i="36"/>
  <c r="S7" i="35"/>
  <c r="AA7" i="35"/>
  <c r="R38" i="35"/>
  <c r="R39" i="35"/>
  <c r="C38" i="35"/>
  <c r="W7" i="34"/>
  <c r="I49" i="34"/>
  <c r="G54" i="34"/>
  <c r="H54" i="34"/>
  <c r="S7"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32" i="12"/>
  <c r="D30" i="12"/>
  <c r="D33" i="12"/>
  <c r="M14" i="1"/>
  <c r="K16" i="1"/>
  <c r="M20" i="6"/>
  <c r="I20" i="6"/>
  <c r="S20" i="6"/>
  <c r="S7" i="1"/>
  <c r="K27" i="6"/>
  <c r="M19" i="6"/>
  <c r="S6" i="1"/>
  <c r="M21" i="6"/>
  <c r="I21" i="6"/>
  <c r="S21" i="6"/>
  <c r="S8" i="1"/>
  <c r="M22" i="6"/>
  <c r="I22" i="6"/>
  <c r="S22" i="6"/>
  <c r="S9" i="1"/>
  <c r="B1" i="66"/>
  <c r="R43" i="37"/>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T10" i="1"/>
  <c r="T9" i="1"/>
  <c r="T6" i="1"/>
  <c r="T11" i="1"/>
  <c r="T8" i="1"/>
  <c r="T12" i="1"/>
  <c r="O16" i="1"/>
  <c r="P14" i="1"/>
  <c r="P16" i="1"/>
  <c r="C13" i="12"/>
  <c r="L16" i="1"/>
  <c r="N16" i="1"/>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T16" i="1"/>
  <c r="C17" i="12"/>
  <c r="C14" i="12"/>
  <c r="H27" i="6"/>
  <c r="R20" i="6"/>
  <c r="R19" i="6"/>
  <c r="R7" i="1"/>
  <c r="R24" i="6"/>
  <c r="D16" i="6"/>
  <c r="D30" i="6"/>
  <c r="R23" i="6"/>
  <c r="R25" i="6"/>
  <c r="R21" i="6"/>
  <c r="R8" i="1"/>
  <c r="R6" i="1"/>
  <c r="D27" i="6"/>
  <c r="A6" i="51"/>
  <c r="B7" i="63"/>
  <c r="A20" i="64"/>
  <c r="A6" i="64"/>
  <c r="A20" i="51"/>
  <c r="B15" i="63"/>
  <c r="N5" i="54"/>
  <c r="B43" i="63"/>
  <c r="R26" i="6"/>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K70" i="39"/>
  <c r="J72" i="39"/>
  <c r="K65" i="40"/>
  <c r="J67" i="40"/>
  <c r="C65" i="15"/>
  <c r="C59" i="15"/>
  <c r="C28" i="44"/>
  <c r="C31" i="44"/>
  <c r="C35" i="44"/>
  <c r="I5" i="6"/>
  <c r="C26" i="15"/>
  <c r="C29" i="15"/>
  <c r="J59" i="15"/>
  <c r="J60" i="15"/>
  <c r="C23" i="12"/>
  <c r="C35" i="12"/>
  <c r="C33" i="12"/>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8" i="12"/>
  <c r="C26" i="12"/>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5" i="43"/>
  <c r="B4" i="43"/>
  <c r="J9" i="40"/>
  <c r="F9" i="40"/>
  <c r="H9" i="40"/>
  <c r="J9" i="39"/>
  <c r="H9" i="39"/>
  <c r="F9" i="39"/>
  <c r="B4" i="46"/>
  <c r="D21"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B7" i="67"/>
  <c r="B2" i="67"/>
  <c r="C30" i="46"/>
  <c r="E30" i="46"/>
  <c r="F7" i="67"/>
  <c r="E4" i="67"/>
  <c r="B4" i="67"/>
  <c r="C27" i="46"/>
  <c r="E7" i="67"/>
  <c r="E3" i="67"/>
  <c r="B3" i="67"/>
  <c r="D4"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<sst xmlns="http://schemas.openxmlformats.org/spreadsheetml/2006/main" count="7071" uniqueCount="3143">
  <si>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</si>
  <si>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</si>
  <si>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</si>
  <si>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</si>
  <si>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</si>
  <si>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</si>
  <si>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</si>
  <si>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</si>
  <si>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</si>
  <si>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</si>
  <si>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</si>
  <si>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</si>
  <si>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</si>
  <si>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</si>
  <si>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</si>
  <si>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</si>
  <si>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</si>
  <si>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</si>
  <si>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</si>
  <si>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</si>
  <si>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</si>
  <si>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</si>
  <si>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</si>
  <si>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</si>
  <si>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</si>
  <si>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</si>
  <si>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</si>
  <si>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</si>
  <si>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</si>
  <si>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</si>
  <si>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</si>
  <si>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</si>
  <si>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</si>
  <si>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</si>
  <si>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</si>
  <si>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</si>
  <si>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</si>
  <si>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</si>
  <si>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</si>
  <si>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</si>
  <si>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</si>
  <si>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</si>
  <si>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</si>
  <si>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</si>
  <si>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</si>
  <si>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</si>
  <si>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</si>
  <si>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</si>
  <si>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</si>
  <si>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</si>
  <si>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</si>
  <si>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</si>
  <si>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</si>
  <si>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</si>
  <si>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</si>
  <si>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</si>
  <si>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</si>
  <si>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</si>
  <si>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</si>
  <si>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</si>
  <si>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</si>
  <si>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</si>
  <si>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</si>
  <si>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</si>
  <si>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</si>
  <si>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</si>
  <si>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</si>
  <si>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</si>
  <si>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</si>
  <si>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</si>
  <si>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</si>
  <si>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</si>
  <si>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</si>
  <si>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</si>
  <si>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</si>
  <si>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</si>
  <si>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</si>
  <si>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</si>
  <si>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</si>
  <si>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</si>
  <si>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</si>
  <si>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</si>
  <si>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</si>
  <si>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</si>
  <si>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</si>
  <si>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</si>
  <si>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</si>
  <si>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</si>
  <si>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</si>
  <si>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</si>
  <si>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</si>
  <si>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</si>
  <si>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</si>
  <si>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</si>
  <si>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</si>
  <si>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</si>
  <si>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</si>
  <si>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</si>
  <si>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</si>
  <si>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</si>
  <si>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</si>
  <si>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</si>
  <si>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</si>
  <si>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</si>
  <si>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</si>
  <si>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</si>
  <si>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</si>
  <si>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</si>
  <si>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</si>
  <si>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</si>
  <si>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</si>
  <si>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</si>
  <si>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</si>
  <si>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</si>
  <si>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</si>
  <si>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</si>
  <si>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</si>
  <si>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</si>
  <si>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</si>
  <si>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</si>
  <si>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</si>
  <si>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</si>
  <si>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</si>
  <si>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</si>
  <si>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</si>
  <si>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</si>
  <si>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</si>
  <si>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</si>
  <si>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</si>
  <si>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</si>
  <si>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</si>
  <si>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</si>
  <si>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</si>
  <si>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</si>
  <si>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</si>
  <si>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</si>
  <si>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</si>
  <si>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</si>
  <si>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</si>
  <si>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</si>
  <si>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</si>
  <si>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</si>
  <si>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</si>
  <si>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</si>
  <si>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</si>
  <si>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</si>
  <si>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</si>
  <si>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</si>
  <si>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</si>
  <si>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</si>
  <si>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</si>
  <si>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</si>
  <si>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</si>
  <si>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</si>
  <si>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</si>
  <si>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</si>
  <si>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</si>
  <si>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</si>
  <si>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</si>
  <si>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</si>
  <si>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</si>
  <si>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</si>
  <si>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</si>
  <si>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</si>
  <si>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</si>
  <si>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</si>
  <si>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</si>
  <si>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</si>
  <si>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</si>
  <si>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</si>
  <si>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</si>
  <si>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</si>
  <si>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</si>
  <si>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</si>
  <si>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</si>
  <si>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</si>
  <si>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</si>
  <si>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</si>
  <si>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</si>
  <si>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</si>
  <si>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</si>
  <si>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</si>
  <si>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</si>
  <si>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</si>
  <si>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</si>
  <si>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</si>
  <si>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</si>
  <si>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</si>
  <si>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</si>
  <si>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</si>
  <si>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</si>
  <si>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</si>
  <si>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</si>
  <si>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</si>
  <si>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</si>
  <si>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</si>
  <si>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</si>
  <si>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</si>
  <si>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</si>
  <si>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</si>
  <si>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</si>
  <si>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</si>
  <si>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</si>
  <si>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</si>
  <si>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</si>
  <si>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</si>
  <si>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</si>
  <si>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</si>
  <si>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</si>
  <si>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</si>
  <si>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</si>
  <si>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</si>
  <si>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</si>
  <si>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</si>
  <si>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</si>
  <si>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</si>
  <si>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</si>
  <si>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</si>
  <si>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</si>
  <si>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</si>
  <si>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</si>
  <si>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</si>
  <si>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</si>
  <si>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</si>
  <si>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</si>
  <si>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</si>
  <si>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</si>
  <si>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</si>
  <si>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</si>
  <si>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</si>
  <si>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</si>
  <si>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</si>
  <si>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</si>
  <si>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</si>
  <si>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</si>
  <si>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</si>
  <si>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</si>
  <si>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</si>
  <si>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</si>
  <si>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</si>
  <si>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</si>
  <si>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</si>
  <si>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</si>
  <si>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</si>
  <si>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</si>
  <si>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</si>
  <si>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</si>
  <si>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</si>
  <si>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</si>
  <si>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</si>
  <si>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</si>
  <si>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</si>
  <si>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</si>
  <si>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</si>
  <si>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</si>
  <si>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</si>
  <si>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</si>
  <si>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</si>
  <si>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</si>
  <si>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</si>
  <si>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</si>
  <si>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</si>
  <si>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</si>
  <si>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</si>
  <si>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</si>
  <si>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</si>
  <si>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</si>
  <si>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</si>
  <si>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</si>
  <si>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</si>
  <si>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</si>
  <si>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</si>
  <si>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</si>
  <si>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</si>
  <si>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</si>
  <si>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</si>
  <si>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</si>
  <si>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</si>
  <si>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</si>
  <si>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</si>
  <si>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</si>
  <si>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</si>
  <si>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</si>
  <si>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</si>
  <si>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</si>
  <si>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</si>
  <si>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</si>
  <si>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</si>
  <si>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</si>
  <si>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</si>
  <si>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</si>
  <si>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</si>
  <si>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</si>
  <si>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</si>
  <si>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</si>
  <si>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</si>
  <si>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</si>
  <si>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</si>
  <si>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</si>
  <si>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</si>
  <si>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</si>
  <si>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</si>
  <si>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</si>
  <si>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</si>
  <si>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</si>
  <si>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</si>
  <si>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</si>
  <si>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</si>
  <si>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</si>
  <si>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</si>
  <si>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</si>
  <si>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</si>
  <si>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</si>
  <si>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</si>
  <si>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</si>
  <si>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</si>
  <si>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</si>
  <si>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</si>
  <si>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</si>
  <si>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</si>
  <si>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</si>
  <si>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</si>
  <si>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</si>
  <si>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</si>
  <si>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</si>
  <si>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</si>
  <si>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</si>
  <si>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</si>
  <si>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</si>
  <si>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</si>
  <si>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</si>
  <si>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</si>
  <si>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</si>
  <si>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</si>
  <si>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</si>
  <si>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</si>
  <si>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</si>
  <si>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</si>
  <si>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</si>
  <si>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</si>
  <si>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</si>
  <si>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</si>
  <si>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</si>
  <si>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</si>
  <si>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</si>
  <si>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</si>
  <si>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</si>
  <si>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</si>
  <si>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</si>
  <si>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</si>
  <si>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</si>
  <si>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</si>
  <si>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</si>
  <si>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</si>
  <si>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</si>
  <si>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</si>
  <si>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</si>
  <si>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</si>
  <si>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</si>
  <si>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</si>
  <si>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</si>
  <si>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</si>
  <si>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</si>
  <si>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</si>
  <si>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</si>
  <si>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</si>
  <si>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</si>
  <si>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</si>
  <si>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</si>
  <si>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</si>
  <si>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</si>
  <si>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</si>
  <si>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</si>
  <si>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</si>
  <si>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</si>
  <si>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</si>
  <si>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</si>
  <si>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</si>
  <si>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</si>
  <si>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</si>
  <si>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</si>
  <si>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</si>
  <si>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</si>
  <si>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</si>
  <si>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</si>
  <si>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</si>
  <si>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</si>
  <si>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</si>
  <si>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</si>
  <si>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</si>
  <si>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</si>
  <si>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</si>
  <si>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</si>
  <si>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</si>
  <si>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</si>
  <si>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</si>
  <si>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</si>
  <si>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</si>
  <si>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</si>
  <si>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</si>
  <si>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</si>
  <si>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</si>
  <si>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</si>
  <si>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</si>
  <si>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</si>
  <si>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</si>
  <si>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</si>
  <si>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</si>
  <si>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</si>
  <si>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</si>
  <si>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</si>
  <si>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</si>
  <si>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</si>
  <si>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</si>
  <si>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</si>
  <si>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</si>
  <si>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</si>
  <si>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</si>
  <si>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</si>
  <si>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</si>
  <si>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</si>
  <si>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</si>
  <si>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</si>
  <si>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</si>
  <si>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</si>
  <si>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</si>
  <si>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</si>
  <si>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</si>
  <si>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</si>
  <si>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</si>
  <si>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</si>
  <si>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</si>
  <si>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</si>
  <si>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</si>
  <si>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</si>
  <si>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</si>
  <si>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</si>
  <si>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</si>
  <si>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</si>
  <si>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</si>
  <si>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</si>
  <si>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</si>
  <si>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</si>
  <si>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</si>
  <si>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</si>
  <si>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</si>
  <si>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</si>
  <si>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</si>
  <si>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</si>
  <si>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</si>
  <si>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</si>
  <si>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</si>
  <si>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</si>
  <si>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</si>
  <si>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</si>
  <si>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</si>
  <si>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</si>
  <si>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</si>
  <si>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</si>
  <si>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</si>
  <si>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</si>
  <si>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</si>
  <si>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</si>
  <si>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</si>
  <si>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</si>
  <si>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</si>
  <si>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</si>
  <si>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</si>
  <si>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</si>
  <si>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</si>
  <si>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</si>
  <si>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</si>
  <si>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</si>
  <si>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</si>
  <si>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</si>
  <si>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</si>
  <si>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</si>
  <si>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</si>
  <si>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</si>
  <si>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</si>
  <si>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</si>
  <si>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</si>
  <si>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</si>
  <si>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</si>
  <si>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</si>
  <si>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</si>
  <si>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</si>
  <si>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</si>
  <si>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</si>
  <si>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</si>
  <si>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</si>
  <si>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</si>
  <si>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</si>
  <si>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</si>
  <si>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</si>
  <si>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</si>
  <si>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</si>
  <si>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</si>
  <si>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</si>
  <si>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</si>
  <si>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</si>
  <si>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</si>
  <si>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</si>
  <si>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</si>
  <si>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</si>
  <si>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</si>
  <si>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</si>
  <si>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</si>
  <si>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</si>
  <si>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</si>
  <si>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</si>
  <si>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</si>
  <si>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</si>
  <si>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</si>
  <si>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</si>
  <si>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</si>
  <si>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</si>
  <si>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</si>
  <si>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</si>
  <si>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</si>
  <si>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</si>
  <si>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</si>
  <si>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</si>
  <si>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</si>
  <si>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</si>
  <si>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</si>
  <si>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</si>
  <si>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</si>
  <si>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</si>
  <si>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</si>
  <si>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</si>
  <si>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</si>
  <si>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</si>
  <si>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</si>
  <si>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</si>
  <si>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</si>
  <si>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</si>
  <si>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</si>
  <si>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</si>
  <si>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</si>
  <si>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</si>
  <si>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</si>
  <si>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</si>
  <si>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</si>
  <si>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</si>
  <si>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</si>
  <si>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</si>
  <si>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</si>
  <si>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</si>
  <si>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</si>
  <si>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</si>
  <si>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</si>
  <si>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</si>
  <si>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</si>
  <si>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</si>
  <si>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</si>
  <si>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</si>
  <si>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</si>
  <si>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</si>
  <si>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</si>
  <si>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</si>
  <si>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</si>
  <si>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</si>
  <si>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</si>
  <si>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</si>
  <si>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</si>
  <si>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</si>
  <si>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</si>
  <si>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</si>
  <si>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</si>
  <si>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</si>
  <si>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</si>
  <si>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</si>
  <si>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</si>
  <si>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</si>
  <si>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</si>
  <si>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</si>
  <si>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</si>
  <si>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</si>
  <si>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</si>
  <si>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</si>
  <si>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</si>
  <si>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</si>
  <si>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</si>
  <si>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</si>
  <si>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</si>
  <si>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</si>
  <si>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</si>
  <si>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</si>
  <si>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</si>
  <si>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</si>
  <si>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</si>
  <si>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</si>
  <si>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</si>
  <si>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</si>
  <si>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</si>
  <si>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</si>
  <si>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</si>
  <si>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</si>
  <si>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</si>
  <si>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</si>
  <si>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</si>
  <si>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</si>
  <si>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</si>
  <si>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</si>
  <si>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</si>
  <si>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</si>
  <si>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</si>
  <si>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</si>
  <si>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</si>
  <si>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</si>
  <si>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</si>
  <si>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</si>
  <si>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</si>
  <si>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</si>
  <si>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</si>
  <si>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</si>
  <si>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</si>
  <si>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</si>
  <si>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</si>
  <si>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</si>
  <si>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</si>
  <si>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</si>
  <si>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</si>
  <si>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</si>
  <si>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</si>
  <si>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</si>
  <si>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</si>
  <si>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</si>
  <si>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</si>
  <si>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</si>
  <si>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</si>
  <si>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</si>
  <si>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</si>
  <si>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</si>
  <si>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</si>
  <si>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</si>
  <si>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</si>
  <si>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</si>
  <si>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</si>
  <si>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</si>
  <si>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</si>
  <si>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</si>
  <si>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</si>
  <si>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</si>
  <si>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</si>
  <si>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</si>
  <si>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</si>
  <si>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</si>
  <si>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</si>
  <si>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</si>
  <si>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</si>
  <si>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</si>
  <si>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</si>
  <si>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</si>
  <si>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</si>
  <si>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</si>
  <si>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</si>
  <si>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</si>
  <si>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</si>
  <si>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</si>
  <si>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</si>
  <si>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</si>
  <si>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</si>
  <si>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</si>
  <si>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</si>
  <si>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</si>
  <si>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</si>
  <si>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</si>
  <si>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</si>
  <si>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</si>
  <si>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</si>
  <si>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</si>
  <si>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</si>
  <si>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</si>
  <si>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</si>
  <si>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</si>
  <si>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</si>
  <si>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</si>
  <si>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</si>
  <si>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</si>
  <si>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</si>
  <si>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</si>
  <si>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</si>
  <si>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</si>
  <si>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</si>
  <si>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</si>
  <si>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</si>
  <si>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</si>
  <si>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</si>
  <si>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</si>
  <si>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</si>
  <si>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</si>
  <si>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</si>
  <si>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</si>
  <si>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</si>
  <si>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</si>
  <si>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</si>
  <si>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</si>
  <si>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</si>
  <si>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</si>
  <si>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</si>
  <si>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</si>
  <si>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</si>
  <si>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</si>
  <si>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</si>
  <si>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</si>
  <si>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</si>
  <si>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</si>
  <si>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</si>
  <si>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</si>
  <si>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</si>
  <si>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</si>
  <si>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</si>
  <si>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</si>
  <si>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</si>
  <si>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</si>
  <si>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</si>
  <si>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</si>
  <si>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</si>
  <si>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</si>
  <si>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</si>
  <si>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</si>
  <si>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</si>
  <si>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</si>
  <si>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</si>
  <si>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</si>
  <si>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</si>
  <si>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</si>
  <si>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</si>
  <si>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</si>
  <si>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</si>
  <si>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</si>
  <si>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</si>
  <si>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</si>
  <si>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</si>
  <si>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</si>
  <si>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</si>
  <si>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</si>
  <si>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</si>
  <si>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</si>
  <si>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</si>
  <si>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</si>
  <si>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</si>
  <si>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</si>
  <si>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</si>
  <si>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</si>
  <si>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</si>
  <si>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</si>
  <si>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</si>
  <si>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</si>
  <si>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</si>
  <si>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</si>
  <si>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</si>
  <si>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</si>
  <si>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</si>
  <si>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</si>
  <si>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</si>
  <si>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</si>
  <si>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</si>
  <si>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</si>
  <si>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</si>
  <si>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</si>
  <si>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</si>
  <si>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</si>
  <si>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</si>
  <si>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</si>
  <si>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</si>
  <si>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</si>
  <si>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</si>
  <si>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</si>
  <si>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</si>
  <si>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</si>
  <si>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</si>
  <si>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</si>
  <si>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</si>
  <si>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</si>
  <si>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</si>
  <si>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</si>
  <si>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</si>
  <si>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</si>
  <si>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</si>
  <si>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</si>
  <si>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</si>
  <si>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</si>
  <si>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</si>
  <si>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</si>
  <si>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</si>
  <si>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</si>
  <si>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</si>
  <si>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</si>
  <si>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</si>
  <si>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</si>
  <si>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</si>
  <si>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</si>
  <si>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</si>
  <si>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</si>
  <si>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</si>
  <si>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</si>
  <si>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</si>
  <si>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</si>
  <si>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</si>
  <si>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</si>
  <si>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</si>
  <si>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</si>
  <si>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</si>
  <si>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</si>
  <si>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</si>
  <si>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</si>
  <si>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</si>
  <si>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</si>
  <si>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</si>
  <si>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</si>
  <si>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</si>
  <si>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</si>
  <si>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</si>
  <si>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</si>
  <si>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</si>
  <si>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</si>
  <si>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</si>
  <si>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</si>
  <si>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</si>
  <si>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</si>
  <si>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</si>
  <si>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</si>
  <si>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</si>
  <si>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</si>
  <si>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</si>
  <si>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</si>
  <si>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</si>
  <si>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</si>
  <si>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</si>
  <si>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</si>
  <si>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</si>
  <si>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</si>
  <si>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</si>
  <si>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</si>
  <si>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</si>
  <si>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</si>
  <si>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</si>
  <si>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</si>
  <si>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</si>
  <si>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</si>
  <si>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</si>
  <si>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</si>
  <si>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</si>
  <si>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</si>
  <si>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</si>
  <si>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</si>
  <si>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</si>
  <si>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</si>
  <si>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</si>
  <si>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</si>
  <si>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</si>
  <si>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</si>
  <si>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</si>
  <si>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</si>
  <si>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</si>
  <si>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</si>
  <si>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</si>
  <si>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</si>
  <si>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</si>
  <si>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</si>
  <si>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</si>
  <si>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</si>
  <si>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</si>
  <si>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</si>
  <si>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</si>
  <si>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</si>
  <si>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</si>
  <si>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</si>
  <si>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</si>
  <si>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</si>
  <si>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</si>
  <si>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</si>
  <si>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</si>
  <si>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</si>
  <si>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</si>
  <si>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</si>
  <si>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</si>
  <si>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</si>
  <si>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</si>
  <si>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</si>
  <si>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</si>
  <si>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</si>
  <si>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</si>
  <si>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</si>
  <si>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</si>
  <si>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</si>
  <si>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</si>
  <si>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</si>
  <si>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</si>
  <si>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</si>
  <si>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</si>
  <si>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</si>
  <si>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</si>
  <si>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</si>
  <si>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</si>
  <si>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</si>
  <si>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</si>
  <si>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</si>
  <si>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</si>
  <si>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</si>
  <si>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</si>
  <si>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</si>
  <si>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</si>
  <si>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</si>
  <si>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</si>
  <si>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</si>
  <si>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</si>
  <si>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</si>
  <si>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</si>
  <si>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</si>
  <si>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</si>
  <si>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</si>
  <si>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</si>
  <si>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</si>
  <si>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</si>
  <si>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</si>
  <si>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</si>
  <si>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</si>
  <si>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</si>
  <si>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</si>
  <si>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</si>
  <si>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</si>
  <si>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</si>
  <si>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</si>
  <si>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</si>
  <si>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</si>
  <si>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</si>
  <si>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</si>
  <si>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</si>
  <si>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</si>
  <si>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</si>
  <si>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</si>
  <si>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</si>
  <si>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</si>
  <si>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</si>
  <si>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</si>
  <si>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</si>
  <si>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</si>
  <si>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</si>
  <si>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</si>
  <si>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</si>
  <si>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</si>
  <si>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</si>
  <si>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</si>
  <si>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</si>
  <si>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</si>
  <si>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</si>
  <si>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</si>
  <si>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</si>
  <si>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</si>
  <si>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</si>
  <si>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</si>
  <si>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</si>
  <si>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</si>
  <si>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</si>
  <si>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</si>
  <si>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</si>
  <si>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</si>
  <si>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</si>
  <si>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</si>
  <si>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</si>
  <si>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</si>
  <si>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</si>
  <si>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</si>
  <si>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</si>
  <si>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</si>
  <si>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</si>
  <si>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</si>
  <si>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</si>
  <si>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</si>
  <si>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</si>
  <si>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</si>
  <si>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</si>
  <si>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</si>
  <si>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</si>
  <si>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</si>
  <si>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</si>
  <si>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</si>
  <si>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</si>
  <si>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</si>
  <si>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</si>
  <si>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</si>
  <si>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</si>
  <si>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</si>
  <si>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</si>
  <si>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</si>
  <si>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</si>
  <si>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</si>
  <si>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</si>
  <si>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</si>
  <si>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</si>
  <si>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</si>
  <si>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</si>
  <si>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</si>
  <si>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</si>
  <si>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</si>
  <si>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</si>
  <si>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</si>
  <si>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</si>
  <si>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</si>
  <si>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</si>
  <si>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</si>
  <si>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</si>
  <si>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</si>
  <si>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</si>
  <si>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</si>
  <si>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</si>
  <si>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</si>
  <si>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</si>
  <si>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</si>
  <si>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</si>
  <si>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</si>
  <si>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</si>
  <si>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</si>
  <si>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</si>
  <si>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</si>
  <si>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</si>
  <si>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</si>
  <si>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</si>
  <si>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</si>
  <si>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</si>
  <si>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</si>
  <si>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</si>
  <si>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</si>
  <si>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</si>
  <si>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</si>
  <si>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</si>
  <si>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</si>
  <si>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</si>
  <si>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</si>
  <si>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</si>
  <si>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</si>
  <si>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</si>
  <si>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</si>
  <si>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</si>
  <si>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</si>
  <si>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</si>
  <si>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</si>
  <si>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</si>
  <si>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</si>
  <si>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</si>
  <si>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</si>
  <si>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</si>
  <si>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</si>
  <si>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</si>
  <si>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</si>
  <si>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</si>
  <si>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</si>
  <si>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</si>
  <si>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</si>
  <si>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</si>
  <si>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</si>
  <si>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</si>
  <si>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</si>
  <si>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</si>
  <si>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</si>
  <si>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</si>
  <si>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</si>
  <si>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</si>
  <si>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</si>
  <si>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</si>
  <si>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</si>
  <si>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</si>
  <si>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</si>
  <si>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</si>
  <si>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</si>
  <si>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</si>
  <si>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</si>
  <si>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</si>
  <si>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</si>
  <si>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</si>
  <si>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</si>
  <si>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</si>
  <si>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</si>
  <si>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</si>
  <si>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</si>
  <si>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</si>
  <si>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</si>
  <si>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</si>
  <si>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</si>
  <si>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</si>
  <si>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</si>
  <si>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</si>
  <si>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</si>
  <si>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</si>
  <si>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</si>
  <si>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</si>
  <si>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</si>
  <si>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</si>
  <si>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</si>
  <si>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</si>
  <si>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</si>
  <si>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</si>
  <si>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</si>
  <si>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</si>
  <si>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</si>
  <si>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</si>
  <si>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</si>
  <si>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</si>
  <si>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</si>
  <si>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</si>
  <si>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</si>
  <si>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</si>
  <si>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</si>
  <si>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</si>
  <si>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</si>
  <si>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</si>
  <si>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</si>
  <si>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</si>
  <si>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</si>
  <si>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</si>
  <si>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</si>
  <si>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</si>
  <si>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</si>
  <si>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</si>
  <si>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</si>
  <si>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</si>
  <si>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</si>
  <si>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</si>
  <si>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</si>
  <si>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</si>
  <si>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</si>
  <si>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</si>
  <si>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</si>
  <si>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</si>
  <si>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</si>
  <si>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</si>
  <si>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</si>
  <si>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</si>
  <si>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</si>
  <si>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</si>
  <si>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</si>
  <si>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</si>
  <si>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</si>
  <si>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</si>
  <si>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</si>
  <si>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</si>
  <si>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</si>
  <si>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</si>
  <si>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</si>
  <si>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</si>
  <si>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</si>
  <si>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</si>
  <si>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</si>
  <si>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</si>
  <si>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</si>
  <si>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</si>
  <si>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</si>
  <si>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</si>
  <si>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</si>
  <si>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</si>
  <si>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</si>
  <si>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</si>
  <si>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</si>
  <si>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</si>
  <si>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</si>
  <si>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</si>
  <si>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</si>
  <si>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</si>
  <si>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</si>
  <si>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</si>
  <si>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</si>
  <si>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</si>
  <si>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</si>
  <si>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</si>
  <si>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</si>
  <si>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</si>
  <si>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</si>
  <si>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</si>
  <si>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</si>
  <si>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</si>
  <si>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</si>
  <si>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</si>
  <si>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</si>
  <si>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</si>
  <si>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</si>
  <si>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</si>
  <si>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</si>
  <si>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</si>
  <si>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</si>
  <si>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</si>
  <si>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</si>
  <si>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</si>
  <si>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</si>
  <si>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</si>
  <si>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</si>
  <si>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</si>
  <si>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</si>
  <si>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</si>
  <si>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</si>
  <si>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</si>
  <si>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</si>
  <si>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</si>
  <si>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</si>
  <si>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</si>
  <si>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</si>
  <si>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</si>
  <si>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</si>
  <si>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</si>
  <si>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</si>
  <si>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</si>
  <si>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</si>
  <si>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</si>
  <si>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</si>
  <si>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</si>
  <si>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</si>
  <si>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</si>
  <si>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</si>
  <si>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</si>
  <si>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</si>
  <si>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</si>
  <si>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</si>
  <si>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</si>
  <si>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</si>
  <si>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</si>
  <si>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</si>
  <si>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</si>
  <si>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</si>
  <si>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</si>
  <si>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</si>
  <si>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</si>
  <si>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</si>
  <si>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</si>
  <si>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</si>
  <si>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</si>
  <si>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</si>
  <si>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</si>
  <si>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</si>
  <si>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</si>
  <si>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</si>
  <si>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</si>
  <si>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</si>
  <si>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</si>
  <si>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</si>
  <si>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</si>
  <si>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</si>
  <si>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</si>
  <si>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</si>
  <si>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</si>
  <si>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</si>
  <si>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</si>
  <si>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</si>
  <si>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</si>
  <si>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</si>
  <si>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</si>
  <si>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</si>
  <si>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</si>
  <si>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</si>
  <si>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</si>
  <si>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</si>
  <si>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</si>
  <si>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</si>
  <si>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</si>
  <si>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</si>
  <si>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</si>
  <si>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</si>
  <si>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</si>
  <si>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</si>
  <si>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</si>
  <si>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</si>
  <si>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</si>
  <si>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</si>
  <si>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</si>
  <si>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</si>
  <si>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</si>
  <si>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</si>
  <si>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</si>
  <si>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</si>
  <si>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</si>
  <si>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</si>
  <si>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</si>
  <si>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</si>
  <si>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</si>
  <si>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</si>
  <si>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</si>
  <si>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</si>
  <si>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</si>
  <si>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</si>
  <si>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</si>
  <si>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</si>
  <si>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</si>
  <si>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</si>
  <si>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</si>
  <si>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</si>
  <si>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</si>
  <si>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</si>
  <si>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</si>
  <si>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</si>
  <si>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</si>
  <si>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</si>
  <si>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</si>
  <si>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</si>
  <si>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</si>
  <si>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</si>
  <si>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</si>
  <si>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</si>
  <si>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</si>
  <si>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</si>
  <si>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</si>
  <si>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</si>
  <si>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</si>
  <si>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</si>
  <si>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</si>
  <si>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</si>
  <si>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</si>
  <si>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</si>
  <si>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</si>
  <si>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</si>
  <si>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</si>
  <si>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</si>
  <si>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</si>
  <si>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</si>
  <si>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</si>
  <si>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</si>
  <si>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</si>
  <si>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</si>
  <si>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</si>
  <si>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</si>
  <si>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</si>
  <si>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</si>
  <si>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</si>
  <si>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</si>
  <si>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</si>
  <si>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</si>
  <si>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</si>
  <si>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</si>
  <si>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</si>
  <si>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</si>
  <si>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</si>
  <si>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</si>
  <si>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</si>
  <si>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</si>
  <si>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</si>
  <si>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</si>
  <si>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</si>
  <si>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</si>
  <si>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</si>
  <si>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</si>
  <si>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</si>
  <si>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</si>
  <si>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</si>
  <si>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</si>
  <si>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</si>
  <si>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</si>
  <si>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</si>
  <si>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</si>
  <si>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</si>
  <si>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</si>
  <si>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</si>
  <si>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</si>
  <si>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</si>
  <si>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</si>
  <si>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</si>
  <si>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</si>
  <si>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</si>
  <si>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</si>
  <si>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</si>
  <si>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</si>
  <si>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</si>
  <si>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</si>
  <si>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</si>
  <si>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</si>
  <si>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</si>
  <si>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</si>
  <si>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</si>
  <si>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</si>
  <si>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</si>
  <si>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</si>
  <si>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</si>
  <si>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</si>
  <si>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</si>
  <si>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</si>
  <si>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</si>
  <si>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</si>
  <si>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</si>
  <si>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</si>
  <si>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</si>
  <si>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</si>
  <si>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</si>
  <si>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</si>
  <si>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</si>
  <si>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</si>
  <si>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</si>
  <si>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</si>
  <si>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</si>
  <si>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</si>
  <si>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</si>
  <si>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</si>
  <si>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</si>
  <si>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</si>
  <si>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</si>
  <si>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</si>
  <si>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</si>
  <si>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</si>
  <si>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</si>
  <si>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</si>
  <si>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</si>
  <si>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</si>
  <si>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</si>
  <si>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</si>
  <si>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</si>
  <si>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</si>
  <si>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</si>
  <si>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</si>
  <si>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</si>
  <si>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</si>
  <si>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</si>
  <si>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</si>
  <si>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</si>
  <si>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</si>
  <si>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</si>
  <si>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</si>
  <si>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</si>
  <si>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</si>
  <si>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</si>
  <si>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</si>
  <si>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</si>
  <si>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</si>
  <si>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</si>
  <si>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</si>
  <si>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</si>
  <si>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</si>
  <si>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</si>
  <si>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</si>
  <si>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</si>
  <si>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</si>
  <si>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</si>
  <si>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</si>
  <si>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</si>
  <si>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</si>
  <si>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</si>
  <si>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</si>
  <si>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</si>
  <si>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</si>
  <si>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</si>
  <si>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</si>
  <si>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</si>
  <si>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</si>
  <si>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</si>
  <si>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</si>
  <si>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</si>
  <si>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</si>
  <si>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</si>
  <si>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</si>
  <si>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</si>
  <si>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</si>
  <si>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</si>
  <si>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</si>
  <si>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</si>
  <si>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</si>
  <si>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</si>
  <si>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</si>
  <si>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</si>
  <si>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</si>
  <si>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</si>
  <si>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</si>
  <si>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</si>
  <si>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</si>
  <si>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</si>
  <si>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</si>
  <si>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</si>
  <si>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</si>
  <si>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</si>
  <si>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</si>
  <si>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</si>
  <si>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</si>
  <si>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</si>
  <si>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</si>
  <si>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</si>
  <si>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</si>
  <si>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</si>
  <si>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</si>
  <si>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</si>
  <si>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</si>
  <si>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</si>
  <si>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</si>
  <si>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</si>
  <si>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</si>
  <si>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</si>
  <si>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</si>
  <si>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</si>
  <si>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</si>
  <si>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</si>
  <si>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</si>
  <si>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</si>
  <si>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</si>
  <si>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</si>
  <si>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</si>
  <si>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</si>
  <si>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</si>
  <si>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</si>
  <si>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</si>
  <si>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</si>
  <si>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</si>
  <si>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</si>
  <si>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</si>
  <si>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</si>
  <si>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</si>
  <si>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</si>
  <si>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</si>
  <si>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</si>
  <si>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</si>
  <si>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</si>
  <si>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</si>
  <si>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</si>
  <si>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</si>
  <si>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</si>
  <si>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</si>
  <si>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</si>
  <si>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</si>
  <si>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</si>
  <si>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</si>
  <si>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</si>
  <si>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</si>
  <si>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</si>
  <si>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</si>
  <si>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</si>
  <si>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</si>
  <si>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</si>
  <si>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</si>
  <si>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</si>
  <si>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</si>
  <si>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</si>
  <si>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</si>
  <si>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</si>
  <si>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</si>
  <si>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</si>
  <si>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</si>
  <si>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</si>
  <si>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</si>
  <si>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</si>
  <si>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</si>
  <si>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</si>
  <si>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</si>
  <si>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</si>
  <si>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</si>
  <si>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</si>
  <si>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</si>
  <si>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</si>
  <si>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</si>
  <si>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</si>
  <si>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</si>
  <si>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</si>
  <si>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</si>
  <si>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</si>
  <si>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</si>
  <si>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</si>
  <si>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</si>
  <si>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</si>
  <si>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</si>
  <si>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</si>
  <si>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</si>
  <si>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</si>
  <si>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</si>
  <si>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</si>
  <si>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</si>
  <si>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</si>
  <si>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</si>
  <si>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</si>
  <si>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</si>
  <si>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</si>
  <si>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</si>
  <si>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</si>
  <si>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</si>
  <si>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</si>
  <si>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</si>
  <si>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</si>
  <si>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</si>
  <si>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</si>
  <si>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</si>
  <si>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</si>
  <si>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</si>
  <si>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</si>
  <si>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</si>
  <si>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</si>
  <si>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</si>
  <si>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</si>
  <si>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</si>
  <si>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</si>
  <si>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</si>
  <si>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</si>
  <si>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</si>
  <si>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</si>
  <si>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</si>
  <si>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</si>
  <si>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</si>
  <si>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</si>
  <si>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</si>
  <si>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</si>
  <si>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</si>
  <si>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</si>
  <si>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</si>
  <si>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</si>
  <si>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</si>
  <si>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</si>
  <si>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</si>
  <si>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</si>
  <si>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</si>
  <si>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</si>
  <si>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</si>
  <si>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</si>
  <si>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</si>
  <si>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</si>
  <si>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</si>
  <si>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</si>
  <si>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</si>
  <si>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</si>
  <si>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</si>
  <si>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</si>
  <si>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</si>
  <si>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</si>
  <si>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</si>
  <si>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</si>
  <si>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</si>
  <si>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</si>
  <si>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</si>
  <si>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</si>
  <si>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</si>
  <si>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</si>
  <si>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</si>
  <si>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</si>
  <si>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</si>
  <si>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</si>
  <si>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</si>
  <si>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</si>
  <si>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</si>
  <si>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</si>
  <si>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</si>
  <si>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</si>
  <si>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</si>
  <si>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</si>
  <si>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</si>
  <si>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</si>
  <si>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</si>
  <si>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</si>
  <si>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</si>
  <si>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</si>
  <si>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</si>
  <si>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</si>
  <si>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</si>
  <si>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</si>
  <si>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</si>
  <si>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</si>
  <si>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</si>
  <si>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</si>
  <si>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</si>
  <si>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</si>
  <si>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</si>
  <si>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</si>
  <si>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</si>
  <si>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</si>
  <si>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</si>
  <si>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</si>
  <si>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</si>
  <si>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</si>
  <si>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</si>
  <si>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</si>
  <si>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</si>
  <si>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</si>
  <si>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</si>
  <si>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</si>
  <si>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</si>
  <si>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</si>
  <si>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</si>
  <si>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</si>
  <si>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</si>
  <si>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</si>
  <si>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</si>
  <si>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</si>
  <si>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</si>
  <si>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</si>
  <si>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</si>
  <si>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</si>
  <si>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</si>
  <si>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</si>
  <si>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</si>
  <si>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</si>
  <si>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</si>
  <si>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</si>
  <si>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</si>
  <si>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</si>
  <si>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</si>
  <si>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</si>
  <si>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</si>
  <si>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</si>
  <si>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</si>
  <si>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</si>
  <si>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</si>
  <si>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</si>
  <si>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</si>
  <si>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</si>
  <si>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</si>
  <si>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</si>
  <si>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</si>
  <si>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</si>
  <si>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</si>
  <si>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</si>
  <si>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</si>
  <si>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</si>
  <si>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</si>
  <si>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</si>
  <si>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</si>
  <si>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</si>
  <si>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</si>
  <si>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</si>
  <si>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</si>
  <si>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</si>
  <si>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</si>
  <si>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</si>
  <si>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</si>
  <si>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</si>
  <si>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</si>
  <si>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</si>
  <si>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</si>
  <si>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</si>
  <si>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</si>
  <si>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</si>
  <si>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</si>
  <si>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</si>
  <si>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</si>
  <si>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</si>
  <si>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</si>
  <si>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</si>
  <si>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</si>
  <si>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</si>
  <si>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</si>
  <si>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</si>
  <si>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</si>
  <si>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</si>
  <si>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</si>
  <si>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</si>
  <si>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</si>
  <si>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</si>
  <si>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</si>
  <si>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</si>
  <si>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</si>
  <si>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</si>
  <si>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</si>
  <si>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</si>
  <si>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</si>
  <si>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</si>
  <si>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</si>
  <si>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</si>
  <si>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</si>
  <si>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</si>
  <si>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</si>
  <si>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</si>
  <si>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</si>
  <si>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</si>
  <si>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</si>
  <si>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</si>
  <si>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</si>
  <si>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</si>
  <si>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</si>
  <si>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</si>
  <si>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</si>
  <si>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</si>
  <si>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</si>
  <si>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</si>
  <si>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</si>
  <si>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</si>
  <si>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</si>
  <si>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</si>
  <si>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</si>
  <si>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</si>
  <si>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</si>
  <si>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</si>
  <si>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</si>
  <si>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</si>
  <si>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</si>
  <si>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</si>
  <si>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</si>
  <si>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</si>
  <si>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</si>
  <si>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</si>
  <si>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</si>
  <si>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</si>
  <si>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</si>
  <si>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</si>
  <si>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</si>
  <si>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</si>
  <si>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</si>
  <si>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</si>
  <si>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</si>
  <si>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</si>
  <si>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</si>
  <si>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</si>
  <si>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</si>
  <si>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</si>
  <si>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</si>
  <si>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</si>
  <si>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</si>
  <si>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</si>
  <si>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</si>
  <si>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</si>
  <si>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</si>
  <si>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</si>
  <si>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</si>
  <si>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</si>
  <si>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</si>
  <si>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</si>
  <si>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</si>
  <si>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</si>
  <si>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</si>
  <si>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</si>
  <si>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</si>
  <si>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</si>
  <si>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</si>
  <si>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</si>
  <si>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</si>
  <si>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</si>
  <si>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</si>
  <si>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</si>
  <si>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</si>
  <si>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</si>
  <si>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</si>
  <si>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</si>
  <si>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</si>
  <si>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</si>
  <si>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</si>
  <si>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</si>
  <si>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</si>
  <si>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</si>
  <si>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</si>
  <si>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</si>
  <si>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</si>
  <si>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</si>
  <si>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</si>
  <si>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</si>
  <si>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</si>
  <si>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</si>
  <si>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</si>
  <si>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</si>
  <si>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</si>
  <si>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</si>
  <si>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</si>
  <si>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</si>
  <si>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</si>
  <si>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</si>
  <si>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</si>
  <si>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</si>
  <si>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</si>
  <si>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</si>
  <si>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</si>
  <si>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</si>
  <si>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</si>
  <si>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</si>
  <si>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</si>
  <si>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</si>
  <si>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</si>
  <si>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</si>
  <si>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</si>
  <si>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</si>
  <si>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</si>
  <si>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</si>
  <si>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</si>
  <si>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</si>
  <si>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</si>
  <si>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</si>
  <si>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</si>
  <si>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</si>
  <si>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</si>
  <si>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</si>
  <si>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</si>
  <si>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</si>
  <si>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</si>
  <si>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</si>
  <si>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</si>
  <si>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</si>
  <si>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</si>
  <si>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</si>
  <si>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</si>
  <si>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</si>
  <si>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</si>
  <si>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</si>
  <si>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</si>
  <si>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</si>
  <si>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</si>
  <si>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</si>
  <si>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</si>
  <si>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</si>
  <si>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</si>
  <si>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</si>
  <si>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</si>
  <si>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</si>
  <si>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</si>
  <si>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</si>
  <si>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</si>
  <si>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</si>
  <si>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</si>
  <si>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</si>
  <si>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</si>
  <si>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</si>
  <si>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</si>
  <si>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</si>
  <si>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</si>
  <si>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</si>
  <si>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</si>
  <si>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</si>
  <si>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</si>
  <si>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</si>
  <si>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</si>
  <si>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</si>
  <si>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</si>
  <si>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</si>
  <si>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</si>
  <si>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</si>
  <si>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</si>
  <si>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</si>
  <si>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</si>
  <si>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</si>
  <si>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</si>
  <si>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</si>
  <si>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</si>
  <si>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</si>
  <si>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</si>
  <si>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</si>
  <si>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</si>
  <si>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</si>
  <si>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</si>
  <si>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</si>
  <si>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</si>
  <si>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</si>
  <si>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</si>
  <si>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</si>
  <si>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</si>
  <si>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</si>
  <si>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</si>
  <si>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</si>
  <si>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</si>
  <si>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</si>
  <si>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</si>
  <si>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</si>
  <si>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</si>
  <si>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</si>
  <si>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</si>
  <si>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</si>
  <si>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</si>
  <si>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</si>
  <si>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</si>
  <si>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</si>
  <si>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</si>
  <si>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</si>
  <si>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</si>
  <si>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</si>
  <si>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</si>
  <si>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</si>
  <si>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</si>
  <si>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</si>
  <si>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</si>
  <si>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</si>
  <si>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</si>
  <si>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</si>
  <si>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</si>
  <si>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</si>
  <si>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</si>
  <si>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</si>
  <si>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</si>
  <si>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</si>
  <si>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</si>
  <si>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</si>
  <si>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</si>
  <si>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</si>
  <si>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</si>
  <si>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</si>
  <si>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</si>
  <si>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</si>
  <si>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</si>
  <si>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</si>
  <si>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</si>
  <si>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</si>
  <si>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</si>
  <si>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</si>
  <si>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</si>
  <si>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</si>
  <si>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</si>
  <si>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</si>
  <si>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</si>
  <si>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</si>
  <si>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</si>
  <si>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</si>
  <si>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</si>
  <si>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</si>
  <si>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</si>
  <si>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</si>
  <si>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</si>
  <si>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</si>
  <si>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</si>
  <si>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</si>
  <si>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</si>
  <si>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</si>
  <si>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</si>
  <si>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</si>
  <si>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</si>
  <si>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</si>
  <si>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</si>
  <si>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</si>
  <si>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</si>
  <si>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</si>
  <si>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</si>
  <si>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</si>
  <si>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</si>
  <si>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</si>
  <si>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</si>
  <si>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</si>
  <si>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</si>
  <si>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</si>
  <si>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</si>
  <si>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</si>
  <si>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</si>
  <si>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</si>
  <si>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</si>
  <si>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</si>
  <si>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</si>
  <si>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</si>
  <si>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</si>
  <si>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</si>
  <si>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</si>
  <si>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</si>
  <si>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</si>
  <si>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</si>
  <si>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</si>
  <si>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</si>
  <si>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</si>
  <si>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</si>
  <si>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</si>
  <si>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</si>
  <si>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</si>
  <si>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</si>
  <si>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</si>
  <si>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</si>
  <si>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</si>
  <si>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</si>
  <si>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</si>
  <si>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</si>
  <si>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</si>
  <si>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</si>
  <si>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</si>
  <si>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</si>
  <si>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</si>
  <si>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</si>
  <si>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</si>
  <si>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</si>
  <si>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</si>
  <si>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</si>
  <si>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</si>
  <si>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</si>
  <si>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</si>
  <si>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</si>
  <si>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</si>
  <si>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</si>
  <si>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</si>
  <si>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</si>
  <si>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</si>
  <si>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</si>
  <si>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</si>
  <si>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</si>
  <si>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</si>
  <si>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</si>
  <si>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</si>
  <si>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</si>
  <si>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</si>
  <si>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</si>
  <si>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</si>
  <si>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</si>
  <si>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</si>
  <si>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</si>
  <si>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</si>
  <si>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</si>
  <si>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</si>
  <si>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</si>
  <si>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</si>
  <si>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</si>
  <si>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</si>
  <si>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</si>
  <si>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</si>
  <si>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</si>
  <si>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</si>
  <si>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</si>
  <si>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</si>
  <si>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</si>
  <si>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</si>
  <si>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</si>
  <si>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</si>
  <si>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</si>
  <si>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</si>
  <si>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</si>
  <si>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</si>
  <si>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</si>
  <si>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</si>
  <si>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</si>
  <si>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</si>
  <si>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</si>
  <si>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</si>
  <si>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</si>
  <si>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</si>
  <si>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</si>
  <si>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</si>
  <si>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</si>
  <si>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</si>
  <si>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</si>
  <si>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</si>
  <si>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</si>
  <si>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</si>
  <si>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</si>
  <si>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</si>
  <si>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</si>
  <si>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</si>
  <si>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</si>
  <si>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</si>
  <si>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</si>
  <si>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</si>
  <si>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</si>
  <si>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</si>
  <si>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</si>
  <si>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</si>
  <si>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</si>
  <si>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</si>
  <si>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</si>
  <si>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</si>
  <si>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</si>
  <si>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</si>
  <si>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</si>
  <si>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</si>
  <si>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</si>
  <si>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</si>
  <si>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</si>
  <si>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</si>
  <si>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</si>
  <si>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</si>
  <si>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</si>
  <si>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</si>
  <si>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</si>
  <si>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</si>
  <si>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</si>
  <si>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</si>
  <si>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</si>
  <si>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</si>
  <si>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</si>
  <si>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</si>
  <si>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</si>
  <si>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</si>
  <si>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</si>
  <si>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</si>
  <si>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</si>
  <si>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</si>
  <si>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</si>
  <si>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</si>
  <si>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</si>
  <si>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</si>
  <si>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</si>
  <si>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</si>
  <si>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</si>
  <si>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</si>
  <si>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</si>
  <si>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</si>
  <si>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</si>
  <si>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</si>
  <si>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</si>
  <si>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</si>
  <si>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</si>
  <si>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</si>
  <si>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</si>
  <si>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</si>
  <si>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</si>
  <si>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</si>
  <si>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</si>
  <si>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</si>
  <si>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</si>
  <si>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</si>
  <si>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</si>
  <si>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</si>
  <si>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</si>
  <si>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</si>
  <si>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</si>
  <si>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</si>
  <si>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</si>
  <si>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</si>
  <si>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</si>
  <si>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</si>
  <si>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</si>
  <si>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</si>
  <si>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</si>
  <si>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</si>
  <si>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</si>
  <si>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</si>
  <si>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</si>
  <si>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</si>
  <si>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</si>
  <si>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</si>
  <si>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</si>
  <si>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</si>
  <si>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</si>
  <si>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</si>
  <si>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</si>
  <si>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</si>
  <si>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</si>
  <si>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</si>
  <si>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</si>
  <si>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</si>
  <si>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</si>
  <si>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</si>
  <si>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</si>
  <si>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</si>
  <si>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</si>
  <si>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</si>
  <si>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</si>
  <si>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</si>
  <si>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</si>
  <si>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</si>
  <si>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</si>
  <si>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</si>
  <si>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</si>
  <si>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</si>
  <si>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</si>
  <si>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</si>
  <si>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</si>
  <si>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</si>
  <si>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</si>
  <si>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</si>
  <si>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</si>
  <si>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</si>
  <si>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</si>
  <si>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</si>
  <si>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</si>
  <si>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</si>
  <si>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</si>
  <si>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</si>
  <si>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</si>
  <si>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</si>
  <si>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</si>
  <si>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</si>
  <si>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</si>
  <si>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</si>
  <si>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</si>
  <si>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</si>
  <si>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</si>
  <si>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</si>
  <si>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</si>
  <si>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</si>
  <si>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</si>
  <si>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</si>
  <si>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</si>
  <si>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</si>
  <si>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</si>
  <si>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</si>
  <si>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</si>
  <si>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</si>
  <si>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</si>
  <si>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</si>
  <si>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</si>
  <si>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</si>
  <si>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</si>
  <si>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</si>
  <si>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</si>
  <si>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</si>
  <si>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</si>
  <si>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</si>
  <si>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</si>
  <si>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</si>
  <si>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</si>
  <si>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</si>
  <si>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</si>
  <si>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</si>
  <si>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</si>
  <si>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</si>
  <si>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</si>
  <si>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</si>
  <si>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</si>
  <si>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</si>
  <si>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</si>
  <si>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</si>
  <si>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</si>
  <si>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</si>
  <si>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</si>
  <si>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</si>
  <si>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</si>
  <si>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</si>
  <si>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</si>
  <si>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</si>
  <si>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</si>
  <si>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</si>
  <si>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</si>
  <si>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</si>
  <si>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</si>
  <si>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</si>
  <si>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</si>
  <si>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</si>
  <si>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</si>
  <si>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</si>
  <si>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</si>
  <si>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</si>
  <si>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</si>
  <si>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</si>
  <si>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</si>
  <si>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</si>
  <si>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</si>
  <si>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</si>
  <si>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</si>
  <si>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</si>
  <si>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</si>
  <si>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</si>
  <si>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</si>
  <si>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</si>
  <si>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</si>
  <si>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</si>
  <si>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</si>
  <si>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</si>
  <si>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</si>
  <si>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</si>
  <si>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</si>
  <si>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</si>
  <si>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</si>
  <si>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</si>
  <si>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</si>
  <si>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</si>
  <si>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</si>
  <si>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</si>
  <si>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</si>
  <si>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</si>
  <si>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</si>
  <si>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</si>
  <si>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</si>
  <si>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</si>
  <si>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</si>
  <si>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</si>
  <si>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</si>
  <si>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</si>
  <si>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</si>
  <si>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</si>
  <si>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</si>
  <si>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</si>
  <si>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</si>
  <si>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</si>
  <si>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</si>
  <si>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</si>
  <si>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</si>
  <si>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</si>
  <si>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</si>
  <si>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</si>
  <si>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</si>
  <si>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</si>
  <si>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</si>
  <si>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</si>
  <si>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</si>
  <si>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</si>
  <si>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</si>
  <si>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</si>
  <si>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</si>
  <si>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</si>
  <si>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</si>
  <si>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</si>
  <si>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</si>
  <si>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</si>
  <si>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</si>
  <si>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</si>
  <si>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</si>
  <si>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</si>
  <si>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</si>
  <si>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</si>
  <si>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</si>
  <si>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</si>
  <si>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</si>
  <si>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</si>
  <si>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</si>
  <si>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</si>
  <si>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</si>
  <si>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</si>
  <si>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</si>
  <si>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</si>
  <si>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</si>
  <si>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</si>
  <si>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</si>
  <si>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</si>
  <si>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</si>
  <si>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</si>
  <si>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</si>
  <si>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</si>
  <si>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</si>
  <si>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</si>
  <si>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</si>
  <si>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</si>
  <si>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</si>
  <si>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</si>
  <si>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</si>
  <si>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</si>
  <si>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</si>
  <si>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</si>
  <si>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</si>
  <si>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</si>
  <si>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</si>
  <si>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</si>
  <si>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</si>
  <si>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</si>
  <si>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</si>
  <si>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</si>
  <si>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</si>
  <si>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</si>
  <si>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</si>
  <si>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</si>
  <si>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</si>
  <si>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</si>
  <si>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</si>
  <si>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</si>
  <si>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</si>
  <si>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</si>
  <si>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</si>
  <si>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</si>
  <si>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</si>
  <si>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</si>
  <si>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</si>
  <si>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</si>
  <si>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</si>
  <si>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</si>
  <si>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</si>
  <si>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</si>
  <si>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</si>
  <si>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</si>
  <si>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</si>
  <si>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</si>
  <si>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</si>
  <si>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</si>
  <si>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</si>
  <si>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</si>
  <si>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</si>
  <si>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</si>
  <si>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</si>
  <si>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</si>
  <si>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</si>
  <si>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</si>
  <si>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</si>
  <si>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</si>
  <si>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</si>
  <si>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</si>
  <si>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</si>
  <si>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</si>
  <si>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</si>
  <si>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</si>
  <si>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</si>
  <si>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</si>
  <si>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</si>
  <si>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</si>
  <si>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</si>
  <si>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</si>
  <si>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</si>
  <si>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</si>
  <si>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</si>
  <si>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</si>
  <si>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</si>
  <si>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</si>
  <si>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</si>
  <si>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</si>
  <si>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</si>
  <si>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</si>
  <si>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</si>
  <si>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</si>
  <si>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</si>
  <si>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</si>
  <si>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</si>
  <si>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</si>
  <si>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</si>
  <si>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</si>
  <si>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</si>
  <si>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</si>
  <si>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</si>
  <si>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</si>
  <si>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</si>
  <si>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</si>
  <si>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</si>
  <si>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</si>
  <si>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</si>
  <si>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</si>
  <si>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</si>
  <si>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</si>
  <si>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</si>
  <si>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</si>
  <si>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</si>
  <si>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</si>
  <si>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</si>
  <si>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</si>
  <si>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</si>
  <si>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</si>
  <si>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</si>
  <si>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</si>
  <si>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</si>
  <si>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</si>
  <si>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</si>
  <si>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</si>
  <si>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</si>
  <si>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</si>
  <si>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</si>
  <si>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</si>
  <si>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</si>
  <si>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</si>
  <si>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</si>
  <si>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</si>
  <si>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</si>
  <si>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</si>
  <si>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</si>
  <si>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</si>
  <si>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</si>
  <si>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</si>
  <si>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</si>
  <si>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</si>
  <si>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</si>
  <si>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</si>
  <si>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</si>
  <si>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</si>
  <si>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</si>
  <si>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</si>
  <si>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</si>
  <si>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</si>
  <si>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</si>
  <si>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</si>
  <si>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</si>
  <si>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</si>
  <si>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</si>
  <si>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</si>
  <si>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</si>
  <si>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</si>
  <si>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</si>
  <si>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</si>
  <si>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</si>
  <si>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</si>
  <si>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</si>
  <si>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</si>
  <si>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</si>
  <si>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</si>
  <si>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</si>
  <si>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</si>
  <si>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</si>
  <si>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</si>
  <si>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</si>
  <si>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</si>
  <si>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</si>
  <si>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</si>
  <si>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</si>
  <si>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</si>
  <si>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</si>
  <si>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</si>
  <si>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</si>
  <si>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</si>
  <si>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</si>
  <si>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</si>
  <si>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</si>
  <si>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</si>
  <si>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</si>
  <si>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</si>
  <si>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</si>
  <si>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</si>
  <si>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</si>
  <si>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</si>
  <si>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</si>
  <si>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</si>
  <si>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</si>
  <si>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</si>
  <si>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</si>
  <si>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</si>
  <si>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</si>
  <si>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</si>
  <si>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</si>
  <si>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</si>
  <si>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</si>
  <si>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</si>
  <si>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</si>
  <si>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</si>
  <si>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</si>
  <si>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</si>
  <si>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</si>
  <si>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</si>
  <si>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</si>
  <si>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</si>
  <si>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</si>
  <si>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</si>
  <si>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</si>
  <si>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</si>
  <si>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</si>
  <si>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</si>
  <si>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</si>
  <si>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</si>
  <si>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</si>
  <si>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</si>
  <si>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</si>
  <si>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</si>
  <si>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</si>
  <si>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</si>
  <si>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</si>
  <si>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</si>
  <si>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</si>
  <si>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</si>
  <si>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</si>
  <si>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</si>
  <si>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</si>
  <si>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</si>
  <si>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</si>
  <si>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</si>
  <si>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</si>
  <si>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</si>
  <si>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</si>
  <si>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</si>
  <si>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</si>
  <si>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</si>
  <si>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</si>
  <si>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</si>
  <si>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</si>
  <si>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</si>
  <si>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</si>
  <si>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</si>
  <si>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</si>
  <si>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</si>
  <si>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</si>
  <si>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</si>
  <si>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</si>
  <si>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</si>
  <si>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</si>
  <si>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</si>
  <si>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</si>
  <si>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</si>
  <si>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</si>
  <si>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</si>
  <si>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</si>
  <si>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</si>
  <si>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</si>
  <si>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</si>
  <si>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</si>
  <si>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</si>
  <si>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</si>
  <si>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</si>
  <si>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</si>
  <si>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</si>
  <si>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</si>
  <si>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</si>
  <si>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</si>
  <si>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</si>
  <si>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</si>
  <si>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</si>
  <si>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</si>
  <si>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</si>
  <si>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</si>
  <si>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</si>
  <si>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</si>
  <si>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</si>
  <si>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</si>
  <si>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</si>
  <si>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</si>
  <si>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</si>
  <si>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</si>
  <si>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</si>
  <si>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</si>
  <si>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</si>
  <si>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</si>
  <si>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</si>
  <si>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</si>
  <si>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</si>
  <si>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</si>
  <si>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</si>
  <si>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</si>
  <si>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</si>
  <si>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</si>
  <si>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</si>
  <si>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</si>
  <si>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</si>
  <si>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</si>
  <si>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</si>
  <si>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</si>
  <si>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</si>
  <si>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</si>
  <si>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</si>
  <si>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</si>
  <si>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</si>
  <si>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</si>
  <si>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</si>
  <si>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</si>
  <si>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</si>
  <si>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</si>
  <si>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</si>
  <si>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</si>
  <si>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</si>
  <si>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</si>
  <si>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</si>
  <si>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</si>
  <si>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</si>
  <si>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</si>
  <si>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</si>
  <si>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</si>
  <si>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</si>
  <si>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</si>
  <si>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</si>
  <si>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</si>
  <si>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</si>
  <si>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</si>
  <si>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</si>
  <si>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</si>
  <si>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</si>
  <si>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</si>
  <si>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</si>
  <si>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</si>
  <si>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</si>
  <si>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</si>
  <si>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</si>
  <si>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</si>
  <si>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</si>
  <si>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</si>
  <si>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</si>
  <si>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</si>
  <si>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</si>
  <si>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</si>
  <si>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</si>
  <si>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</si>
  <si>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</si>
  <si>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</si>
  <si>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</si>
  <si>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</si>
  <si>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</si>
  <si>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</si>
  <si>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</si>
  <si>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</si>
  <si>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</si>
  <si>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</si>
  <si>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</si>
  <si>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</si>
  <si>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</si>
  <si>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</si>
  <si>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</si>
  <si>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</si>
  <si>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</si>
  <si>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</si>
  <si>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</si>
  <si>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</si>
  <si>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</si>
  <si>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</si>
  <si>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</si>
  <si>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</si>
  <si>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</si>
  <si>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</si>
  <si>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</si>
  <si>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</si>
  <si>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</si>
  <si>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</si>
  <si>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</si>
  <si>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</si>
  <si>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</si>
  <si>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</si>
  <si>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</si>
  <si>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</si>
  <si>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</si>
  <si>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</si>
  <si>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</si>
  <si>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</si>
  <si>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</si>
  <si>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</si>
  <si>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</si>
  <si>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</si>
  <si>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</si>
  <si>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</si>
  <si>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</si>
  <si>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</si>
  <si>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</si>
  <si>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</si>
  <si>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</si>
  <si>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</si>
  <si>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</si>
  <si>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</si>
  <si>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</si>
  <si>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</si>
  <si>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</si>
  <si>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</si>
  <si>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</si>
  <si>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</si>
  <si>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</si>
  <si>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</si>
  <si>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</si>
  <si>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</si>
  <si>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</si>
  <si>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</si>
  <si>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</si>
  <si>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</si>
  <si>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</si>
  <si>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</si>
  <si>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</si>
  <si>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</si>
  <si>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</si>
  <si>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</si>
  <si>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</si>
  <si>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</si>
  <si>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</si>
  <si>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</si>
  <si>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</si>
  <si>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</si>
  <si>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</si>
  <si>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</si>
  <si>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</si>
  <si>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</si>
  <si>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</si>
  <si>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</si>
  <si>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</si>
  <si>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</si>
  <si>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</si>
  <si>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</si>
  <si>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</si>
  <si>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</si>
  <si>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</si>
  <si>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</si>
  <si>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</si>
  <si>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</si>
  <si>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</si>
  <si>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</si>
  <si>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</si>
  <si>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</si>
  <si>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</si>
  <si>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</si>
  <si>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</si>
  <si>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</si>
  <si>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</si>
  <si>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</si>
  <si>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</si>
  <si>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</si>
  <si>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</si>
  <si>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</si>
  <si>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</si>
  <si>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</si>
  <si>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</si>
  <si>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</si>
  <si>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</si>
  <si>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</si>
  <si>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</si>
  <si>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</si>
  <si>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</si>
  <si>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</si>
  <si>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</si>
  <si>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</si>
  <si>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</si>
  <si>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</si>
  <si>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</si>
  <si>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</si>
  <si>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</si>
  <si>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</si>
  <si>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</si>
  <si>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</si>
  <si>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</si>
  <si>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</si>
  <si>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</si>
  <si>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</si>
  <si>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</si>
  <si>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</si>
  <si>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</si>
  <si>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</si>
  <si>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</si>
  <si>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</si>
  <si>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</si>
  <si>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</si>
  <si>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</si>
  <si>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</si>
  <si>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</si>
  <si>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</si>
  <si>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</si>
  <si>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</si>
  <si>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</si>
  <si>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</si>
  <si>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</si>
  <si>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</si>
  <si>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</si>
  <si>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</si>
  <si>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</si>
  <si>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</si>
  <si>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</si>
  <si>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</si>
  <si>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</si>
  <si>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</si>
  <si>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</si>
  <si>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</si>
  <si>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</si>
  <si>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</si>
  <si>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</si>
  <si>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</si>
  <si>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</si>
  <si>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</si>
  <si>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</si>
  <si>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</si>
  <si>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</si>
  <si>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</si>
  <si>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</si>
  <si>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</si>
  <si>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</si>
  <si>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</si>
  <si>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</si>
  <si>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</si>
  <si>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</si>
  <si>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</si>
  <si>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</si>
  <si>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</si>
  <si>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</si>
  <si>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</si>
  <si>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</si>
  <si>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</si>
  <si>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</si>
  <si>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</si>
  <si>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</si>
  <si>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</si>
  <si>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</si>
  <si>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</si>
  <si>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</si>
  <si>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</si>
  <si>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</si>
  <si>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</si>
  <si>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</si>
  <si>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</si>
  <si>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</si>
  <si>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</si>
  <si>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</si>
  <si>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</si>
  <si>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</si>
  <si>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</si>
  <si>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</si>
  <si>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</si>
  <si>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</si>
  <si>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</si>
  <si>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</si>
  <si>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</si>
  <si>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</si>
  <si>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</si>
  <si>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</si>
  <si>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</si>
  <si>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</si>
  <si>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</si>
  <si>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</si>
  <si>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</si>
  <si>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</si>
  <si>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</si>
  <si>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</si>
  <si>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</si>
  <si>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</si>
  <si>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</si>
  <si>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</si>
  <si>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</si>
  <si>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</si>
  <si>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</si>
  <si>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</si>
  <si>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</si>
  <si>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</si>
  <si>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</si>
  <si>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</si>
  <si>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</si>
  <si>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</si>
  <si>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</si>
  <si>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</si>
  <si>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</si>
  <si>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</si>
  <si>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</si>
  <si>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</si>
  <si>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</si>
  <si>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</si>
  <si>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</si>
  <si>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</si>
  <si>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</si>
  <si>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</si>
  <si>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</si>
  <si>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</si>
  <si>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</si>
  <si>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</si>
  <si>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</si>
  <si>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</si>
  <si>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</si>
  <si>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</si>
  <si>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</si>
  <si>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</si>
  <si>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</si>
  <si>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</si>
  <si>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</si>
  <si>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</si>
  <si>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</si>
  <si>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</si>
  <si>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</si>
  <si>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</si>
  <si>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</si>
  <si>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</si>
  <si>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</si>
  <si>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</si>
  <si>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市场价格</t>
  </si>
  <si>
    <t>企业</t>
  </si>
  <si>
    <t>一致</t>
  </si>
  <si>
    <t>出让</t>
  </si>
  <si>
    <t>办公项目</t>
  </si>
  <si>
    <t>通路</t>
  </si>
  <si>
    <t>通电</t>
  </si>
  <si>
    <t>通讯</t>
  </si>
  <si>
    <t>通上水</t>
  </si>
  <si>
    <t>通下水</t>
  </si>
  <si>
    <t>通热</t>
  </si>
  <si>
    <t>燃气</t>
  </si>
  <si>
    <t>Ⅶ-兴1</t>
  </si>
  <si>
    <t>地上</t>
  </si>
  <si>
    <t>地下</t>
  </si>
  <si>
    <t>办公</t>
    <phoneticPr fontId="7" type="noConversion"/>
  </si>
  <si>
    <t>车库</t>
  </si>
  <si>
    <t>成新度</t>
  </si>
  <si>
    <t>商务金融用地（办公类）</t>
  </si>
  <si>
    <t>有</t>
  </si>
  <si>
    <t>无</t>
  </si>
  <si>
    <t>不临58条商业街</t>
  </si>
  <si>
    <t>按公示增长率计算</t>
  </si>
  <si>
    <t>2018-2</t>
    <phoneticPr fontId="3" type="noConversion"/>
  </si>
  <si>
    <t>2018-3</t>
    <phoneticPr fontId="3" type="noConversion"/>
  </si>
  <si>
    <t>办公</t>
    <phoneticPr fontId="7" type="noConversion"/>
  </si>
  <si>
    <t>车库</t>
    <phoneticPr fontId="7" type="noConversion"/>
  </si>
  <si>
    <t>项目全部</t>
  </si>
  <si>
    <t>土地</t>
  </si>
  <si>
    <t>剩余法-现房</t>
  </si>
  <si>
    <t>部位</t>
  </si>
  <si>
    <t>部位</t>
    <phoneticPr fontId="233" type="noConversion"/>
  </si>
  <si>
    <t>地上办公</t>
    <phoneticPr fontId="233" type="noConversion"/>
  </si>
  <si>
    <t>地下办公</t>
    <phoneticPr fontId="233" type="noConversion"/>
  </si>
  <si>
    <t>地下车库</t>
    <phoneticPr fontId="233" type="noConversion"/>
  </si>
  <si>
    <t>变更后面积</t>
    <phoneticPr fontId="233" type="noConversion"/>
  </si>
  <si>
    <t>变更面积</t>
    <phoneticPr fontId="233" type="noConversion"/>
  </si>
  <si>
    <t xml:space="preserve"> </t>
    <phoneticPr fontId="233" type="noConversion"/>
  </si>
  <si>
    <t>出让合同</t>
    <phoneticPr fontId="233" type="noConversion"/>
  </si>
  <si>
    <t>出让宗地面积</t>
    <phoneticPr fontId="233" type="noConversion"/>
  </si>
  <si>
    <t>出让金</t>
    <phoneticPr fontId="233" type="noConversion"/>
  </si>
  <si>
    <t>日期</t>
    <phoneticPr fontId="233" type="noConversion"/>
  </si>
  <si>
    <t>附件5补充协议</t>
    <phoneticPr fontId="233" type="noConversion"/>
  </si>
  <si>
    <t>附件4补充协议</t>
    <phoneticPr fontId="233" type="noConversion"/>
  </si>
  <si>
    <t>总建筑面积</t>
    <phoneticPr fontId="233" type="noConversion"/>
  </si>
  <si>
    <r>
      <t>办公2</t>
    </r>
    <r>
      <rPr>
        <sz val="11"/>
        <color theme="1"/>
        <rFont val="宋体"/>
        <family val="3"/>
        <charset val="134"/>
        <scheme val="minor"/>
      </rPr>
      <t>934.22</t>
    </r>
    <phoneticPr fontId="233" type="noConversion"/>
  </si>
  <si>
    <r>
      <t>地上1</t>
    </r>
    <r>
      <rPr>
        <sz val="11"/>
        <color theme="1"/>
        <rFont val="宋体"/>
        <family val="3"/>
        <charset val="134"/>
        <scheme val="minor"/>
      </rPr>
      <t>0164</t>
    </r>
    <phoneticPr fontId="233" type="noConversion"/>
  </si>
  <si>
    <t>地上办公10164</t>
    <phoneticPr fontId="233" type="noConversion"/>
  </si>
  <si>
    <r>
      <t>地下4</t>
    </r>
    <r>
      <rPr>
        <sz val="11"/>
        <color theme="1"/>
        <rFont val="宋体"/>
        <family val="3"/>
        <charset val="134"/>
        <scheme val="minor"/>
      </rPr>
      <t>836</t>
    </r>
    <phoneticPr fontId="233" type="noConversion"/>
  </si>
  <si>
    <r>
      <t>地下办公1</t>
    </r>
    <r>
      <rPr>
        <sz val="11"/>
        <color theme="1"/>
        <rFont val="宋体"/>
        <family val="3"/>
        <charset val="134"/>
        <scheme val="minor"/>
      </rPr>
      <t>319.25</t>
    </r>
    <phoneticPr fontId="233" type="noConversion"/>
  </si>
  <si>
    <r>
      <t>地下车库1</t>
    </r>
    <r>
      <rPr>
        <sz val="11"/>
        <color theme="1"/>
        <rFont val="宋体"/>
        <family val="3"/>
        <charset val="134"/>
        <scheme val="minor"/>
      </rPr>
      <t>511.38</t>
    </r>
    <phoneticPr fontId="233" type="noConversion"/>
  </si>
  <si>
    <t>竣工日期</t>
    <phoneticPr fontId="233" type="noConversion"/>
  </si>
  <si>
    <t>开工日期</t>
    <phoneticPr fontId="233" type="noConversion"/>
  </si>
  <si>
    <t>变更前面积</t>
    <phoneticPr fontId="233" type="noConversion"/>
  </si>
  <si>
    <t>剩余法</t>
    <phoneticPr fontId="233" type="noConversion"/>
  </si>
  <si>
    <t>剩余法</t>
    <phoneticPr fontId="233" type="noConversion"/>
  </si>
  <si>
    <t>结果表</t>
    <phoneticPr fontId="233" type="noConversion"/>
  </si>
  <si>
    <t>用途</t>
    <phoneticPr fontId="233" type="noConversion"/>
  </si>
  <si>
    <t>方法</t>
    <phoneticPr fontId="233" type="noConversion"/>
  </si>
  <si>
    <t>楼面熟地单价</t>
    <phoneticPr fontId="280" type="noConversion"/>
  </si>
  <si>
    <t>权重</t>
    <phoneticPr fontId="233" type="noConversion"/>
  </si>
  <si>
    <t>权重楼面熟地单价</t>
    <phoneticPr fontId="233" type="noConversion"/>
  </si>
  <si>
    <t>权重楼面熟地总价</t>
    <phoneticPr fontId="233" type="noConversion"/>
  </si>
  <si>
    <t>政府土地出让收入单价</t>
    <phoneticPr fontId="280" type="noConversion"/>
  </si>
  <si>
    <t>政府土地出让收入总价</t>
    <phoneticPr fontId="280" type="noConversion"/>
  </si>
  <si>
    <t>地面单价</t>
    <phoneticPr fontId="233" type="noConversion"/>
  </si>
  <si>
    <t>基准地价法</t>
    <phoneticPr fontId="233" type="noConversion"/>
  </si>
  <si>
    <t>基准地价法</t>
    <phoneticPr fontId="233" type="noConversion"/>
  </si>
  <si>
    <t>地上（办公）</t>
    <phoneticPr fontId="233" type="noConversion"/>
  </si>
  <si>
    <t>地下（办公）</t>
    <phoneticPr fontId="233" type="noConversion"/>
  </si>
  <si>
    <t>地下（车库)</t>
    <phoneticPr fontId="233" type="noConversion"/>
  </si>
  <si>
    <t>核定资产</t>
  </si>
  <si>
    <t>京兴国用（2014出）第00077号</t>
    <phoneticPr fontId="3" type="noConversion"/>
  </si>
  <si>
    <t>大兴区欣旺北大街11号院1号楼</t>
    <phoneticPr fontId="3" type="noConversion"/>
  </si>
  <si>
    <t>缺少</t>
  </si>
  <si>
    <t>六通一平</t>
  </si>
  <si>
    <t>一般</t>
  </si>
  <si>
    <t>较好</t>
  </si>
  <si>
    <t>售价</t>
  </si>
  <si>
    <t>大兴区欣旺北大街11号院1号楼</t>
    <phoneticPr fontId="3" type="noConversion"/>
  </si>
  <si>
    <t>兴都苑</t>
    <phoneticPr fontId="3" type="noConversion"/>
  </si>
  <si>
    <t>熟地价</t>
  </si>
  <si>
    <t>用途</t>
  </si>
  <si>
    <t>出让建筑</t>
  </si>
  <si>
    <t>楼面熟地</t>
  </si>
  <si>
    <t>熟地总价</t>
  </si>
  <si>
    <t>地面熟地单价</t>
  </si>
  <si>
    <t>面积</t>
  </si>
  <si>
    <t>单价</t>
  </si>
  <si>
    <t>(万元）</t>
  </si>
  <si>
    <r>
      <t>（元/</t>
    </r>
    <r>
      <rPr>
        <b/>
        <sz val="12"/>
        <color rgb="FF000000"/>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</si>
  <si>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</si>
  <si>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t>政府土地出让收益</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</si>
  <si>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</si>
  <si>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</si>
  <si>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</si>
  <si>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</si>
  <si>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</si>
  <si>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（缩减）</t>
  </si>
  <si>
    <t>需补缴地价款</t>
  </si>
  <si>
    <t>楼面熟地单价</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</si>
  <si>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</si>
  <si>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</si>
  <si>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新增面积</t>
  </si>
  <si>
    <t>政府土地出让收益单价</t>
  </si>
  <si>
    <t>地面单价</t>
  </si>
  <si>
    <t>办公</t>
    <phoneticPr fontId="27" type="noConversion"/>
  </si>
  <si>
    <t>正常</t>
  </si>
  <si>
    <t>40-50（含）</t>
  </si>
  <si>
    <t>1000米以外</t>
  </si>
  <si>
    <r>
      <t>估价对象紧邻城市次干道</t>
    </r>
    <r>
      <rPr>
        <sz val="11"/>
        <color theme="9" tint="-0.249977111117893"/>
        <rFont val="Arial"/>
        <family val="2"/>
      </rPr>
      <t>—</t>
    </r>
    <r>
      <rPr>
        <sz val="11"/>
        <color theme="9" tint="-0.249977111117893"/>
        <rFont val="宋体"/>
        <family val="3"/>
        <charset val="134"/>
      </rPr>
      <t>欣旺北大街，周边有</t>
    </r>
    <r>
      <rPr>
        <sz val="11"/>
        <color theme="9" tint="-0.249977111117893"/>
        <rFont val="Arial"/>
        <family val="2"/>
      </rPr>
      <t>381</t>
    </r>
    <r>
      <rPr>
        <sz val="11"/>
        <color theme="9" tint="-0.249977111117893"/>
        <rFont val="宋体"/>
        <family val="3"/>
        <charset val="134"/>
      </rPr>
      <t>路、兴</t>
    </r>
    <r>
      <rPr>
        <sz val="11"/>
        <color theme="9" tint="-0.249977111117893"/>
        <rFont val="Arial"/>
        <family val="2"/>
      </rPr>
      <t>13</t>
    </r>
    <r>
      <rPr>
        <sz val="11"/>
        <color theme="9" tint="-0.249977111117893"/>
        <rFont val="宋体"/>
        <family val="3"/>
        <charset val="134"/>
      </rPr>
      <t>路等多条公交线路通过，距地铁大兴线（西红门站）约</t>
    </r>
    <r>
      <rPr>
        <sz val="11"/>
        <color theme="9" tint="-0.249977111117893"/>
        <rFont val="Arial"/>
        <family val="2"/>
      </rPr>
      <t>1.2</t>
    </r>
    <r>
      <rPr>
        <sz val="11"/>
        <color theme="9" tint="-0.249977111117893"/>
        <rFont val="宋体"/>
        <family val="3"/>
        <charset val="134"/>
      </rPr>
      <t>公里，综合评价交通便捷度一般。</t>
    </r>
    <phoneticPr fontId="21" type="noConversion"/>
  </si>
  <si>
    <t>六通</t>
  </si>
  <si>
    <t>区域自然环境：西红门九龙口休闲公园、兴海公园等；人文环境：快乐392高尔夫俱乐部等；综合评价环境状况较好。</t>
    <phoneticPr fontId="3" type="noConversion"/>
  </si>
  <si>
    <t>估价对象周边主要以居住为主，办公楼项目较少，办公集聚程度一般。</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</si>
  <si>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欣旺北大街</t>
    </r>
    <phoneticPr fontId="21" type="noConversion"/>
  </si>
  <si>
    <t>城市次干道—欣旺北大街</t>
  </si>
  <si>
    <r>
      <t>城市次干道</t>
    </r>
    <r>
      <rPr>
        <sz val="11"/>
        <rFont val="Arial"/>
        <family val="2"/>
      </rPr>
      <t>—</t>
    </r>
    <r>
      <rPr>
        <sz val="11"/>
        <rFont val="宋体"/>
        <family val="3"/>
        <charset val="134"/>
      </rPr>
      <t>欣旺北大街</t>
    </r>
  </si>
  <si>
    <t>标准办公楼</t>
    <phoneticPr fontId="3" type="noConversion"/>
  </si>
  <si>
    <t>非标准办公楼</t>
    <phoneticPr fontId="3" type="noConversion"/>
  </si>
  <si>
    <t>标准办公楼</t>
  </si>
  <si>
    <t>钢混</t>
    <phoneticPr fontId="3" type="noConversion"/>
  </si>
  <si>
    <t>砖混</t>
    <phoneticPr fontId="3" type="noConversion"/>
  </si>
  <si>
    <t>砖木</t>
    <phoneticPr fontId="3" type="noConversion"/>
  </si>
  <si>
    <t>钢混</t>
  </si>
  <si>
    <t>精装修</t>
    <phoneticPr fontId="3" type="noConversion"/>
  </si>
  <si>
    <t>普通装修</t>
    <phoneticPr fontId="3" type="noConversion"/>
  </si>
  <si>
    <t>简单装修</t>
    <phoneticPr fontId="3" type="noConversion"/>
  </si>
  <si>
    <t>普通装修</t>
  </si>
  <si>
    <t>普通物业管理</t>
    <phoneticPr fontId="3" type="noConversion"/>
  </si>
  <si>
    <t>无</t>
    <phoneticPr fontId="3" type="noConversion"/>
  </si>
  <si>
    <t>七通</t>
    <phoneticPr fontId="3" type="noConversion"/>
  </si>
  <si>
    <t>六通</t>
    <phoneticPr fontId="3" type="noConversion"/>
  </si>
  <si>
    <t>建成年代（年）</t>
    <phoneticPr fontId="27" type="noConversion"/>
  </si>
  <si>
    <t>好</t>
  </si>
  <si>
    <t>精装修</t>
    <phoneticPr fontId="3" type="noConversion"/>
  </si>
  <si>
    <t>普通装修</t>
    <phoneticPr fontId="3" type="noConversion"/>
  </si>
  <si>
    <t>简单装修</t>
    <phoneticPr fontId="3" type="noConversion"/>
  </si>
  <si>
    <t>普通物业管理</t>
  </si>
  <si>
    <t>华远西红世</t>
    <phoneticPr fontId="3" type="noConversion"/>
  </si>
  <si>
    <t>星光视界中心</t>
    <phoneticPr fontId="3" type="noConversion"/>
  </si>
  <si>
    <t>北京市大兴区广平大街</t>
    <phoneticPr fontId="27" type="noConversion"/>
  </si>
  <si>
    <t>广平大街和金西路交叉口</t>
    <phoneticPr fontId="3" type="noConversion"/>
  </si>
  <si>
    <r>
      <t>城市次干道</t>
    </r>
    <r>
      <rPr>
        <sz val="11"/>
        <rFont val="Arial"/>
        <family val="2"/>
      </rPr>
      <t>—</t>
    </r>
    <r>
      <rPr>
        <sz val="11"/>
        <rFont val="宋体"/>
        <family val="3"/>
        <charset val="134"/>
      </rPr>
      <t>金西路</t>
    </r>
    <phoneticPr fontId="27" type="noConversion"/>
  </si>
  <si>
    <t>城市次干道—金西路</t>
  </si>
  <si>
    <t>五通</t>
    <phoneticPr fontId="27" type="noConversion"/>
  </si>
  <si>
    <t>七通</t>
  </si>
  <si>
    <t>七通</t>
    <phoneticPr fontId="3" type="noConversion"/>
  </si>
  <si>
    <t>七通</t>
    <phoneticPr fontId="27" type="noConversion"/>
  </si>
  <si>
    <t>——</t>
    <phoneticPr fontId="233" type="noConversion"/>
  </si>
  <si>
    <t>地上</t>
    <phoneticPr fontId="233" type="noConversion"/>
  </si>
  <si>
    <t>地上办公</t>
    <phoneticPr fontId="233" type="noConversion"/>
  </si>
  <si>
    <t>地上办公</t>
    <phoneticPr fontId="233" type="noConversion"/>
  </si>
  <si>
    <t>地下办公</t>
    <phoneticPr fontId="233" type="noConversion"/>
  </si>
  <si>
    <t>地下办公</t>
    <phoneticPr fontId="233" type="noConversion"/>
  </si>
  <si>
    <t>地下车库</t>
    <phoneticPr fontId="233" type="noConversion"/>
  </si>
  <si>
    <t>地下车库</t>
    <phoneticPr fontId="233" type="noConversion"/>
  </si>
  <si>
    <t>（增加）</t>
    <phoneticPr fontId="233" type="noConversion"/>
  </si>
  <si>
    <t>地上办公</t>
    <phoneticPr fontId="233" type="noConversion"/>
  </si>
  <si>
    <t>地下办公</t>
    <phoneticPr fontId="233" type="noConversion"/>
  </si>
  <si>
    <t>地下车库</t>
    <phoneticPr fontId="233" type="noConversion"/>
  </si>
  <si>
    <t>自定义容积率</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</si>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</sst>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8"/>
      <color theme="1"/>
      <name val="宋体"/>
      <family val="3"/>
      <charset val="134"/>
      <scheme val="minor"/>
    </font>
    <font>
      <b/>
      <sz val="12"/>
      <color theme="1"/>
      <name val="Adobe 黑体 Std R"/>
      <family val="2"/>
      <charset val="134"/>
    </font>
    <font>
      <sz val="9"/>
      <name val="宋体"/>
      <family val="2"/>
      <charset val="134"/>
      <scheme val="minor"/>
    </font>
    <font>
      <b/>
      <sz val="12"/>
      <color theme="1"/>
      <name val="仿宋_GB2312"/>
      <family val="3"/>
      <charset val="134"/>
    </font>
    <font>
      <b/>
      <sz val="12"/>
      <color rgb="FF000000"/>
      <name val="华文仿宋"/>
      <family val="3"/>
      <charset val="134"/>
    </font>
    <font>
      <sz val="12"/>
      <color rgb="FFFF0000"/>
      <name val="Arial"/>
      <family val="2"/>
    </font>
    <font>
      <b/>
      <sz val="12"/>
      <color theme="1"/>
      <name val="华文仿宋"/>
      <family val="3"/>
      <charset val="134"/>
    </font>
    <font>
      <b/>
      <sz val="12"/>
      <color rgb="FF00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right style="medium">
        <color rgb="FF000000"/>
      </right>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145" fillId="0" borderId="0" xfId="0" applyFont="1" applyAlignment="1">
      <alignment horizontal="center" vertical="center"/>
    </xf>
    <xf numFmtId="0" fontId="0" fillId="0" borderId="0" xfId="0" applyAlignment="1">
      <alignment horizontal="center" vertical="center"/>
    </xf>
    <xf numFmtId="14" fontId="145" fillId="0" borderId="0" xfId="0" applyNumberFormat="1" applyFont="1" applyAlignment="1">
      <alignment horizontal="center" vertical="center"/>
    </xf>
    <xf numFmtId="14" fontId="0" fillId="0" borderId="0" xfId="0" applyNumberFormat="1" applyAlignment="1">
      <alignment horizontal="center" vertical="center"/>
    </xf>
    <xf numFmtId="0" fontId="145" fillId="17" borderId="0" xfId="0" applyFont="1" applyFill="1" applyAlignment="1">
      <alignment horizontal="center" vertical="center"/>
    </xf>
    <xf numFmtId="0" fontId="145" fillId="6" borderId="0" xfId="0" applyFont="1" applyFill="1" applyAlignment="1">
      <alignment horizontal="center" vertical="center"/>
    </xf>
    <xf numFmtId="0" fontId="0" fillId="17" borderId="0" xfId="0" applyFill="1" applyAlignment="1">
      <alignment horizontal="center" vertical="center"/>
    </xf>
    <xf numFmtId="0" fontId="145" fillId="9" borderId="0" xfId="0" applyFont="1" applyFill="1" applyAlignment="1">
      <alignment horizontal="center" vertical="center"/>
    </xf>
    <xf numFmtId="0" fontId="0" fillId="9" borderId="0" xfId="0" applyFill="1" applyAlignment="1">
      <alignment horizontal="center" vertical="center"/>
    </xf>
    <xf numFmtId="0" fontId="145" fillId="18" borderId="0" xfId="0" applyFont="1" applyFill="1" applyAlignment="1">
      <alignment horizontal="center" vertical="center"/>
    </xf>
    <xf numFmtId="0" fontId="0" fillId="18" borderId="0" xfId="0" applyFill="1" applyAlignment="1">
      <alignment horizontal="center" vertical="center"/>
    </xf>
    <xf numFmtId="0" fontId="0" fillId="18" borderId="0" xfId="0" applyFill="1">
      <alignment vertical="center"/>
    </xf>
    <xf numFmtId="0" fontId="279" fillId="6" borderId="2" xfId="0" applyFont="1" applyFill="1" applyBorder="1" applyAlignment="1">
      <alignment horizontal="center" vertical="center" wrapText="1"/>
    </xf>
    <xf numFmtId="0" fontId="145" fillId="17" borderId="2" xfId="0" applyFont="1" applyFill="1" applyBorder="1" applyAlignment="1">
      <alignment vertical="center" wrapText="1"/>
    </xf>
    <xf numFmtId="0" fontId="145" fillId="9" borderId="2" xfId="0" applyFont="1" applyFill="1" applyBorder="1" applyAlignment="1">
      <alignment vertical="center" wrapText="1"/>
    </xf>
    <xf numFmtId="0" fontId="194" fillId="0" borderId="0" xfId="0" applyFont="1">
      <alignment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76" fillId="0" borderId="66" xfId="0" applyFont="1" applyBorder="1" applyAlignment="1">
      <alignment horizontal="center" vertical="center" wrapText="1"/>
    </xf>
    <xf numFmtId="0" fontId="195" fillId="0" borderId="66" xfId="0" applyFont="1" applyBorder="1" applyAlignment="1">
      <alignment horizontal="center" vertical="center" wrapText="1"/>
    </xf>
    <xf numFmtId="0" fontId="283" fillId="0" borderId="80" xfId="0" applyFont="1" applyBorder="1" applyAlignment="1">
      <alignment vertical="center" wrapText="1"/>
    </xf>
    <xf numFmtId="0" fontId="220" fillId="0" borderId="80" xfId="0" applyFont="1" applyBorder="1" applyAlignment="1">
      <alignment vertical="center" wrapText="1"/>
    </xf>
    <xf numFmtId="0" fontId="195" fillId="0" borderId="80" xfId="0" applyFont="1" applyBorder="1" applyAlignment="1">
      <alignment horizontal="center" vertical="center" wrapText="1"/>
    </xf>
    <xf numFmtId="0" fontId="186" fillId="0" borderId="0" xfId="0" applyFont="1">
      <alignment vertical="center"/>
    </xf>
    <xf numFmtId="0" fontId="281" fillId="0" borderId="38" xfId="0" applyFont="1" applyBorder="1" applyAlignment="1">
      <alignment horizontal="center" vertical="center" wrapText="1"/>
    </xf>
    <xf numFmtId="0" fontId="285" fillId="0" borderId="38"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66" xfId="0" applyFont="1" applyBorder="1" applyAlignment="1">
      <alignment horizontal="center" vertical="center" wrapText="1"/>
    </xf>
    <xf numFmtId="0" fontId="283" fillId="0" borderId="66" xfId="0" applyFont="1" applyBorder="1" applyAlignment="1">
      <alignment horizontal="center" vertical="center" wrapText="1"/>
    </xf>
    <xf numFmtId="0" fontId="154"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281" fillId="0" borderId="66" xfId="0" applyFont="1" applyBorder="1" applyAlignment="1">
      <alignment horizontal="center" vertical="center" wrapText="1"/>
    </xf>
    <xf numFmtId="0" fontId="71" fillId="0"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0" fillId="9" borderId="2" xfId="0" applyFill="1" applyBorder="1" applyAlignment="1">
      <alignment horizontal="center" vertical="center" wrapText="1"/>
    </xf>
    <xf numFmtId="0" fontId="0" fillId="9" borderId="0" xfId="0" applyFill="1" applyAlignment="1">
      <alignment horizontal="center" vertical="center" wrapText="1"/>
    </xf>
    <xf numFmtId="0" fontId="0" fillId="9" borderId="2" xfId="0" applyFill="1" applyBorder="1" applyAlignment="1">
      <alignment horizontal="center" vertical="center"/>
    </xf>
    <xf numFmtId="0" fontId="195" fillId="0" borderId="0" xfId="0" applyFont="1" applyBorder="1" applyAlignment="1">
      <alignment horizontal="center" vertical="center" wrapText="1"/>
    </xf>
    <xf numFmtId="0" fontId="283" fillId="0" borderId="0" xfId="0" applyFont="1" applyBorder="1" applyAlignment="1">
      <alignment vertical="center" wrapText="1"/>
    </xf>
    <xf numFmtId="0" fontId="220" fillId="0" borderId="0" xfId="0" applyFont="1" applyBorder="1" applyAlignment="1">
      <alignmen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83" fillId="0" borderId="154"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153"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0" xfId="0" applyFont="1" applyBorder="1" applyAlignment="1">
      <alignment horizontal="center" vertical="center" wrapText="1"/>
    </xf>
    <xf numFmtId="0" fontId="195" fillId="0" borderId="61"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66"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80" xfId="0" applyFont="1" applyBorder="1" applyAlignment="1">
      <alignment horizontal="center" vertical="center" wrapText="1"/>
    </xf>
    <xf numFmtId="0" fontId="283" fillId="0" borderId="35" xfId="0" applyFont="1" applyBorder="1" applyAlignment="1">
      <alignment horizontal="center" vertical="center" wrapText="1"/>
    </xf>
    <xf numFmtId="0" fontId="283"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154" xfId="0" applyFont="1" applyBorder="1" applyAlignment="1">
      <alignment horizontal="center" vertical="center" wrapText="1"/>
    </xf>
    <xf numFmtId="0" fontId="195" fillId="0" borderId="153"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79" xfId="0" applyFont="1" applyBorder="1" applyAlignment="1">
      <alignment horizontal="center" vertical="center" wrapText="1"/>
    </xf>
    <xf numFmtId="0" fontId="176" fillId="0" borderId="153" xfId="0" applyFont="1" applyBorder="1" applyAlignment="1">
      <alignment horizontal="center" vertical="center" wrapText="1"/>
    </xf>
    <xf numFmtId="0" fontId="176" fillId="0" borderId="80"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2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1" xfId="0" applyFont="1" applyBorder="1" applyAlignment="1">
      <alignment horizontal="center" vertical="center" wrapText="1"/>
    </xf>
    <xf numFmtId="0" fontId="154" fillId="0" borderId="35" xfId="0" applyFont="1" applyBorder="1" applyAlignment="1">
      <alignment horizontal="center" vertical="center" wrapText="1"/>
    </xf>
    <xf numFmtId="0" fontId="154" fillId="0" borderId="80" xfId="0" applyFont="1" applyBorder="1" applyAlignment="1">
      <alignment horizontal="center" vertical="center" wrapText="1"/>
    </xf>
    <xf numFmtId="0" fontId="281" fillId="0" borderId="35" xfId="0" applyFont="1" applyBorder="1" applyAlignment="1">
      <alignment horizontal="center" vertical="center"/>
    </xf>
    <xf numFmtId="0" fontId="281" fillId="0" borderId="80" xfId="0" applyFont="1" applyBorder="1" applyAlignment="1">
      <alignment horizontal="center" vertical="center"/>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281" fillId="0" borderId="79" xfId="0" applyFont="1" applyBorder="1" applyAlignment="1">
      <alignment horizontal="center" vertical="center"/>
    </xf>
    <xf numFmtId="0" fontId="285" fillId="0" borderId="26" xfId="0" applyFont="1" applyBorder="1" applyAlignment="1">
      <alignment horizontal="center" vertical="center" wrapText="1"/>
    </xf>
    <xf numFmtId="0" fontId="285" fillId="0" borderId="39" xfId="0" applyFont="1" applyBorder="1" applyAlignment="1">
      <alignment horizontal="center" vertical="center" wrapText="1"/>
    </xf>
    <xf numFmtId="0" fontId="285" fillId="0" borderId="31"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54" xfId="0" applyFont="1" applyBorder="1" applyAlignment="1">
      <alignment horizontal="center" vertical="center" wrapText="1"/>
    </xf>
    <xf numFmtId="0" fontId="285" fillId="0" borderId="66"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158" xfId="0" applyFont="1" applyBorder="1" applyAlignment="1">
      <alignment horizontal="center" vertical="center" wrapText="1"/>
    </xf>
    <xf numFmtId="0" fontId="176" fillId="0" borderId="156" xfId="0" applyFont="1" applyBorder="1" applyAlignment="1">
      <alignment horizontal="center" vertical="center" wrapText="1"/>
    </xf>
    <xf numFmtId="0" fontId="176" fillId="0" borderId="157" xfId="0" applyFont="1" applyBorder="1" applyAlignment="1">
      <alignment horizontal="center" vertical="center" wrapText="1"/>
    </xf>
    <xf numFmtId="0" fontId="172" fillId="0" borderId="154" xfId="0" applyFont="1" applyBorder="1" applyAlignment="1">
      <alignment horizontal="center" vertical="center" wrapText="1"/>
    </xf>
    <xf numFmtId="0" fontId="172" fillId="0" borderId="79" xfId="0" applyFont="1" applyBorder="1" applyAlignment="1">
      <alignment horizontal="center" vertical="center" wrapText="1"/>
    </xf>
    <xf numFmtId="0" fontId="195" fillId="0" borderId="38" xfId="0" applyFont="1" applyBorder="1" applyAlignment="1">
      <alignment horizontal="center" vertical="center" wrapText="1"/>
    </xf>
    <xf numFmtId="0" fontId="281" fillId="0" borderId="153" xfId="0" applyFont="1" applyBorder="1" applyAlignment="1">
      <alignment horizontal="center" vertical="center" wrapText="1"/>
    </xf>
    <xf numFmtId="0" fontId="281" fillId="0" borderId="79" xfId="0" applyFont="1" applyBorder="1" applyAlignment="1">
      <alignment horizontal="center" vertical="center" wrapText="1"/>
    </xf>
    <xf numFmtId="0" fontId="195" fillId="0" borderId="65"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21" xfId="0" applyFont="1" applyBorder="1" applyAlignment="1">
      <alignment horizontal="center" vertical="center" wrapText="1"/>
    </xf>
    <xf numFmtId="0" fontId="195" fillId="0" borderId="3" xfId="0" applyFont="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278" fillId="18" borderId="19" xfId="0" applyFont="1" applyFill="1" applyBorder="1" applyAlignment="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763" cy="5180953"/>
        </a:xfrm>
        <a:prstGeom prst="rect">
          <a:avLst/>
        </a:prstGeom>
      </xdr:spPr>
    </xdr:pic>
    <xdr:clientData/>
  </xdr:twoCellAnchor>
  <xdr:twoCellAnchor editAs="oneCell">
    <xdr:from>
      <xdr:col>0</xdr:col>
      <xdr:colOff>0</xdr:colOff>
      <xdr:row>33</xdr:row>
      <xdr:rowOff>0</xdr:rowOff>
    </xdr:from>
    <xdr:to>
      <xdr:col>7</xdr:col>
      <xdr:colOff>628650</xdr:colOff>
      <xdr:row>62</xdr:row>
      <xdr:rowOff>38100</xdr:rowOff>
    </xdr:to>
    <xdr:pic>
      <xdr:nvPicPr>
        <xdr:cNvPr id="3" name="图片 2" descr="C:\Program Files\Tencent\QQ\Users\570830687\Image\C2C\SQP_Y~UTH_F_YC$U}3~PNT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7850"/>
          <a:ext cx="542925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18</xdr:col>
      <xdr:colOff>295275</xdr:colOff>
      <xdr:row>77</xdr:row>
      <xdr:rowOff>47625</xdr:rowOff>
    </xdr:to>
    <xdr:pic>
      <xdr:nvPicPr>
        <xdr:cNvPr id="4" name="图片 3" descr="C:\Program Files\Tencent\QQ\Users\570830687\Image\C2C\]8D$ZP6[OVKR0~UG3P%CSM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5657850"/>
          <a:ext cx="71532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11</xdr:col>
      <xdr:colOff>284772</xdr:colOff>
      <xdr:row>104</xdr:row>
      <xdr:rowOff>123296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7828572" cy="4238096"/>
        </a:xfrm>
        <a:prstGeom prst="rect">
          <a:avLst/>
        </a:prstGeom>
      </xdr:spPr>
    </xdr:pic>
    <xdr:clientData/>
  </xdr:twoCellAnchor>
  <xdr:twoCellAnchor editAs="oneCell">
    <xdr:from>
      <xdr:col>17</xdr:col>
      <xdr:colOff>0</xdr:colOff>
      <xdr:row>2</xdr:row>
      <xdr:rowOff>0</xdr:rowOff>
    </xdr:from>
    <xdr:to>
      <xdr:col>23</xdr:col>
      <xdr:colOff>85200</xdr:colOff>
      <xdr:row>17</xdr:row>
      <xdr:rowOff>152060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342900"/>
          <a:ext cx="4200000" cy="2723810"/>
        </a:xfrm>
        <a:prstGeom prst="rect">
          <a:avLst/>
        </a:prstGeom>
      </xdr:spPr>
    </xdr:pic>
    <xdr:clientData/>
  </xdr:twoCellAnchor>
  <xdr:twoCellAnchor editAs="oneCell">
    <xdr:from>
      <xdr:col>0</xdr:col>
      <xdr:colOff>0</xdr:colOff>
      <xdr:row>113</xdr:row>
      <xdr:rowOff>0</xdr:rowOff>
    </xdr:from>
    <xdr:to>
      <xdr:col>12</xdr:col>
      <xdr:colOff>256115</xdr:colOff>
      <xdr:row>133</xdr:row>
      <xdr:rowOff>123381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8485715" cy="3552381"/>
        </a:xfrm>
        <a:prstGeom prst="rect">
          <a:avLst/>
        </a:prstGeom>
      </xdr:spPr>
    </xdr:pic>
    <xdr:clientData/>
  </xdr:twoCellAnchor>
  <xdr:twoCellAnchor editAs="oneCell">
    <xdr:from>
      <xdr:col>0</xdr:col>
      <xdr:colOff>0</xdr:colOff>
      <xdr:row>135</xdr:row>
      <xdr:rowOff>0</xdr:rowOff>
    </xdr:from>
    <xdr:to>
      <xdr:col>12</xdr:col>
      <xdr:colOff>408496</xdr:colOff>
      <xdr:row>145</xdr:row>
      <xdr:rowOff>18833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145750"/>
          <a:ext cx="8638096" cy="1733333"/>
        </a:xfrm>
        <a:prstGeom prst="rect">
          <a:avLst/>
        </a:prstGeom>
      </xdr:spPr>
    </xdr:pic>
    <xdr:clientData/>
  </xdr:twoCellAnchor>
  <xdr:twoCellAnchor editAs="oneCell">
    <xdr:from>
      <xdr:col>0</xdr:col>
      <xdr:colOff>0</xdr:colOff>
      <xdr:row>153</xdr:row>
      <xdr:rowOff>0</xdr:rowOff>
    </xdr:from>
    <xdr:to>
      <xdr:col>9</xdr:col>
      <xdr:colOff>180181</xdr:colOff>
      <xdr:row>181</xdr:row>
      <xdr:rowOff>47019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6231850"/>
          <a:ext cx="6352381" cy="4847619"/>
        </a:xfrm>
        <a:prstGeom prst="rect">
          <a:avLst/>
        </a:prstGeom>
      </xdr:spPr>
    </xdr:pic>
    <xdr:clientData/>
  </xdr:twoCellAnchor>
  <xdr:twoCellAnchor editAs="oneCell">
    <xdr:from>
      <xdr:col>9</xdr:col>
      <xdr:colOff>0</xdr:colOff>
      <xdr:row>153</xdr:row>
      <xdr:rowOff>0</xdr:rowOff>
    </xdr:from>
    <xdr:to>
      <xdr:col>17</xdr:col>
      <xdr:colOff>85029</xdr:colOff>
      <xdr:row>181</xdr:row>
      <xdr:rowOff>170829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72200" y="26231850"/>
          <a:ext cx="5571429" cy="4971429"/>
        </a:xfrm>
        <a:prstGeom prst="rect">
          <a:avLst/>
        </a:prstGeom>
      </xdr:spPr>
    </xdr:pic>
    <xdr:clientData/>
  </xdr:twoCellAnchor>
  <xdr:twoCellAnchor editAs="oneCell">
    <xdr:from>
      <xdr:col>0</xdr:col>
      <xdr:colOff>0</xdr:colOff>
      <xdr:row>145</xdr:row>
      <xdr:rowOff>0</xdr:rowOff>
    </xdr:from>
    <xdr:to>
      <xdr:col>13</xdr:col>
      <xdr:colOff>84601</xdr:colOff>
      <xdr:row>148</xdr:row>
      <xdr:rowOff>85650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24860250"/>
          <a:ext cx="9000001" cy="600000"/>
        </a:xfrm>
        <a:prstGeom prst="rect">
          <a:avLst/>
        </a:prstGeom>
      </xdr:spPr>
    </xdr:pic>
    <xdr:clientData/>
  </xdr:twoCellAnchor>
  <xdr:twoCellAnchor editAs="oneCell">
    <xdr:from>
      <xdr:col>0</xdr:col>
      <xdr:colOff>0</xdr:colOff>
      <xdr:row>184</xdr:row>
      <xdr:rowOff>0</xdr:rowOff>
    </xdr:from>
    <xdr:to>
      <xdr:col>11</xdr:col>
      <xdr:colOff>113343</xdr:colOff>
      <xdr:row>209</xdr:row>
      <xdr:rowOff>132798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31546800"/>
          <a:ext cx="7657143" cy="4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北京市出让国有建设用地使用权市场价格预评估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受贵公司委托，我公司对北京市出让国有建设用地使用权市场价格进行了预评估。</v>
      </c>
      <c r="AM6" s="2904"/>
    </row>
    <row r="7" spans="1:55" s="2878" customFormat="1">
      <c r="A7" s="2879" t="s">
        <v>2660</v>
      </c>
      <c r="B7" s="2880" t="str">
        <f>'预评函-1'!A6</f>
        <v>估价对象为使用的、位于北京市出让国有建设用地使用权。根据《国有土地使用证》[]，估价对象（分摊）出让国有建设用地使用权面积为4065.87平方米。根据《建设工程规划许可证》[]、《出让合同》[]，估价对象规划建筑面积为13823.19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2018年4月15日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根据委托估价方介绍及评估专业人员现场勘查，本次评估估价对象实际土地开发程度为红线外市政基础设施达“七通”（即通路、通电、通讯、通上水、通下水、通热、燃气）、宗地红线内场地平整。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根据《国有土地使用证》[]，估价对象（分摊）出让国有建设用地使用权面积为4065.87平方米。根据《建设工程规划许可证》[]、《出让合同》[]，估价对象规划建筑面积为13823.19平方米。</v>
      </c>
    </row>
    <row r="16" spans="1:55" s="2878" customFormat="1">
      <c r="A16" s="2879" t="s">
        <v>2672</v>
      </c>
      <c r="B16" s="2880" t="str">
        <f>'预评函-1'!A22</f>
        <v>本次估价对象为出让国有建设用地使用权，《国有土地使用证》[]证载土地终止日期为办公2060年5月1日、地下车库2060年5月1日。截至估价期日，出让国有建设用地使用权剩余土地使用年限为。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估价期日：2018年4月15日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4065.87</v>
      </c>
    </row>
    <row r="44" spans="1:2">
      <c r="A44" s="2879" t="s">
        <v>2743</v>
      </c>
      <c r="B44" s="2880" t="str">
        <f>'预评函-2'!O3</f>
        <v>规划建筑面积/㎡</v>
      </c>
    </row>
    <row r="45" spans="1:2">
      <c r="A45" s="2879" t="s">
        <v>2725</v>
      </c>
      <c r="B45" s="2880">
        <f>'预评函-2'!O5</f>
        <v>13823.19</v>
      </c>
    </row>
    <row r="46" spans="1:2">
      <c r="A46" s="2879" t="s">
        <v>2726</v>
      </c>
      <c r="B46" s="2880">
        <f ca="1">'预评函-2'!P5</f>
        <v>34317</v>
      </c>
    </row>
    <row r="47" spans="1:2">
      <c r="A47" s="2879" t="s">
        <v>2727</v>
      </c>
      <c r="B47" s="2880">
        <f ca="1">'预评函-2'!Q5</f>
        <v>10094</v>
      </c>
    </row>
    <row r="48" spans="1:2">
      <c r="A48" s="2879" t="s">
        <v>2728</v>
      </c>
      <c r="B48" s="2880">
        <f ca="1">'预评函-2'!R5</f>
        <v>13953</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77" t="str">
        <f>IF(B10="北京市","北京市",C10)&amp;F10&amp;B16&amp;"国有建设用地使用权"&amp;B9&amp;"预评估"</f>
        <v>北京市出让国有建设用地使用权市场价格预评估</v>
      </c>
      <c r="C1" s="3278"/>
      <c r="D1" s="3278"/>
      <c r="E1" s="3278"/>
      <c r="F1" s="3278"/>
      <c r="G1" s="3278"/>
      <c r="H1" s="3278"/>
      <c r="I1" s="3279"/>
      <c r="J1" s="1694"/>
      <c r="K1" s="2456" t="str">
        <f>IF(B10="北京市","北京市",C10)&amp;F10&amp;B16&amp;"国有建设用地使用权"&amp;B9</f>
        <v>北京市出让国有建设用地使用权市场价格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北京市出让国有建设用地使用权</v>
      </c>
      <c r="L2" s="1723"/>
      <c r="M2" s="1723"/>
      <c r="N2" s="1694"/>
      <c r="O2" s="1695"/>
      <c r="P2" s="1694"/>
      <c r="Q2" s="1694"/>
      <c r="R2" s="1694"/>
      <c r="S2" s="1694"/>
      <c r="T2" s="1694"/>
      <c r="U2" s="1694"/>
    </row>
    <row r="3" spans="1:21">
      <c r="A3" s="1661" t="s">
        <v>1942</v>
      </c>
      <c r="B3" s="1662">
        <v>43293</v>
      </c>
      <c r="C3" s="1663" t="s">
        <v>1998</v>
      </c>
      <c r="D3" s="1662">
        <v>43205</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2890</v>
      </c>
      <c r="C4" s="1846">
        <f>SUMIF(土地估价师,B4,估价师及机构信息!E3:E24)</f>
        <v>0</v>
      </c>
      <c r="D4" s="1843" t="s">
        <v>2890</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3052</v>
      </c>
      <c r="C8" s="1671"/>
      <c r="D8" s="3283"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2981</v>
      </c>
      <c r="C9" s="1675"/>
      <c r="D9" s="3284"/>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2982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80"/>
      <c r="C12" s="3281"/>
      <c r="D12" s="3282"/>
      <c r="E12" s="1699" t="s">
        <v>2064</v>
      </c>
      <c r="F12" s="3298" t="s">
        <v>2891</v>
      </c>
      <c r="G12" s="3299"/>
      <c r="H12" s="3299"/>
      <c r="I12" s="3300"/>
      <c r="J12" s="1694"/>
      <c r="K12" s="1774"/>
      <c r="L12" s="1723"/>
      <c r="M12" s="1723"/>
      <c r="N12" s="1694"/>
      <c r="O12" s="1695"/>
      <c r="P12" s="1694"/>
      <c r="Q12" s="1694"/>
      <c r="R12" s="1694"/>
      <c r="S12" s="1694"/>
      <c r="T12" s="1694"/>
      <c r="U12" s="1694"/>
    </row>
    <row r="13" spans="1:21">
      <c r="A13" s="1687" t="s">
        <v>2062</v>
      </c>
      <c r="B13" s="3280"/>
      <c r="C13" s="3281"/>
      <c r="D13" s="3282"/>
      <c r="E13" s="1699" t="s">
        <v>2064</v>
      </c>
      <c r="F13" s="3298" t="s">
        <v>2892</v>
      </c>
      <c r="G13" s="3299"/>
      <c r="H13" s="3299"/>
      <c r="I13" s="3300"/>
      <c r="J13" s="1694"/>
      <c r="K13" s="1774"/>
      <c r="L13" s="1723"/>
      <c r="M13" s="1723"/>
      <c r="N13" s="1694"/>
      <c r="O13" s="1695"/>
      <c r="P13" s="1694"/>
      <c r="Q13" s="1694"/>
      <c r="R13" s="1694"/>
      <c r="S13" s="1694"/>
      <c r="T13" s="1694"/>
      <c r="U13" s="1694"/>
    </row>
    <row r="14" spans="1:21">
      <c r="A14" s="1661" t="s">
        <v>2065</v>
      </c>
      <c r="B14" s="1699"/>
      <c r="C14" s="1845" t="s">
        <v>2983</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2984</v>
      </c>
      <c r="C16" s="1699" t="s">
        <v>1951</v>
      </c>
      <c r="D16" s="2647" t="s">
        <v>1952</v>
      </c>
      <c r="E16" s="1722"/>
      <c r="F16" s="1722" t="s">
        <v>1678</v>
      </c>
      <c r="G16" s="1722" t="s">
        <v>35</v>
      </c>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办公2060年5月1日</v>
      </c>
      <c r="P16" s="1699" t="str">
        <f>IF(OR(O16="",Q16=""),"","、")</f>
        <v>、</v>
      </c>
      <c r="Q16" s="2457" t="str">
        <f>IF(G17="","",G16&amp;TEXT(G17,"yyyy年m月d日;;"))</f>
        <v>地下车库2060年5月1日</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c r="F17" s="1700">
        <v>58562</v>
      </c>
      <c r="G17" s="1700">
        <v>58562</v>
      </c>
      <c r="H17" s="1700"/>
      <c r="I17" s="1700"/>
      <c r="J17" s="1694"/>
      <c r="K17" s="2456" t="str">
        <f>CONCATENATE(K16,L16,M16,N16,O16,P16,Q16,R16,S16,T16,,U16)</f>
        <v>办公2060年5月1日、地下车库2060年5月1日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f>IF(B16="出让",IF(F17="","",ROUNDDOWN(MIN((F17-$D$3)/365,F18),2)),F18)</f>
        <v>42.07</v>
      </c>
      <c r="G19" s="1685">
        <f>IF(B16="出让",IF(G17="","",ROUNDDOWN(MIN((G17-$D$3)/365,G18),2)),G18)</f>
        <v>42.07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95"/>
      <c r="E20" s="3296"/>
      <c r="F20" s="3296"/>
      <c r="G20" s="3296"/>
      <c r="H20" s="3296"/>
      <c r="I20" s="3297"/>
      <c r="J20" s="1694"/>
      <c r="K20" s="1774"/>
      <c r="L20" s="1723"/>
      <c r="M20" s="1723"/>
      <c r="N20" s="1694"/>
      <c r="O20" s="1695"/>
      <c r="P20" s="1694"/>
      <c r="Q20" s="1694"/>
      <c r="R20" s="1694"/>
      <c r="S20" s="1694"/>
      <c r="T20" s="1694"/>
      <c r="U20" s="1694"/>
    </row>
    <row r="21" spans="1:21">
      <c r="A21" s="1763" t="s">
        <v>1961</v>
      </c>
      <c r="B21" s="1764" t="s">
        <v>1962</v>
      </c>
      <c r="C21" s="1759">
        <f>'数据-汇总表'!E3</f>
        <v>13823.19</v>
      </c>
      <c r="D21" s="1760" t="s">
        <v>1963</v>
      </c>
      <c r="E21" s="3285" t="s">
        <v>2001</v>
      </c>
      <c r="F21" s="3286"/>
      <c r="G21" s="3286"/>
      <c r="H21" s="3286"/>
      <c r="I21" s="3287"/>
      <c r="J21" s="1694"/>
      <c r="K21" s="1774"/>
      <c r="L21" s="1723"/>
      <c r="M21" s="1723"/>
      <c r="N21" s="1694"/>
      <c r="O21" s="1695"/>
      <c r="P21" s="1694"/>
      <c r="Q21" s="1694"/>
      <c r="R21" s="1694"/>
      <c r="S21" s="1694"/>
      <c r="T21" s="1694"/>
      <c r="U21" s="1694"/>
    </row>
    <row r="22" spans="1:21">
      <c r="A22" s="3148" t="s">
        <v>952</v>
      </c>
      <c r="B22" s="1661" t="s">
        <v>1964</v>
      </c>
      <c r="C22" s="1686">
        <f>'数据-汇总表'!D3</f>
        <v>4065.87</v>
      </c>
      <c r="D22" s="1687" t="s">
        <v>1963</v>
      </c>
      <c r="E22" s="3285" t="s">
        <v>2893</v>
      </c>
      <c r="F22" s="3286"/>
      <c r="G22" s="3286"/>
      <c r="H22" s="3286"/>
      <c r="I22" s="3287"/>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88" t="s">
        <v>1969</v>
      </c>
      <c r="C24" s="3289"/>
      <c r="D24" s="3290" t="s">
        <v>1970</v>
      </c>
      <c r="E24" s="3291"/>
      <c r="F24" s="1708" t="s">
        <v>1971</v>
      </c>
      <c r="G24" s="1694"/>
      <c r="H24" s="1694"/>
      <c r="I24" s="1707"/>
      <c r="J24" s="1694"/>
      <c r="K24" s="3276"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7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7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62" t="s">
        <v>2004</v>
      </c>
      <c r="B31" s="1764" t="s">
        <v>2005</v>
      </c>
      <c r="C31" s="3301" t="s">
        <v>2985</v>
      </c>
      <c r="D31" s="3302"/>
      <c r="E31" s="1694"/>
      <c r="F31" s="1694"/>
      <c r="G31" s="1694"/>
      <c r="H31" s="1694"/>
      <c r="I31" s="1707"/>
      <c r="J31" s="1694"/>
      <c r="K31" s="2459"/>
      <c r="L31" s="1694"/>
      <c r="M31" s="1694"/>
      <c r="N31" s="1694"/>
      <c r="O31" s="1694"/>
      <c r="P31" s="1694"/>
      <c r="Q31" s="1694"/>
      <c r="R31" s="1694"/>
      <c r="S31" s="1694"/>
      <c r="T31" s="1694"/>
      <c r="U31" s="1694"/>
    </row>
    <row r="32" spans="1:21">
      <c r="A32" s="3262"/>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62"/>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3"/>
      <c r="B34" s="1661" t="s">
        <v>2008</v>
      </c>
      <c r="C34" s="3264"/>
      <c r="D34" s="3265"/>
      <c r="E34" s="1694"/>
      <c r="F34" s="1694"/>
      <c r="G34" s="1694"/>
      <c r="H34" s="1694"/>
      <c r="I34" s="1707"/>
      <c r="J34" s="1694"/>
      <c r="K34" s="2459"/>
      <c r="L34" s="1694"/>
      <c r="M34" s="1694"/>
      <c r="N34" s="1694"/>
      <c r="O34" s="1694"/>
      <c r="P34" s="1694"/>
      <c r="Q34" s="1694"/>
      <c r="R34" s="1694"/>
      <c r="S34" s="1694"/>
      <c r="T34" s="1694"/>
      <c r="U34" s="1694"/>
    </row>
    <row r="35" spans="1:21">
      <c r="A35" s="3266" t="s">
        <v>847</v>
      </c>
      <c r="B35" s="1722"/>
      <c r="C35" s="1776" t="str">
        <f>IF(B35="场地平整","——","具体情况：")</f>
        <v>具体情况：</v>
      </c>
      <c r="D35" s="3268"/>
      <c r="E35" s="3269"/>
      <c r="F35" s="3269"/>
      <c r="G35" s="3269"/>
      <c r="H35" s="3269"/>
      <c r="I35" s="3270"/>
      <c r="J35" s="1694"/>
      <c r="K35" s="1775"/>
      <c r="L35" s="1723"/>
      <c r="M35" s="1723"/>
      <c r="N35" s="1694"/>
      <c r="O35" s="1695"/>
      <c r="P35" s="1694"/>
      <c r="Q35" s="1694"/>
      <c r="R35" s="1694"/>
      <c r="S35" s="1694"/>
      <c r="T35" s="1694"/>
      <c r="U35" s="1694"/>
    </row>
    <row r="36" spans="1:21">
      <c r="A36" s="3262"/>
      <c r="B36" s="3271" t="s">
        <v>2057</v>
      </c>
      <c r="C36" s="3272"/>
      <c r="D36" s="1792"/>
      <c r="E36" s="3273"/>
      <c r="F36" s="3273"/>
      <c r="G36" s="1687" t="str">
        <f>IF(B35="场地未平整","估价结果处理","")</f>
        <v/>
      </c>
      <c r="H36" s="3274"/>
      <c r="I36" s="3274"/>
      <c r="J36" s="1694"/>
      <c r="K36" s="1775"/>
      <c r="L36" s="1723"/>
      <c r="M36" s="1723"/>
      <c r="N36" s="1694"/>
      <c r="O36" s="1695"/>
      <c r="P36" s="1694"/>
      <c r="Q36" s="1694"/>
      <c r="R36" s="1694"/>
      <c r="S36" s="1694"/>
      <c r="T36" s="1694"/>
      <c r="U36" s="1694"/>
    </row>
    <row r="37" spans="1:21" ht="28.5">
      <c r="A37" s="3262"/>
      <c r="B37" s="329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2"/>
      <c r="B38" s="3293"/>
      <c r="C38" s="1669" t="s">
        <v>850</v>
      </c>
      <c r="D38" s="1791">
        <f>ROUNDDOWN(MIN(('数据-取费表'!$B$2-D37)/365,D34),1)</f>
        <v>118.3</v>
      </c>
      <c r="E38" s="1727" t="s">
        <v>851</v>
      </c>
      <c r="F38" s="1694"/>
      <c r="G38" s="1694"/>
      <c r="H38" s="1694"/>
      <c r="I38" s="1707"/>
      <c r="J38" s="1694"/>
      <c r="K38" s="1775"/>
      <c r="L38" s="1694"/>
      <c r="M38" s="1694"/>
      <c r="N38" s="1694"/>
      <c r="O38" s="1694"/>
      <c r="P38" s="1694"/>
      <c r="Q38" s="1694"/>
      <c r="R38" s="1694"/>
      <c r="S38" s="1694"/>
      <c r="T38" s="1694"/>
      <c r="U38" s="1694"/>
    </row>
    <row r="39" spans="1:21">
      <c r="A39" s="3263"/>
      <c r="B39" s="329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2986</v>
      </c>
      <c r="C40" s="1690" t="s">
        <v>2987</v>
      </c>
      <c r="D40" s="1690" t="s">
        <v>2988</v>
      </c>
      <c r="E40" s="1690" t="s">
        <v>2989</v>
      </c>
      <c r="F40" s="1690" t="s">
        <v>2990</v>
      </c>
      <c r="G40" s="1690" t="s">
        <v>2991</v>
      </c>
      <c r="H40" s="1690" t="s">
        <v>2992</v>
      </c>
      <c r="I40" s="1707"/>
      <c r="J40" s="1694"/>
      <c r="K40" s="1730">
        <f>COUNTIF(B40:H40,"——")</f>
        <v>0</v>
      </c>
      <c r="L40" s="1699" t="s">
        <v>1981</v>
      </c>
      <c r="M40" s="1696" t="s">
        <v>1982</v>
      </c>
      <c r="N40" s="1696" t="s">
        <v>1983</v>
      </c>
      <c r="O40" s="1696" t="s">
        <v>1984</v>
      </c>
      <c r="P40" s="1696" t="s">
        <v>1985</v>
      </c>
      <c r="Q40" s="1696" t="s">
        <v>1986</v>
      </c>
      <c r="R40" s="1696" t="s">
        <v>1987</v>
      </c>
      <c r="S40" s="3275" t="s">
        <v>1988</v>
      </c>
      <c r="T40" s="1731" t="str">
        <f>NUMBERSTRING(7-K40,1)&amp;"通"</f>
        <v>七通</v>
      </c>
      <c r="U40" s="1694"/>
    </row>
    <row r="41" spans="1:21">
      <c r="A41" s="1663"/>
      <c r="B41" s="3267" t="s">
        <v>1722</v>
      </c>
      <c r="C41" s="3267"/>
      <c r="D41" s="3267"/>
      <c r="E41" s="3267"/>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75"/>
      <c r="T41" s="1733" t="str">
        <f>IF(T40="一通",L41,IF(T40="二通",M41,IF(T40="三通",N41,IF(T40="四通",O41,IF(T40="五通",P41,IF(T40="六通",Q41,R41))))))</f>
        <v>通路、通电、通讯、通上水、通下水、通热、燃气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t="s">
        <v>1412</v>
      </c>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t="s">
        <v>2993</v>
      </c>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4065.87</v>
      </c>
      <c r="B3" s="22">
        <f>IF(C3="否",G5-AT5,G5)</f>
        <v>13823.19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13823.19</v>
      </c>
      <c r="G5" s="27">
        <f>SUM(G13:G572)</f>
        <v>13823.19</v>
      </c>
      <c r="H5" s="27">
        <f t="shared" ref="H5:AT5" si="0">SUM(H13:H641)</f>
        <v>13823.19</v>
      </c>
      <c r="I5" s="27">
        <f t="shared" si="0"/>
        <v>10040.61</v>
      </c>
      <c r="J5" s="27">
        <f t="shared" si="0"/>
        <v>0</v>
      </c>
      <c r="K5" s="27">
        <f t="shared" si="0"/>
        <v>1319.25</v>
      </c>
      <c r="L5" s="27">
        <f t="shared" si="0"/>
        <v>0</v>
      </c>
      <c r="M5" s="27">
        <f t="shared" si="0"/>
        <v>2463.33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13823.19</v>
      </c>
      <c r="BA5" s="29">
        <f t="shared" si="1"/>
        <v>13823.19</v>
      </c>
      <c r="BB5" s="29">
        <f t="shared" si="1"/>
        <v>10040.61</v>
      </c>
      <c r="BC5" s="29">
        <f t="shared" si="1"/>
        <v>1319.25</v>
      </c>
      <c r="BD5" s="29">
        <f t="shared" si="1"/>
        <v>2463.33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4065.87</v>
      </c>
      <c r="F6" s="27" t="s">
        <v>1</v>
      </c>
      <c r="G6" s="27" t="s">
        <v>2</v>
      </c>
      <c r="H6" s="33">
        <f>SUMIF(I$12:AB$12,"总值",I6:AB6)</f>
        <v>4065.87</v>
      </c>
      <c r="I6" s="27">
        <f t="shared" ref="I6:AB6" si="2">ROUND($A$3*I5/$B$3,2)</f>
        <v>2953.28</v>
      </c>
      <c r="J6" s="27">
        <f t="shared" si="2"/>
        <v>0</v>
      </c>
      <c r="K6" s="27">
        <f t="shared" si="2"/>
        <v>388.04</v>
      </c>
      <c r="L6" s="27">
        <f t="shared" si="2"/>
        <v>0</v>
      </c>
      <c r="M6" s="27">
        <f t="shared" si="2"/>
        <v>724.55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4065.87</v>
      </c>
      <c r="AZ6" s="27" t="s">
        <v>3</v>
      </c>
      <c r="BA6" s="27">
        <f>ROUND($AY$6*BA5/$AZ$5,2)</f>
        <v>4065.87</v>
      </c>
      <c r="BB6" s="27">
        <f>ROUND($AY$6*BB5/$AZ$5,2)</f>
        <v>2953.28</v>
      </c>
      <c r="BC6" s="27">
        <f t="shared" ref="BC6:BH6" si="4">ROUND($AY$6*BC5/$AZ$5,2)</f>
        <v>388.04</v>
      </c>
      <c r="BD6" s="27">
        <f t="shared" si="4"/>
        <v>724.55</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2994</v>
      </c>
      <c r="J9" s="51"/>
      <c r="K9" s="3020" t="s">
        <v>2995</v>
      </c>
      <c r="L9" s="51"/>
      <c r="M9" s="3020"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1678</v>
      </c>
      <c r="J10" s="51"/>
      <c r="K10" s="3022" t="s">
        <v>1678</v>
      </c>
      <c r="L10" s="51"/>
      <c r="M10" s="3022" t="s">
        <v>2997</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3053</v>
      </c>
      <c r="B13" s="3015"/>
      <c r="C13" s="3015" t="s">
        <v>3054</v>
      </c>
      <c r="D13" s="3016" t="s">
        <v>1679</v>
      </c>
      <c r="E13" s="27">
        <f t="shared" ref="E13:E20" si="6">IF($C$3="是",ROUND($A$3*G13/$B$3,2),ROUND($A$3*(G13-AT13)/$B$3,2))</f>
        <v>4065.87</v>
      </c>
      <c r="F13" s="81">
        <v>13823.19</v>
      </c>
      <c r="G13" s="82">
        <f t="shared" ref="G13:G20" si="7">H13+AC13+AT13</f>
        <v>13823.19</v>
      </c>
      <c r="H13" s="33">
        <f t="shared" ref="H13:H20" si="8">SUMIF(I$12:AB$12,"总值",I13:AB13)</f>
        <v>13823.19</v>
      </c>
      <c r="I13" s="3019">
        <v>10040.61</v>
      </c>
      <c r="J13" s="3019"/>
      <c r="K13" s="3019">
        <v>1319.25</v>
      </c>
      <c r="L13" s="3019"/>
      <c r="M13" s="3019">
        <v>2463.33</v>
      </c>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京兴国用（2014出）第00077号</v>
      </c>
      <c r="AW13" s="17">
        <f t="shared" si="10"/>
        <v>0</v>
      </c>
      <c r="AX13" s="17" t="str">
        <f t="shared" si="10"/>
        <v>大兴区欣旺北大街11号院1号楼</v>
      </c>
      <c r="AY13" s="996">
        <f t="shared" ref="AY13:AY20" si="11">ROUND($AY$6*AZ13/$AZ$5,2)</f>
        <v>4065.87</v>
      </c>
      <c r="AZ13" s="27">
        <f t="shared" ref="AZ13:AZ20" si="12">BA13+BL13</f>
        <v>13823.19</v>
      </c>
      <c r="BA13" s="27">
        <f t="shared" ref="BA13:BA20" si="13">SUM(BB13:BK13)</f>
        <v>13823.19</v>
      </c>
      <c r="BB13" s="27">
        <f t="shared" ref="BB13:BB20" si="14">IF($D13="是",I13-J13,0)</f>
        <v>10040.61</v>
      </c>
      <c r="BC13" s="27">
        <f t="shared" ref="BC13:BC20" si="15">IF($D13="是",K13-L13,0)</f>
        <v>1319.25</v>
      </c>
      <c r="BD13" s="27">
        <f t="shared" ref="BD13:BD20" si="16">IF($D13="是",M13-N13,0)</f>
        <v>2463.33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4" t="s">
        <v>203</v>
      </c>
      <c r="B2" s="3314"/>
      <c r="C2" s="3314"/>
      <c r="D2" s="1976" t="s">
        <v>204</v>
      </c>
      <c r="E2" s="106" t="s">
        <v>205</v>
      </c>
      <c r="F2" s="1985"/>
      <c r="G2" s="1198"/>
      <c r="H2" s="1199"/>
      <c r="I2" s="1200" t="s">
        <v>857</v>
      </c>
      <c r="J2" s="1985"/>
      <c r="K2" s="1985"/>
      <c r="L2" s="1985"/>
    </row>
    <row r="3" spans="1:16" ht="15.75" thickBot="1">
      <c r="A3" s="3315" t="s">
        <v>206</v>
      </c>
      <c r="B3" s="3315"/>
      <c r="C3" s="3315"/>
      <c r="D3" s="107">
        <f>'数据-基础表'!AY6</f>
        <v>4065.87</v>
      </c>
      <c r="E3" s="107">
        <f>'数据-基础表'!AZ5</f>
        <v>13823.19</v>
      </c>
      <c r="F3" s="1985"/>
      <c r="G3" s="280" t="s">
        <v>858</v>
      </c>
      <c r="H3" s="275" t="s">
        <v>859</v>
      </c>
      <c r="I3" s="1977">
        <f>ROUND('数据-基础表'!B3/'数据-基础表'!A3,2)</f>
        <v>3.4</v>
      </c>
      <c r="J3" s="1985"/>
      <c r="K3" s="1985"/>
      <c r="L3" s="1985"/>
    </row>
    <row r="4" spans="1:16" ht="15">
      <c r="A4" s="3316"/>
      <c r="B4" s="3317"/>
      <c r="C4" s="3318"/>
      <c r="D4" s="108" t="s">
        <v>204</v>
      </c>
      <c r="E4" s="109" t="s">
        <v>205</v>
      </c>
      <c r="F4" s="1985"/>
      <c r="G4" s="1201"/>
      <c r="H4" s="275" t="s">
        <v>860</v>
      </c>
      <c r="I4" s="1977">
        <f>ROUND(SUMIF('数据-基础表'!I9:AS9,"地上",'数据-基础表'!I5:AS5)/'数据-基础表'!A3,2)</f>
        <v>2.4700000000000002</v>
      </c>
      <c r="J4" s="1985"/>
      <c r="K4" s="1985"/>
      <c r="L4" s="1985"/>
    </row>
    <row r="5" spans="1:16">
      <c r="A5" s="110" t="s">
        <v>207</v>
      </c>
      <c r="B5" s="3319" t="s">
        <v>230</v>
      </c>
      <c r="C5" s="3319"/>
      <c r="D5" s="111">
        <f>ROUND($D$3*E5/$E$3,2)</f>
        <v>0</v>
      </c>
      <c r="E5" s="112">
        <f>SUMIF('数据-基础表'!$11:$11,"住宅",'数据-基础表'!$5:$5)</f>
        <v>0</v>
      </c>
      <c r="F5" s="1985"/>
      <c r="G5" s="280" t="s">
        <v>861</v>
      </c>
      <c r="H5" s="275" t="s">
        <v>859</v>
      </c>
      <c r="I5" s="1977">
        <f>ROUND(E31/D31,2)</f>
        <v>3.4</v>
      </c>
      <c r="J5" s="1985"/>
      <c r="K5" s="1985"/>
      <c r="L5" s="1985"/>
    </row>
    <row r="6" spans="1:16" ht="15" thickBot="1">
      <c r="A6" s="113"/>
      <c r="B6" s="3319" t="s">
        <v>208</v>
      </c>
      <c r="C6" s="3319"/>
      <c r="D6" s="111">
        <f>ROUND($D$3*E6/$E$3,2)</f>
        <v>4065.87</v>
      </c>
      <c r="E6" s="112">
        <f>E3-E5</f>
        <v>13823.19</v>
      </c>
      <c r="F6" s="1985"/>
      <c r="G6" s="1201"/>
      <c r="H6" s="275" t="s">
        <v>860</v>
      </c>
      <c r="I6" s="1977">
        <f>ROUND(F31/D31,2)</f>
        <v>2.4700000000000002</v>
      </c>
      <c r="J6" s="1985"/>
      <c r="K6" s="1985"/>
      <c r="L6" s="1985"/>
    </row>
    <row r="7" spans="1:16" ht="15">
      <c r="A7" s="3311"/>
      <c r="B7" s="3312"/>
      <c r="C7" s="3313"/>
      <c r="D7" s="108" t="s">
        <v>204</v>
      </c>
      <c r="E7" s="114" t="s">
        <v>231</v>
      </c>
      <c r="F7" s="1985"/>
      <c r="G7" s="1156" t="s">
        <v>1646</v>
      </c>
      <c r="H7" s="1157"/>
      <c r="I7" s="1847">
        <v>2.5</v>
      </c>
      <c r="J7" s="1985"/>
      <c r="K7" s="1985"/>
      <c r="L7" s="1985"/>
    </row>
    <row r="8" spans="1:16">
      <c r="A8" s="110" t="s">
        <v>209</v>
      </c>
      <c r="B8" s="115" t="s">
        <v>210</v>
      </c>
      <c r="C8" s="111" t="s">
        <v>211</v>
      </c>
      <c r="D8" s="111">
        <f t="shared" ref="D8:D15" si="0">ROUND($D$3*E8/$E$3,2)</f>
        <v>2953.28</v>
      </c>
      <c r="E8" s="116">
        <f>SUMIF('数据-基础表'!BB10:BK10,"地上",'数据-基础表'!BB5:BK5)</f>
        <v>10040.61</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388.04</v>
      </c>
      <c r="E11" s="116">
        <f>SUMPRODUCT(('数据-基础表'!BB10:BK10="地下")*('数据-基础表'!BB11:BK11="办公")*('数据-基础表'!BB5:BK5))+'数据-基础表'!AJ5</f>
        <v>1319.25</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724.55</v>
      </c>
      <c r="E13" s="116">
        <f>SUMPRODUCT(('数据-基础表'!BB10:BK10="地下")*('数据-基础表'!BB11:BK11="车库")*('数据-基础表'!BB5:BK5))</f>
        <v>2463.33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4065.87</v>
      </c>
      <c r="E16" s="120">
        <f>SUM(E8:E15)</f>
        <v>13823.19</v>
      </c>
      <c r="F16" s="1985"/>
      <c r="G16" s="1987"/>
      <c r="H16" s="968" t="s">
        <v>219</v>
      </c>
      <c r="I16" s="969"/>
      <c r="J16" s="1985"/>
      <c r="K16" s="3305" t="s">
        <v>2569</v>
      </c>
      <c r="L16" s="3306"/>
      <c r="M16" s="3306"/>
      <c r="N16" s="3306"/>
      <c r="O16" s="3306"/>
      <c r="P16" s="3307"/>
    </row>
    <row r="17" spans="1:19" ht="15">
      <c r="A17" s="121" t="s">
        <v>216</v>
      </c>
      <c r="B17" s="122" t="s">
        <v>217</v>
      </c>
      <c r="C17" s="2299" t="s">
        <v>2316</v>
      </c>
      <c r="D17" s="108" t="s">
        <v>204</v>
      </c>
      <c r="E17" s="124" t="s">
        <v>205</v>
      </c>
      <c r="F17" s="125"/>
      <c r="G17" s="1366"/>
      <c r="H17" s="970" t="s">
        <v>218</v>
      </c>
      <c r="I17" s="971" t="s">
        <v>2315</v>
      </c>
      <c r="J17" s="1985"/>
      <c r="K17" s="3308" t="s">
        <v>2570</v>
      </c>
      <c r="L17" s="3309"/>
      <c r="M17" s="3310"/>
      <c r="N17" s="3308" t="s">
        <v>2571</v>
      </c>
      <c r="O17" s="3309"/>
      <c r="P17" s="3310"/>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2996</v>
      </c>
      <c r="D19" s="111">
        <f t="shared" ref="D19:D26" si="1">ROUND($D$3*E19/$E$3,2)</f>
        <v>2953.28</v>
      </c>
      <c r="E19" s="134">
        <f t="shared" ref="E19:E26" si="2">SUM(F19:G19)</f>
        <v>10040.61</v>
      </c>
      <c r="F19" s="135">
        <v>10040.61</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2953.28</v>
      </c>
      <c r="S19" s="2302">
        <f t="shared" si="5"/>
        <v>10040.61</v>
      </c>
    </row>
    <row r="20" spans="1:19">
      <c r="A20" s="138"/>
      <c r="B20" s="115" t="s">
        <v>226</v>
      </c>
      <c r="C20" s="3026" t="s">
        <v>3006</v>
      </c>
      <c r="D20" s="111">
        <f t="shared" si="1"/>
        <v>388.04</v>
      </c>
      <c r="E20" s="134">
        <f t="shared" si="2"/>
        <v>1319.25</v>
      </c>
      <c r="F20" s="135"/>
      <c r="G20" s="1368">
        <v>1319.25</v>
      </c>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388.04</v>
      </c>
      <c r="S20" s="2302">
        <f t="shared" si="5"/>
        <v>1319.25</v>
      </c>
    </row>
    <row r="21" spans="1:19">
      <c r="A21" s="138"/>
      <c r="B21" s="115" t="s">
        <v>226</v>
      </c>
      <c r="C21" s="3026" t="s">
        <v>3007</v>
      </c>
      <c r="D21" s="111">
        <f t="shared" si="1"/>
        <v>724.55</v>
      </c>
      <c r="E21" s="134">
        <f t="shared" si="2"/>
        <v>2463.33</v>
      </c>
      <c r="F21" s="135"/>
      <c r="G21" s="1368">
        <v>2463.33</v>
      </c>
      <c r="H21" s="974">
        <f t="shared" si="6"/>
        <v>0</v>
      </c>
      <c r="I21" s="116">
        <f t="shared" si="7"/>
        <v>0</v>
      </c>
      <c r="J21" s="1985"/>
      <c r="K21" s="2609">
        <f t="shared" si="3"/>
        <v>0</v>
      </c>
      <c r="L21" s="275">
        <f t="shared" si="4"/>
        <v>0</v>
      </c>
      <c r="M21" s="2610">
        <f t="shared" si="8"/>
        <v>0</v>
      </c>
      <c r="N21" s="2611"/>
      <c r="O21" s="2612"/>
      <c r="P21" s="2613">
        <f t="shared" si="9"/>
        <v>0</v>
      </c>
      <c r="R21" s="275">
        <f t="shared" si="5"/>
        <v>724.55</v>
      </c>
      <c r="S21" s="2302">
        <f t="shared" si="5"/>
        <v>2463.33</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4065.87</v>
      </c>
      <c r="E27" s="143">
        <f>IF(SUM(E19:E26)='数据-基础表'!BA5,SUM(E19:E26),IF(F27="地上面积有误","面积有误","地下面积有误"))</f>
        <v>13823.19</v>
      </c>
      <c r="F27" s="134">
        <f>IF(SUM(F19:F26)=E8,SUM(F19:F26),"地上面积有误")</f>
        <v>10040.61</v>
      </c>
      <c r="G27" s="112">
        <f>SUM(G19:G26)</f>
        <v>3782.58</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4065.87</v>
      </c>
      <c r="S27" s="275">
        <f>IF(SUM(S19:S26)=$E$3,SUM(S19:S26),SUM(S19:S26)&amp;"误差"&amp;ROUND(SUM(S19:S26)-E3,2))</f>
        <v>13823.19</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4065.87</v>
      </c>
      <c r="E31" s="1372">
        <f>E27+E30</f>
        <v>13823.19</v>
      </c>
      <c r="F31" s="1373">
        <f>F27+F30</f>
        <v>10040.61</v>
      </c>
      <c r="G31" s="1374">
        <f>G27+G30</f>
        <v>3782.58</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43205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2998</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0</v>
      </c>
      <c r="E6" s="2310">
        <f>IF(B6="","",SUMIF(项目基本情况!D$15:I$15,C6,项目基本情况!D$17:I$17))</f>
        <v>58562</v>
      </c>
      <c r="F6" s="174">
        <f>SUMIF(项目基本情况!D$15:I$15,C6,项目基本情况!D$19:I$19)</f>
        <v>42.07</v>
      </c>
      <c r="G6" s="175">
        <f>IF(ISERROR(ROUND(POWER(1+H6,D6-F6)*(POWER(1+H6,F6)-1)/(POWER(1+H6,D6)-1),3)),0,ROUND(POWER(1+H6,D6-F6)*(POWER(1+H6,F6)-1)/(POWER(1+H6,D6)-1),3))</f>
        <v>0</v>
      </c>
      <c r="H6" s="3027">
        <v>0.04</v>
      </c>
      <c r="I6" s="3027">
        <v>0.05</v>
      </c>
      <c r="J6" s="176">
        <v>0.08</v>
      </c>
      <c r="K6" s="179">
        <f>SUMIF('数据-汇总表'!C$19:C$33,'数据-取费表'!A6,'数据-汇总表'!E$19:E$33)</f>
        <v>11359.86</v>
      </c>
      <c r="L6" s="3028">
        <v>2500</v>
      </c>
      <c r="M6" s="177">
        <f t="shared" ref="M6:M14" si="0">ROUND(K6*L6/10000,0)</f>
        <v>2840</v>
      </c>
      <c r="N6" s="3029">
        <v>0.98</v>
      </c>
      <c r="O6" s="177" t="str">
        <f>IF($N$5="成新度","——",ROUND(M6*N6,0))</f>
        <v>——</v>
      </c>
      <c r="P6" s="178" t="str">
        <f>IF($N$5="成新度","——",M6-O6)</f>
        <v>——</v>
      </c>
      <c r="Q6" s="3030">
        <v>0.2</v>
      </c>
      <c r="R6" s="179">
        <f>SUMIF('数据-汇总表'!C$19:C$33,A6,'数据-汇总表'!R$19:R$33)</f>
        <v>3341.32</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0.80800000000000005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办公</v>
      </c>
      <c r="B7" s="2338" t="str">
        <f t="shared" ref="B7:B13" si="1">IF(A7=0,"","经营性")</f>
        <v>经营性</v>
      </c>
      <c r="C7" s="173" t="s">
        <v>2997</v>
      </c>
      <c r="D7" s="2309">
        <f>SUMIF(项目基本情况!D$15:I$15,C7,项目基本情况!D$18:I$18)</f>
        <v>0</v>
      </c>
      <c r="E7" s="2310">
        <f>IF(B7="","",SUMIF(项目基本情况!D$15:I$15,C7,项目基本情况!D$17:I$17))</f>
        <v>58562</v>
      </c>
      <c r="F7" s="174">
        <f>SUMIF(项目基本情况!D$15:I$15,C7,项目基本情况!D$19:I$19)</f>
        <v>42.07</v>
      </c>
      <c r="G7" s="175">
        <f t="shared" ref="G7:G11" si="2">IF(ISERROR(ROUND(POWER(1+H7,D7-F7)*(POWER(1+H7,F7)-1)/(POWER(1+H7,D7)-1),3)),0,ROUND(POWER(1+H7,D7-F7)*(POWER(1+H7,F7)-1)/(POWER(1+H7,D7)-1),3))</f>
        <v>0</v>
      </c>
      <c r="H7" s="3027">
        <v>0.03</v>
      </c>
      <c r="I7" s="3027">
        <v>3.5000000000000003E-2</v>
      </c>
      <c r="J7" s="176">
        <v>0.06</v>
      </c>
      <c r="K7" s="179">
        <f>SUMIF('数据-汇总表'!C$19:C$33,'数据-取费表'!A7,'数据-汇总表'!E$19:E$33)</f>
        <v>11359.86</v>
      </c>
      <c r="L7" s="3028">
        <v>2500</v>
      </c>
      <c r="M7" s="177">
        <f t="shared" si="0"/>
        <v>2840</v>
      </c>
      <c r="N7" s="3029">
        <v>0.98</v>
      </c>
      <c r="O7" s="177" t="str">
        <f t="shared" ref="O7:O14" si="3">IF($N$5="成新度","——",ROUND(M7*N7,0))</f>
        <v>——</v>
      </c>
      <c r="P7" s="178" t="str">
        <f t="shared" ref="P7:P14" si="4">IF($N$5="成新度","——",M7-O7)</f>
        <v>——</v>
      </c>
      <c r="Q7" s="3030">
        <v>0.15</v>
      </c>
      <c r="R7" s="179">
        <f>SUMIF('数据-汇总表'!C$19:C$33,A7,'数据-汇总表'!R$19:R$33)</f>
        <v>3341.32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0.71199999999999997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c r="D8" s="2309">
        <f>SUMIF(项目基本情况!D$15:I$15,C8,项目基本情况!D$18:I$18)</f>
        <v>0</v>
      </c>
      <c r="E8" s="2310">
        <f>IF(B8="","",SUMIF(项目基本情况!D$15:I$15,C8,项目基本情况!D$17:I$17))</f>
        <v>0</v>
      </c>
      <c r="F8" s="174">
        <f>SUMIF(项目基本情况!D$15:I$15,C8,项目基本情况!D$19:I$19)</f>
        <v>0</v>
      </c>
      <c r="G8" s="175">
        <f t="shared" si="2"/>
        <v>0</v>
      </c>
      <c r="H8" s="3027"/>
      <c r="I8" s="3027"/>
      <c r="J8" s="176"/>
      <c r="K8" s="179">
        <f>SUMIF('数据-汇总表'!C$19:C$33,'数据-取费表'!A8,'数据-汇总表'!E$19:E$33)</f>
        <v>2463.33</v>
      </c>
      <c r="L8" s="3028"/>
      <c r="M8" s="177">
        <f>ROUND(K8*L8/10000,0)</f>
        <v>0</v>
      </c>
      <c r="N8" s="3029"/>
      <c r="O8" s="177" t="str">
        <f t="shared" si="3"/>
        <v>——</v>
      </c>
      <c r="P8" s="178" t="str">
        <f t="shared" si="4"/>
        <v>——</v>
      </c>
      <c r="Q8" s="3030"/>
      <c r="R8" s="179">
        <f>SUMIF('数据-汇总表'!C$19:C$33,A8,'数据-汇总表'!R$19:R$33)</f>
        <v>724.55</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t="str">
        <f t="shared" si="3"/>
        <v>——</v>
      </c>
      <c r="P14" s="178" t="str">
        <f t="shared" si="4"/>
        <v>——</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t="e">
        <f>ROUND(SUMPRODUCT(G6:G13,K6:K13)/SUMPRODUCT((G6:G13&gt;0)*(K6:K13)),3)</f>
        <v>#DIV/0!</v>
      </c>
      <c r="H16" s="203">
        <f>ROUND(SUMPRODUCT(H6:H13,K6:K13)/SUMPRODUCT((H6:H13&gt;0)*(K6:K13)),3)</f>
        <v>3.5000000000000003E-2</v>
      </c>
      <c r="I16" s="204"/>
      <c r="J16" s="204"/>
      <c r="K16" s="205">
        <f>SUM(K6:K15)</f>
        <v>25183.050000000003</v>
      </c>
      <c r="L16" s="206">
        <f>ROUND(M16*10000/SUM(K6:K14),0)</f>
        <v>2255</v>
      </c>
      <c r="M16" s="206">
        <f>SUM(M6:M14)</f>
        <v>5680</v>
      </c>
      <c r="N16" s="207">
        <f>ROUND(SUMPRODUCT(M6:M14,N6:N14)/M16,3)</f>
        <v>0.98</v>
      </c>
      <c r="O16" s="206">
        <f>SUM(O6:O14)</f>
        <v>0</v>
      </c>
      <c r="P16" s="206">
        <f>SUM(P6:P14)</f>
        <v>0</v>
      </c>
      <c r="Q16" s="208">
        <f>ROUND(SUMPRODUCT(Q6:Q13,K6:K13)/SUMPRODUCT((Q6:Q13&gt;0)*(K6:K13)),2)</f>
        <v>0.18</v>
      </c>
      <c r="R16" s="2312">
        <f>SUM(R6:R13)</f>
        <v>7407.1900000000005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2</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200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1412</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2" sqref="C12"/>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0" t="s">
        <v>1664</v>
      </c>
      <c r="B1" s="3321"/>
      <c r="C1" s="3321"/>
      <c r="D1" s="3321"/>
      <c r="E1" s="3321"/>
      <c r="F1" s="3321"/>
      <c r="G1" s="3321"/>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hidden="1">
      <c r="A3" s="1227" t="s">
        <v>1667</v>
      </c>
      <c r="B3" s="1228" t="s">
        <v>1654</v>
      </c>
      <c r="C3" s="3083" t="s">
        <v>2923</v>
      </c>
      <c r="D3" s="2010"/>
      <c r="E3" s="1229" t="s">
        <v>1667</v>
      </c>
      <c r="F3" s="1230" t="s">
        <v>1655</v>
      </c>
      <c r="G3" s="3087" t="s">
        <v>2922</v>
      </c>
      <c r="H3" s="2009"/>
      <c r="I3" s="2009"/>
      <c r="J3" s="2009"/>
      <c r="K3" s="2009"/>
      <c r="L3" s="2009"/>
      <c r="M3" s="2009"/>
      <c r="N3" s="2009"/>
      <c r="O3" s="2009"/>
      <c r="P3" s="2009"/>
      <c r="Q3" s="2009"/>
      <c r="R3" s="2009"/>
    </row>
    <row r="4" spans="1:18" ht="41.25" hidden="1">
      <c r="A4" s="1229"/>
      <c r="B4" s="1231" t="s">
        <v>1668</v>
      </c>
      <c r="C4" s="3084" t="s">
        <v>2924</v>
      </c>
      <c r="D4" s="2010"/>
      <c r="E4" s="1232"/>
      <c r="F4" s="1233" t="s">
        <v>1669</v>
      </c>
      <c r="G4" s="3085" t="s">
        <v>2919</v>
      </c>
      <c r="H4" s="2009"/>
      <c r="I4" s="2009"/>
      <c r="J4" s="2009"/>
      <c r="K4" s="2009"/>
      <c r="L4" s="2009"/>
      <c r="M4" s="2009"/>
      <c r="N4" s="2009"/>
      <c r="O4" s="2009"/>
      <c r="P4" s="2009"/>
      <c r="Q4" s="2009"/>
      <c r="R4" s="2009"/>
    </row>
    <row r="5" spans="1:18" ht="40.5">
      <c r="A5" s="1229"/>
      <c r="B5" s="1231" t="s">
        <v>1670</v>
      </c>
      <c r="C5" s="3179" t="s">
        <v>3094</v>
      </c>
      <c r="D5" s="2010"/>
      <c r="E5" s="1232"/>
      <c r="F5" s="1231" t="s">
        <v>2549</v>
      </c>
      <c r="G5" s="3085" t="s">
        <v>2920</v>
      </c>
      <c r="H5" s="2009"/>
      <c r="I5" s="2009"/>
      <c r="J5" s="2009"/>
      <c r="K5" s="2009"/>
      <c r="L5" s="2009"/>
      <c r="M5" s="2009"/>
      <c r="N5" s="2009"/>
      <c r="O5" s="2009"/>
      <c r="P5" s="2009"/>
      <c r="Q5" s="2009"/>
      <c r="R5" s="2009"/>
    </row>
    <row r="6" spans="1:18" ht="84">
      <c r="A6" s="1229"/>
      <c r="B6" s="1231" t="s">
        <v>1656</v>
      </c>
      <c r="C6" s="3180" t="s">
        <v>3091</v>
      </c>
      <c r="D6" s="2010"/>
      <c r="E6" s="1232"/>
      <c r="F6" s="1231" t="s">
        <v>2550</v>
      </c>
      <c r="G6" s="3085" t="s">
        <v>2918</v>
      </c>
      <c r="H6" s="2009"/>
      <c r="I6" s="2009"/>
      <c r="J6" s="2009"/>
      <c r="K6" s="2009"/>
      <c r="L6" s="2009"/>
      <c r="M6" s="2009"/>
      <c r="N6" s="2009"/>
      <c r="O6" s="2009"/>
      <c r="P6" s="2009"/>
      <c r="Q6" s="2009"/>
      <c r="R6" s="2009"/>
    </row>
    <row r="7" spans="1:18" ht="41.25" thickBot="1">
      <c r="A7" s="1229"/>
      <c r="B7" s="1231" t="s">
        <v>2549</v>
      </c>
      <c r="C7" s="3085" t="s">
        <v>2920</v>
      </c>
      <c r="D7" s="2011"/>
      <c r="E7" s="1234"/>
      <c r="F7" s="1235" t="s">
        <v>1671</v>
      </c>
      <c r="G7" s="3088" t="s">
        <v>2921</v>
      </c>
      <c r="H7" s="2009"/>
      <c r="I7" s="2009"/>
      <c r="J7" s="2009"/>
      <c r="K7" s="2009"/>
      <c r="L7" s="2009"/>
      <c r="M7" s="2009"/>
      <c r="N7" s="2009"/>
      <c r="O7" s="2009"/>
      <c r="P7" s="2009"/>
      <c r="Q7" s="2009"/>
      <c r="R7" s="2009"/>
    </row>
    <row r="8" spans="1:18">
      <c r="A8" s="1229"/>
      <c r="B8" s="1231" t="s">
        <v>2550</v>
      </c>
      <c r="C8" s="3225" t="s">
        <v>3127</v>
      </c>
      <c r="D8" s="2011"/>
      <c r="E8" s="2011"/>
      <c r="F8" s="1554"/>
      <c r="G8" s="1554"/>
      <c r="H8" s="2009"/>
      <c r="I8" s="2009"/>
      <c r="J8" s="2009"/>
      <c r="K8" s="2009"/>
      <c r="L8" s="2009"/>
      <c r="M8" s="2009"/>
      <c r="N8" s="2009"/>
      <c r="O8" s="2009"/>
      <c r="P8" s="2009"/>
      <c r="Q8" s="2009"/>
      <c r="R8" s="2009"/>
    </row>
    <row r="9" spans="1:18" ht="67.5">
      <c r="A9" s="1229"/>
      <c r="B9" s="1231" t="s">
        <v>1657</v>
      </c>
      <c r="C9" s="3179" t="s">
        <v>3093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t="s">
        <v>3095</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估价对象周边主要以居住为主，办公楼项目较少，办公集聚程度一般。</v>
      </c>
      <c r="D17" s="2011"/>
      <c r="E17" s="2587"/>
      <c r="F17" s="1247" t="s">
        <v>1675</v>
      </c>
      <c r="G17" s="2795"/>
    </row>
    <row r="18" spans="1:7" ht="94.5">
      <c r="A18" s="2590"/>
      <c r="B18" s="1247" t="s">
        <v>1656</v>
      </c>
      <c r="C18" s="1005" t="str">
        <f>C6</f>
        <v>估价对象紧邻城市次干道—欣旺北大街，周边有381路、兴13路等多条公交线路通过，距地铁大兴线（西红门站）约1.2公里，综合评价交通便捷度一般。</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67.5">
      <c r="A20" s="2590"/>
      <c r="B20" s="1247" t="s">
        <v>1661</v>
      </c>
      <c r="C20" s="1246" t="str">
        <f>C9</f>
        <v>区域自然环境：西红门九龙口休闲公园、兴海公园等；人文环境：快乐392高尔夫俱乐部等；综合评价环境状况较好。</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14.25">
      <c r="A22" s="2590"/>
      <c r="B22" s="1231" t="s">
        <v>2550</v>
      </c>
      <c r="C22" s="1005" t="str">
        <f>C8</f>
        <v>七通</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t="str">
        <f>C10</f>
        <v>城市次干道—欣旺北大街</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3047" t="s">
        <v>2845</v>
      </c>
      <c r="B1" s="3047">
        <f>SUM(B14:B23)</f>
        <v>13823.19</v>
      </c>
      <c r="C1" s="3048"/>
      <c r="D1" s="3048"/>
      <c r="E1" s="3048"/>
      <c r="F1" s="3048"/>
    </row>
    <row r="2" spans="1:9" ht="16.5">
      <c r="A2" s="3047" t="s">
        <v>2846</v>
      </c>
      <c r="B2" s="3047">
        <f>SUM(C14:C23)</f>
        <v>4065.87</v>
      </c>
      <c r="C2" s="3048"/>
      <c r="D2" s="3048"/>
      <c r="E2" s="3048"/>
      <c r="F2" s="3048"/>
    </row>
    <row r="3" spans="1:9" ht="16.5">
      <c r="A3" s="3047" t="s">
        <v>2847</v>
      </c>
      <c r="B3" s="3049">
        <f>项目基本情况!D3</f>
        <v>43205</v>
      </c>
      <c r="C3" s="3048"/>
      <c r="D3" s="3048"/>
      <c r="E3" s="3048"/>
      <c r="F3" s="3048"/>
    </row>
    <row r="4" spans="1:9" ht="33">
      <c r="A4" s="3047" t="s">
        <v>2848</v>
      </c>
      <c r="B4" s="3047" t="s">
        <v>2849</v>
      </c>
      <c r="C4" s="3047" t="s">
        <v>2850</v>
      </c>
      <c r="D4" s="3047" t="s">
        <v>2851</v>
      </c>
      <c r="E4" s="3048"/>
      <c r="F4" s="3048"/>
    </row>
    <row r="5" spans="1:9" ht="16.5">
      <c r="A5" s="3047" t="s">
        <v>2852</v>
      </c>
      <c r="B5" s="3047">
        <f ca="1">SUM(D14:D23)</f>
        <v>13953</v>
      </c>
      <c r="C5" s="3047">
        <f ca="1">ROUND(B5*10000/$B$1,0)</f>
        <v>10094</v>
      </c>
      <c r="D5" s="3047">
        <f ca="1">ROUND(B5*10000/$B$2,0)</f>
        <v>34317</v>
      </c>
      <c r="E5" s="3048"/>
      <c r="F5" s="3048"/>
    </row>
    <row r="6" spans="1:9" ht="16.5">
      <c r="A6" s="3047" t="s">
        <v>2853</v>
      </c>
      <c r="B6" s="3047">
        <f>SUM(G14:G23)</f>
        <v>0</v>
      </c>
      <c r="C6" s="3047">
        <f t="shared" ref="C6:C8" si="0">ROUND(B6*10000/$B$1,0)</f>
        <v>0</v>
      </c>
      <c r="D6" s="3047">
        <f t="shared" ref="D6:D8" si="1">ROUND(B6*10000/$B$2,0)</f>
        <v>0</v>
      </c>
      <c r="E6" s="3048"/>
      <c r="F6" s="3048"/>
    </row>
    <row r="7" spans="1:9" ht="16.5">
      <c r="A7" s="3047" t="s">
        <v>2854</v>
      </c>
      <c r="B7" s="3047">
        <f>SUM(H14:H23)</f>
        <v>0</v>
      </c>
      <c r="C7" s="3047">
        <f t="shared" si="0"/>
        <v>0</v>
      </c>
      <c r="D7" s="3047">
        <f t="shared" si="1"/>
        <v>0</v>
      </c>
      <c r="E7" s="3048"/>
      <c r="F7" s="3048"/>
    </row>
    <row r="8" spans="1:9" ht="16.5">
      <c r="A8" s="3047" t="s">
        <v>2855</v>
      </c>
      <c r="B8" s="3047">
        <f>SUM(I14:I23)</f>
        <v>0</v>
      </c>
      <c r="C8" s="3047">
        <f t="shared" si="0"/>
        <v>0</v>
      </c>
      <c r="D8" s="3047">
        <f t="shared" si="1"/>
        <v>0</v>
      </c>
      <c r="E8" s="3048"/>
      <c r="F8" s="3048"/>
    </row>
    <row r="9" spans="1:9" ht="16.5">
      <c r="A9" s="3047" t="s">
        <v>2856</v>
      </c>
      <c r="B9" s="3050"/>
      <c r="C9" s="3048"/>
      <c r="D9" s="3048"/>
      <c r="E9" s="3048"/>
      <c r="F9" s="3048"/>
    </row>
    <row r="10" spans="1:9" ht="16.5">
      <c r="A10" s="3047" t="s">
        <v>2857</v>
      </c>
      <c r="B10" s="3050"/>
      <c r="C10" s="3048"/>
      <c r="D10" s="3048"/>
      <c r="E10" s="3048"/>
      <c r="F10" s="3048"/>
    </row>
    <row r="11" spans="1:9" ht="16.5">
      <c r="A11" s="3047" t="s">
        <v>2874</v>
      </c>
      <c r="B11" s="3050"/>
      <c r="C11" s="3048"/>
      <c r="D11" s="3048"/>
      <c r="E11" s="3048"/>
      <c r="F11" s="3048"/>
    </row>
    <row r="12" spans="1:9" ht="16.5">
      <c r="A12" s="3048"/>
      <c r="B12" s="3048"/>
      <c r="C12" s="3048"/>
      <c r="D12" s="3048"/>
      <c r="E12" s="3048"/>
      <c r="F12" s="3048"/>
    </row>
    <row r="13" spans="1:9" ht="33">
      <c r="A13" s="3053" t="s">
        <v>2873</v>
      </c>
      <c r="B13" s="3051" t="s">
        <v>2845</v>
      </c>
      <c r="C13" s="3051" t="s">
        <v>2846</v>
      </c>
      <c r="D13" s="3051" t="s">
        <v>2858</v>
      </c>
      <c r="E13" s="3047" t="s">
        <v>2872</v>
      </c>
      <c r="F13" s="3047" t="s">
        <v>2851</v>
      </c>
      <c r="G13" s="3051" t="s">
        <v>2859</v>
      </c>
      <c r="H13" s="3051" t="s">
        <v>2860</v>
      </c>
      <c r="I13" s="3051" t="s">
        <v>2861</v>
      </c>
    </row>
    <row r="14" spans="1:9" ht="16.5">
      <c r="A14" s="3054" t="s">
        <v>2871</v>
      </c>
      <c r="B14" s="3051">
        <f>结果表!L38</f>
        <v>13823.19</v>
      </c>
      <c r="C14" s="3051">
        <f>结果表!K38</f>
        <v>4065.87</v>
      </c>
      <c r="D14" s="3051">
        <f ca="1">结果表!C42</f>
        <v>13953</v>
      </c>
      <c r="E14" s="3051">
        <f ca="1">ROUND(D14*10000/B14,0)</f>
        <v>10094</v>
      </c>
      <c r="F14" s="3051">
        <f ca="1">ROUND(D14*10000/C14,0)</f>
        <v>34317</v>
      </c>
      <c r="G14" s="3051" t="str">
        <f>结果表!C44</f>
        <v>——</v>
      </c>
      <c r="H14" s="3051" t="str">
        <f>结果表!C45</f>
        <v>——</v>
      </c>
      <c r="I14" s="3051" t="str">
        <f>结果表!C46</f>
        <v>——</v>
      </c>
    </row>
    <row r="15" spans="1:9" ht="16.5">
      <c r="A15" s="3054" t="s">
        <v>2862</v>
      </c>
      <c r="B15" s="3055"/>
      <c r="C15" s="3055"/>
      <c r="D15" s="3055"/>
      <c r="E15" s="3051" t="e">
        <f t="shared" ref="E15:E23" si="2">ROUND(D15*10000/B15,0)</f>
        <v>#DIV/0!</v>
      </c>
      <c r="F15" s="3051" t="e">
        <f t="shared" ref="F15:F23" si="3">ROUND(D15*10000/C15,0)</f>
        <v>#DIV/0!</v>
      </c>
      <c r="G15" s="3052"/>
      <c r="H15" s="3052"/>
      <c r="I15" s="3055"/>
    </row>
    <row r="16" spans="1:9" ht="16.5">
      <c r="A16" s="3054" t="s">
        <v>2863</v>
      </c>
      <c r="B16" s="3055"/>
      <c r="C16" s="3055"/>
      <c r="D16" s="3055"/>
      <c r="E16" s="3051" t="e">
        <f t="shared" si="2"/>
        <v>#DIV/0!</v>
      </c>
      <c r="F16" s="3051" t="e">
        <f t="shared" si="3"/>
        <v>#DIV/0!</v>
      </c>
      <c r="G16" s="3052"/>
      <c r="H16" s="3052"/>
      <c r="I16" s="3055"/>
    </row>
    <row r="17" spans="1:9" ht="16.5">
      <c r="A17" s="3054" t="s">
        <v>2864</v>
      </c>
      <c r="B17" s="3055"/>
      <c r="C17" s="3055"/>
      <c r="D17" s="3055"/>
      <c r="E17" s="3051" t="e">
        <f t="shared" si="2"/>
        <v>#DIV/0!</v>
      </c>
      <c r="F17" s="3051" t="e">
        <f t="shared" si="3"/>
        <v>#DIV/0!</v>
      </c>
      <c r="G17" s="3052"/>
      <c r="H17" s="3052"/>
      <c r="I17" s="3055"/>
    </row>
    <row r="18" spans="1:9" ht="16.5">
      <c r="A18" s="3054" t="s">
        <v>2865</v>
      </c>
      <c r="B18" s="3055"/>
      <c r="C18" s="3055"/>
      <c r="D18" s="3055"/>
      <c r="E18" s="3051" t="e">
        <f t="shared" si="2"/>
        <v>#DIV/0!</v>
      </c>
      <c r="F18" s="3051" t="e">
        <f t="shared" si="3"/>
        <v>#DIV/0!</v>
      </c>
      <c r="G18" s="3055"/>
      <c r="H18" s="3055"/>
      <c r="I18" s="3055"/>
    </row>
    <row r="19" spans="1:9" ht="16.5">
      <c r="A19" s="3054" t="s">
        <v>2866</v>
      </c>
      <c r="B19" s="3055"/>
      <c r="C19" s="3055"/>
      <c r="D19" s="3055"/>
      <c r="E19" s="3051" t="e">
        <f t="shared" si="2"/>
        <v>#DIV/0!</v>
      </c>
      <c r="F19" s="3051" t="e">
        <f t="shared" si="3"/>
        <v>#DIV/0!</v>
      </c>
      <c r="G19" s="3055"/>
      <c r="H19" s="3055"/>
      <c r="I19" s="3055"/>
    </row>
    <row r="20" spans="1:9" ht="16.5">
      <c r="A20" s="3054" t="s">
        <v>2867</v>
      </c>
      <c r="B20" s="3055"/>
      <c r="C20" s="3055"/>
      <c r="D20" s="3055"/>
      <c r="E20" s="3051" t="e">
        <f t="shared" si="2"/>
        <v>#DIV/0!</v>
      </c>
      <c r="F20" s="3051" t="e">
        <f t="shared" si="3"/>
        <v>#DIV/0!</v>
      </c>
      <c r="G20" s="3055"/>
      <c r="H20" s="3055"/>
      <c r="I20" s="3055"/>
    </row>
    <row r="21" spans="1:9" ht="16.5">
      <c r="A21" s="3054" t="s">
        <v>2868</v>
      </c>
      <c r="B21" s="3055"/>
      <c r="C21" s="3055"/>
      <c r="D21" s="3055"/>
      <c r="E21" s="3051" t="e">
        <f t="shared" si="2"/>
        <v>#DIV/0!</v>
      </c>
      <c r="F21" s="3051" t="e">
        <f t="shared" si="3"/>
        <v>#DIV/0!</v>
      </c>
      <c r="G21" s="3055"/>
      <c r="H21" s="3055"/>
      <c r="I21" s="3055"/>
    </row>
    <row r="22" spans="1:9" ht="16.5">
      <c r="A22" s="3054" t="s">
        <v>2869</v>
      </c>
      <c r="B22" s="3055"/>
      <c r="C22" s="3055"/>
      <c r="D22" s="3055"/>
      <c r="E22" s="3051" t="e">
        <f t="shared" si="2"/>
        <v>#DIV/0!</v>
      </c>
      <c r="F22" s="3051" t="e">
        <f t="shared" si="3"/>
        <v>#DIV/0!</v>
      </c>
      <c r="G22" s="3055"/>
      <c r="H22" s="3055"/>
      <c r="I22" s="3055"/>
    </row>
    <row r="23" spans="1:9" ht="16.5">
      <c r="A23" s="3054" t="s">
        <v>2870</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8"/>
  <sheetViews>
    <sheetView tabSelected="1" topLeftCell="A42" workbookViewId="0">
      <selection activeCell="F57" sqref="F57:F58"/>
    </sheetView>
  </sheetViews>
  <sheetFormatPr defaultRowHeight="13.5"/>
  <cols>
    <col min="1" max="1" width="11.25" style="3182" customWidth="1"/>
    <col min="2" max="2" width="13.125" style="3182" customWidth="1"/>
    <col min="3" max="3" width="14.375" style="3182" customWidth="1"/>
    <col min="4" max="4" width="9" style="3182"/>
    <col min="5" max="5" width="13.25" style="3182" bestFit="1" customWidth="1"/>
    <col min="6" max="6" width="10.75" style="3182" bestFit="1" customWidth="1"/>
    <col min="7" max="7" width="18.625" style="3182" customWidth="1"/>
    <col min="8" max="9" width="11.625" style="3182" bestFit="1" customWidth="1"/>
    <col min="10" max="12" width="9" style="3182"/>
    <col min="13" max="13" width="9.625" style="3182" bestFit="1" customWidth="1"/>
    <col min="14" max="16" width="9" style="3182"/>
    <col min="17" max="17" width="15.625" style="3182" customWidth="1"/>
    <col min="18" max="20" width="13.125" style="3182" customWidth="1"/>
    <col min="21" max="21" width="17.375" style="3182" customWidth="1"/>
    <col min="22" max="22" width="21.625" style="3182" customWidth="1"/>
    <col min="23" max="23" width="10.5" style="3182" bestFit="1" customWidth="1"/>
    <col min="24" max="16384" width="9" style="3182"/>
  </cols>
  <sheetData>
    <row r="1" spans="1:23">
      <c r="A1" s="3186" t="s">
        <v>3012</v>
      </c>
      <c r="B1" s="3186" t="s">
        <v>3034</v>
      </c>
      <c r="C1" s="3186" t="s">
        <v>3016</v>
      </c>
      <c r="D1" s="3186" t="s">
        <v>3017</v>
      </c>
      <c r="H1" s="3181" t="s">
        <v>3033</v>
      </c>
      <c r="I1" s="3184">
        <v>41764</v>
      </c>
      <c r="Q1" s="3181" t="s">
        <v>3019</v>
      </c>
      <c r="R1" s="3181" t="s">
        <v>3020</v>
      </c>
      <c r="S1" s="3181" t="s">
        <v>3025</v>
      </c>
      <c r="T1" s="3181"/>
      <c r="U1" s="3181"/>
      <c r="V1" s="3181" t="s">
        <v>3021</v>
      </c>
      <c r="W1" s="3181" t="s">
        <v>3022</v>
      </c>
    </row>
    <row r="2" spans="1:23">
      <c r="A2" s="3185" t="s">
        <v>3013</v>
      </c>
      <c r="B2" s="3187">
        <v>10164</v>
      </c>
      <c r="C2" s="3187">
        <v>10040.61</v>
      </c>
      <c r="D2" s="3187">
        <f>C2-B2</f>
        <v>-123.38999999999942</v>
      </c>
      <c r="H2" s="3181" t="s">
        <v>3032</v>
      </c>
      <c r="I2" s="3183">
        <v>42886</v>
      </c>
      <c r="J2" s="3181"/>
      <c r="K2" s="3181"/>
      <c r="Q2" s="3182">
        <v>1</v>
      </c>
      <c r="R2" s="3182">
        <v>4067.21</v>
      </c>
      <c r="V2" s="3182">
        <v>400</v>
      </c>
      <c r="W2" s="3183">
        <v>40305</v>
      </c>
    </row>
    <row r="3" spans="1:23">
      <c r="A3" s="3188" t="s">
        <v>3014</v>
      </c>
      <c r="B3" s="3189">
        <v>1319.25</v>
      </c>
      <c r="C3" s="3189">
        <v>1319.25</v>
      </c>
      <c r="D3" s="3189">
        <f>C3-B3</f>
        <v>0</v>
      </c>
      <c r="Q3" s="3181" t="s">
        <v>3024</v>
      </c>
      <c r="S3" s="3182">
        <v>2934.22</v>
      </c>
      <c r="T3" s="3181" t="s">
        <v>3026</v>
      </c>
      <c r="U3" s="3181"/>
    </row>
    <row r="4" spans="1:23">
      <c r="A4" s="3190" t="s">
        <v>3015</v>
      </c>
      <c r="B4" s="3191">
        <v>1511.38</v>
      </c>
      <c r="C4" s="3191">
        <v>2463.33</v>
      </c>
      <c r="D4" s="3191">
        <f>C4-B4</f>
        <v>951.94999999999982</v>
      </c>
    </row>
    <row r="5" spans="1:23">
      <c r="A5" s="3181" t="s">
        <v>3018</v>
      </c>
    </row>
    <row r="6" spans="1:23">
      <c r="A6" s="3181"/>
      <c r="C6" s="3181"/>
    </row>
    <row r="7" spans="1:23">
      <c r="Q7" s="3181" t="s">
        <v>3023</v>
      </c>
      <c r="R7" s="3182">
        <v>4065.87</v>
      </c>
      <c r="S7" s="3182">
        <v>15000</v>
      </c>
      <c r="T7" s="3181" t="s">
        <v>3027</v>
      </c>
      <c r="U7" s="3181" t="s">
        <v>3028</v>
      </c>
      <c r="V7" s="3182">
        <v>586</v>
      </c>
      <c r="W7" s="3184">
        <v>41661</v>
      </c>
    </row>
    <row r="8" spans="1:23">
      <c r="T8" s="3181" t="s">
        <v>3029</v>
      </c>
      <c r="U8" s="3181" t="s">
        <v>3030</v>
      </c>
      <c r="V8" s="3181">
        <v>196</v>
      </c>
    </row>
    <row r="9" spans="1:23" ht="22.5">
      <c r="A9" s="3389" t="s">
        <v>3037</v>
      </c>
      <c r="B9" s="3389"/>
      <c r="C9" s="3389"/>
      <c r="D9" s="3389"/>
      <c r="E9" s="3389"/>
      <c r="F9" s="3389"/>
      <c r="G9" s="3389"/>
      <c r="H9" s="3389"/>
      <c r="I9" s="3389"/>
      <c r="J9" s="3389"/>
      <c r="K9" s="3192"/>
      <c r="U9" s="3181" t="s">
        <v>3031</v>
      </c>
      <c r="V9" s="3182">
        <v>196</v>
      </c>
    </row>
    <row r="10" spans="1:23" ht="57">
      <c r="A10" s="3193" t="s">
        <v>3038</v>
      </c>
      <c r="B10" s="3193" t="s">
        <v>3039</v>
      </c>
      <c r="C10" s="3193" t="s">
        <v>3040</v>
      </c>
      <c r="D10" s="3193" t="s">
        <v>3041</v>
      </c>
      <c r="E10" s="3193" t="s">
        <v>3042</v>
      </c>
      <c r="F10" s="3193" t="s">
        <v>3043</v>
      </c>
      <c r="G10" s="3193" t="s">
        <v>3044</v>
      </c>
      <c r="H10" s="3193" t="s">
        <v>3045</v>
      </c>
      <c r="I10" s="3193" t="s">
        <v>3046</v>
      </c>
      <c r="J10" s="3193"/>
      <c r="K10" s="3193" t="s">
        <v>3044</v>
      </c>
    </row>
    <row r="11" spans="1:23">
      <c r="A11" s="3385" t="s">
        <v>3049</v>
      </c>
      <c r="B11" s="3194" t="s">
        <v>3047</v>
      </c>
      <c r="C11" s="3226">
        <f ca="1">基准地价!C29</f>
        <v>10907</v>
      </c>
      <c r="D11" s="3226">
        <v>0.3</v>
      </c>
      <c r="E11" s="3387">
        <f ca="1">结果表!G20</f>
        <v>11168</v>
      </c>
      <c r="F11" s="3387"/>
      <c r="G11" s="3387">
        <f ca="1">ROUND(结果表!G20*0.25,0)</f>
        <v>2792</v>
      </c>
      <c r="H11" s="3387">
        <f ca="1">G11*D2</f>
        <v>-344504.87999999837</v>
      </c>
      <c r="I11" s="3226"/>
      <c r="J11" s="3226"/>
      <c r="K11" s="3227"/>
      <c r="S11" s="3182">
        <v>13823.19</v>
      </c>
    </row>
    <row r="12" spans="1:23">
      <c r="A12" s="3386"/>
      <c r="B12" s="3194" t="s">
        <v>3035</v>
      </c>
      <c r="C12" s="3226">
        <f ca="1">ROUND('剩余法-现房'!C32,0)</f>
        <v>17111</v>
      </c>
      <c r="D12" s="3226">
        <f>1-D11</f>
        <v>0.7</v>
      </c>
      <c r="E12" s="3388"/>
      <c r="F12" s="3388"/>
      <c r="G12" s="3388"/>
      <c r="H12" s="3388"/>
      <c r="I12" s="3226"/>
      <c r="J12" s="3226"/>
      <c r="K12" s="3227"/>
    </row>
    <row r="13" spans="1:23" hidden="1">
      <c r="A13" s="3385" t="s">
        <v>3050</v>
      </c>
      <c r="B13" s="3194" t="s">
        <v>3047</v>
      </c>
      <c r="C13" s="3226">
        <f ca="1">ROUND(C11*0.25,0)</f>
        <v>2727</v>
      </c>
      <c r="D13" s="3226">
        <v>0.6</v>
      </c>
      <c r="E13" s="3387">
        <f ca="1">ROUND(C13*D13+C14*D14,0)</f>
        <v>3347</v>
      </c>
      <c r="F13" s="3387"/>
      <c r="G13" s="3387">
        <f ca="1">ROUND(E13*0.25,0)</f>
        <v>837</v>
      </c>
      <c r="H13" s="3387">
        <f ca="1">G13*D3</f>
        <v>0</v>
      </c>
      <c r="I13" s="3226"/>
      <c r="J13" s="3226"/>
      <c r="K13" s="3227"/>
    </row>
    <row r="14" spans="1:23" hidden="1">
      <c r="A14" s="3386"/>
      <c r="B14" s="3194" t="s">
        <v>3035</v>
      </c>
      <c r="C14" s="3226">
        <f ca="1">ROUND(C12*0.25,0)</f>
        <v>4278</v>
      </c>
      <c r="D14" s="3226">
        <v>0.4</v>
      </c>
      <c r="E14" s="3388"/>
      <c r="F14" s="3388"/>
      <c r="G14" s="3388"/>
      <c r="H14" s="3388"/>
      <c r="I14" s="3226"/>
      <c r="J14" s="3226"/>
      <c r="K14" s="3227"/>
    </row>
    <row r="15" spans="1:23">
      <c r="A15" s="3381" t="s">
        <v>3051</v>
      </c>
      <c r="B15" s="3195" t="s">
        <v>3048</v>
      </c>
      <c r="C15" s="3228">
        <f ca="1">基准地价!C39</f>
        <v>2181</v>
      </c>
      <c r="D15" s="3228">
        <f>D11</f>
        <v>0.3</v>
      </c>
      <c r="E15" s="3383">
        <f ca="1">ROUND(C15*D15+C16*D16,0)</f>
        <v>3050</v>
      </c>
      <c r="F15" s="3383"/>
      <c r="G15" s="3383">
        <f ca="1">ROUND(E15*0.25,0)</f>
        <v>763</v>
      </c>
      <c r="H15" s="3383">
        <f ca="1">G15*D4</f>
        <v>726337.84999999986</v>
      </c>
      <c r="I15" s="3228"/>
      <c r="J15" s="3228"/>
      <c r="K15" s="3229"/>
    </row>
    <row r="16" spans="1:23">
      <c r="A16" s="3382"/>
      <c r="B16" s="3195" t="s">
        <v>3036</v>
      </c>
      <c r="C16" s="3230">
        <f ca="1">ROUND(C12*0.2,0)</f>
        <v>3422</v>
      </c>
      <c r="D16" s="3230">
        <f>D12</f>
        <v>0.7</v>
      </c>
      <c r="E16" s="3384"/>
      <c r="F16" s="3384"/>
      <c r="G16" s="3384"/>
      <c r="H16" s="3384"/>
      <c r="I16" s="3230"/>
      <c r="J16" s="3230"/>
      <c r="K16" s="3189"/>
    </row>
    <row r="17" spans="1:13">
      <c r="H17" s="3182">
        <f ca="1">H15+H11</f>
        <v>381832.97000000149</v>
      </c>
    </row>
    <row r="25" spans="1:13" ht="57.75" customHeight="1" thickBot="1">
      <c r="A25" s="3196" t="s">
        <v>3062</v>
      </c>
      <c r="B25"/>
      <c r="C25"/>
      <c r="D25"/>
      <c r="E25"/>
      <c r="F25"/>
      <c r="I25" s="2877" t="s">
        <v>3073</v>
      </c>
      <c r="J25"/>
      <c r="K25"/>
      <c r="L25"/>
      <c r="M25"/>
    </row>
    <row r="26" spans="1:13" ht="57">
      <c r="A26" s="3333" t="s">
        <v>3011</v>
      </c>
      <c r="B26" s="3333" t="s">
        <v>3063</v>
      </c>
      <c r="C26" s="3197" t="s">
        <v>3064</v>
      </c>
      <c r="D26" s="3197" t="s">
        <v>3065</v>
      </c>
      <c r="E26" s="3197" t="s">
        <v>3066</v>
      </c>
      <c r="F26" s="3197" t="s">
        <v>3067</v>
      </c>
      <c r="I26" s="3333" t="s">
        <v>3011</v>
      </c>
      <c r="J26" s="3333" t="s">
        <v>3063</v>
      </c>
      <c r="K26" s="3197" t="s">
        <v>3074</v>
      </c>
      <c r="L26" s="3197" t="s">
        <v>3075</v>
      </c>
      <c r="M26" s="3333" t="s">
        <v>3076</v>
      </c>
    </row>
    <row r="27" spans="1:13" ht="32.25" thickBot="1">
      <c r="A27" s="3376"/>
      <c r="B27" s="3376"/>
      <c r="C27" s="3198" t="s">
        <v>3068</v>
      </c>
      <c r="D27" s="3198" t="s">
        <v>3069</v>
      </c>
      <c r="E27" s="3198" t="s">
        <v>3070</v>
      </c>
      <c r="F27" s="3198" t="s">
        <v>3071</v>
      </c>
      <c r="I27" s="3334"/>
      <c r="J27" s="3375"/>
      <c r="K27" s="3199" t="s">
        <v>3077</v>
      </c>
      <c r="L27" s="3199" t="s">
        <v>3078</v>
      </c>
      <c r="M27" s="3375"/>
    </row>
    <row r="28" spans="1:13" ht="32.25" thickBot="1">
      <c r="A28" s="3376"/>
      <c r="B28" s="3334"/>
      <c r="C28" s="3199" t="s">
        <v>3072</v>
      </c>
      <c r="D28" s="3199" t="s">
        <v>3071</v>
      </c>
      <c r="E28" s="3200"/>
      <c r="F28" s="3200"/>
      <c r="I28" s="3337" t="s">
        <v>2994</v>
      </c>
      <c r="J28" s="3340" t="s">
        <v>3132</v>
      </c>
      <c r="K28" s="3342">
        <f>C29</f>
        <v>-123.38999999999942</v>
      </c>
      <c r="L28" s="3335">
        <f ca="1">G11</f>
        <v>2792</v>
      </c>
      <c r="M28" s="3322">
        <f ca="1">ROUND(K28*L28,0)/10000</f>
        <v>-34.450499999999998</v>
      </c>
    </row>
    <row r="29" spans="1:13" ht="15">
      <c r="A29" s="3378" t="s">
        <v>3130</v>
      </c>
      <c r="B29" s="3357" t="s">
        <v>3131</v>
      </c>
      <c r="C29" s="3342">
        <f>D2</f>
        <v>-123.38999999999942</v>
      </c>
      <c r="D29" s="3335">
        <f ca="1">E11</f>
        <v>11168</v>
      </c>
      <c r="E29" s="3335">
        <f ca="1">ROUND(C29*D29,0)/10000</f>
        <v>-137.80199999999999</v>
      </c>
      <c r="F29" s="3214" t="s">
        <v>3129</v>
      </c>
      <c r="I29" s="3338"/>
      <c r="J29" s="3338"/>
      <c r="K29" s="3343"/>
      <c r="L29" s="3323"/>
      <c r="M29" s="3323"/>
    </row>
    <row r="30" spans="1:13" ht="15.75" thickBot="1">
      <c r="A30" s="3379"/>
      <c r="B30" s="3358"/>
      <c r="C30" s="3345"/>
      <c r="D30" s="3336"/>
      <c r="E30" s="3336"/>
      <c r="F30" s="3215"/>
      <c r="I30" s="3338"/>
      <c r="J30" s="3338"/>
      <c r="K30" s="3343"/>
      <c r="L30" s="3323"/>
      <c r="M30" s="3323"/>
    </row>
    <row r="31" spans="1:13" ht="15" customHeight="1" thickBot="1">
      <c r="A31" s="3378" t="s">
        <v>2995</v>
      </c>
      <c r="B31" s="3357" t="s">
        <v>3133</v>
      </c>
      <c r="C31" s="3342">
        <f>D3</f>
        <v>0</v>
      </c>
      <c r="D31" s="3335">
        <f ca="1">E13</f>
        <v>3347</v>
      </c>
      <c r="E31" s="3335">
        <f ca="1">ROUND(C31*D31,0)/10000</f>
        <v>0</v>
      </c>
      <c r="F31" s="3342" t="s">
        <v>2820</v>
      </c>
      <c r="I31" s="3339"/>
      <c r="J31" s="3341"/>
      <c r="K31" s="3345"/>
      <c r="L31" s="3324"/>
      <c r="M31" s="3324"/>
    </row>
    <row r="32" spans="1:13" ht="15" customHeight="1">
      <c r="A32" s="3380"/>
      <c r="B32" s="3377"/>
      <c r="C32" s="3343"/>
      <c r="D32" s="3323"/>
      <c r="E32" s="3323"/>
      <c r="F32" s="3343"/>
      <c r="I32" s="3337" t="s">
        <v>2995</v>
      </c>
      <c r="J32" s="3340" t="s">
        <v>3134</v>
      </c>
      <c r="K32" s="3342">
        <v>0</v>
      </c>
      <c r="L32" s="3322">
        <f ca="1">G13</f>
        <v>837</v>
      </c>
      <c r="M32" s="3322">
        <v>0</v>
      </c>
    </row>
    <row r="33" spans="1:13" ht="15" customHeight="1">
      <c r="A33" s="3380"/>
      <c r="B33" s="3377"/>
      <c r="C33" s="3343"/>
      <c r="D33" s="3323"/>
      <c r="E33" s="3323"/>
      <c r="F33" s="3343"/>
      <c r="I33" s="3338"/>
      <c r="J33" s="3338"/>
      <c r="K33" s="3343"/>
      <c r="L33" s="3323"/>
      <c r="M33" s="3323"/>
    </row>
    <row r="34" spans="1:13" ht="15" customHeight="1" thickBot="1">
      <c r="A34" s="3380"/>
      <c r="B34" s="3377"/>
      <c r="C34" s="3343"/>
      <c r="D34" s="3323"/>
      <c r="E34" s="3323"/>
      <c r="F34" s="3343"/>
      <c r="I34" s="3338"/>
      <c r="J34" s="3341"/>
      <c r="K34" s="3343"/>
      <c r="L34" s="3324"/>
      <c r="M34" s="3324"/>
    </row>
    <row r="35" spans="1:13" ht="15.75" customHeight="1" thickBot="1">
      <c r="A35" s="3380"/>
      <c r="B35" s="3358"/>
      <c r="C35" s="3345"/>
      <c r="D35" s="3336"/>
      <c r="E35" s="3336"/>
      <c r="F35" s="3345"/>
      <c r="I35" s="3338"/>
      <c r="J35" s="3340" t="s">
        <v>3136</v>
      </c>
      <c r="K35" s="3343">
        <f>C36</f>
        <v>951.94999999999982</v>
      </c>
      <c r="L35" s="3322">
        <f ca="1">G15</f>
        <v>763</v>
      </c>
      <c r="M35" s="3322">
        <f ca="1">ROUND(K35*L35,0)/10000</f>
        <v>72.633799999999994</v>
      </c>
    </row>
    <row r="36" spans="1:13">
      <c r="A36" s="3380"/>
      <c r="B36" s="3357" t="s">
        <v>3135</v>
      </c>
      <c r="C36" s="3342">
        <f>D4</f>
        <v>951.94999999999982</v>
      </c>
      <c r="D36" s="3335">
        <f ca="1">E15</f>
        <v>3050</v>
      </c>
      <c r="E36" s="3335">
        <f ca="1">ROUND(C36*D36,0)/10000</f>
        <v>290.34480000000002</v>
      </c>
      <c r="F36" s="3342" t="s">
        <v>2820</v>
      </c>
      <c r="I36" s="3338"/>
      <c r="J36" s="3338"/>
      <c r="K36" s="3343"/>
      <c r="L36" s="3323"/>
      <c r="M36" s="3323"/>
    </row>
    <row r="37" spans="1:13" ht="14.25" customHeight="1" thickBot="1">
      <c r="A37" s="3379"/>
      <c r="B37" s="3358"/>
      <c r="C37" s="3345"/>
      <c r="D37" s="3336"/>
      <c r="E37" s="3336"/>
      <c r="F37" s="3345"/>
      <c r="I37" s="3339"/>
      <c r="J37" s="3341"/>
      <c r="K37" s="3344"/>
      <c r="L37" s="3324"/>
      <c r="M37" s="3324"/>
    </row>
    <row r="38" spans="1:13" ht="15.75" customHeight="1" thickBot="1">
      <c r="A38" s="3327" t="s">
        <v>24</v>
      </c>
      <c r="B38" s="3374"/>
      <c r="C38" s="3201">
        <f>C29+C31+C36</f>
        <v>828.5600000000004</v>
      </c>
      <c r="D38" s="3201" t="s">
        <v>2820</v>
      </c>
      <c r="E38" s="3201">
        <f ca="1">E29+E31+E36</f>
        <v>152.54280000000003</v>
      </c>
      <c r="F38" s="3201" t="s">
        <v>2820</v>
      </c>
      <c r="I38" s="3326" t="s">
        <v>24</v>
      </c>
      <c r="J38" s="3368"/>
      <c r="K38" s="3370">
        <v>124.74</v>
      </c>
      <c r="L38" s="3322"/>
      <c r="M38" s="3372">
        <f ca="1">M28+M35</f>
        <v>38.183299999999996</v>
      </c>
    </row>
    <row r="39" spans="1:13" ht="30.75" customHeight="1">
      <c r="I39" s="3326"/>
      <c r="J39" s="3368"/>
      <c r="K39" s="3371"/>
      <c r="L39" s="3323"/>
      <c r="M39" s="3373"/>
    </row>
    <row r="40" spans="1:13" ht="15.75" thickBot="1">
      <c r="I40" s="3327"/>
      <c r="J40" s="3369"/>
      <c r="K40" s="3202" t="s">
        <v>3079</v>
      </c>
      <c r="L40" s="3203"/>
      <c r="M40" s="3204" t="s">
        <v>3137</v>
      </c>
    </row>
    <row r="41" spans="1:13" ht="15">
      <c r="I41" s="3231"/>
      <c r="J41" s="3231"/>
      <c r="K41" s="3231"/>
      <c r="L41" s="3232"/>
      <c r="M41" s="3233"/>
    </row>
    <row r="42" spans="1:13" ht="15">
      <c r="I42" s="3231"/>
      <c r="J42" s="3231"/>
      <c r="K42" s="3231"/>
      <c r="L42" s="3232"/>
      <c r="M42" s="3233"/>
    </row>
    <row r="44" spans="1:13" ht="15" thickBot="1">
      <c r="A44" s="3206" t="s">
        <v>3080</v>
      </c>
      <c r="B44"/>
      <c r="C44"/>
      <c r="D44"/>
      <c r="E44"/>
      <c r="F44"/>
      <c r="G44"/>
    </row>
    <row r="45" spans="1:13" ht="29.25" thickBot="1">
      <c r="A45" s="3355" t="s">
        <v>3011</v>
      </c>
      <c r="B45" s="3360" t="s">
        <v>3063</v>
      </c>
      <c r="C45" s="3361"/>
      <c r="D45" s="3207" t="s">
        <v>3074</v>
      </c>
      <c r="E45" s="3208" t="s">
        <v>3081</v>
      </c>
      <c r="F45" s="3208" t="s">
        <v>3080</v>
      </c>
      <c r="G45" s="3208" t="s">
        <v>3067</v>
      </c>
    </row>
    <row r="46" spans="1:13" ht="14.25">
      <c r="A46" s="3359"/>
      <c r="B46" s="3362"/>
      <c r="C46" s="3363"/>
      <c r="D46" s="3366" t="s">
        <v>3082</v>
      </c>
      <c r="E46" s="3366" t="s">
        <v>3083</v>
      </c>
      <c r="F46" s="3209" t="s">
        <v>3066</v>
      </c>
      <c r="G46" s="3366" t="s">
        <v>3083</v>
      </c>
    </row>
    <row r="47" spans="1:13" ht="15" thickBot="1">
      <c r="A47" s="3356"/>
      <c r="B47" s="3364"/>
      <c r="C47" s="3365"/>
      <c r="D47" s="3367"/>
      <c r="E47" s="3367"/>
      <c r="F47" s="3210" t="s">
        <v>3070</v>
      </c>
      <c r="G47" s="3367"/>
    </row>
    <row r="48" spans="1:13" ht="15.75" thickBot="1">
      <c r="A48" s="3205" t="s">
        <v>2994</v>
      </c>
      <c r="B48" s="3202" t="s">
        <v>3084</v>
      </c>
      <c r="C48" s="3202" t="s">
        <v>3138</v>
      </c>
      <c r="D48" s="3201">
        <f>C29</f>
        <v>-123.38999999999942</v>
      </c>
      <c r="E48" s="3211">
        <f ca="1">D29</f>
        <v>11168</v>
      </c>
      <c r="F48" s="3211">
        <f ca="1">E29</f>
        <v>-137.80199999999999</v>
      </c>
      <c r="G48" s="3201" t="s">
        <v>2820</v>
      </c>
    </row>
    <row r="49" spans="1:7" ht="16.5" thickBot="1">
      <c r="A49" s="3346" t="s">
        <v>27</v>
      </c>
      <c r="B49" s="3347"/>
      <c r="C49" s="3348"/>
      <c r="D49" s="3212">
        <f>C29</f>
        <v>-123.38999999999942</v>
      </c>
      <c r="E49" s="3201" t="s">
        <v>2820</v>
      </c>
      <c r="F49" s="3213">
        <f ca="1">F48</f>
        <v>-137.80199999999999</v>
      </c>
      <c r="G49" s="3201" t="s">
        <v>2820</v>
      </c>
    </row>
    <row r="50" spans="1:7" ht="29.25" thickBot="1">
      <c r="A50" s="3355" t="s">
        <v>3011</v>
      </c>
      <c r="B50" s="3349" t="s">
        <v>3063</v>
      </c>
      <c r="C50" s="3331"/>
      <c r="D50" s="3199" t="s">
        <v>3074</v>
      </c>
      <c r="E50" s="3199" t="s">
        <v>3085</v>
      </c>
      <c r="F50" s="3199" t="s">
        <v>3080</v>
      </c>
      <c r="G50" s="3199" t="s">
        <v>3086</v>
      </c>
    </row>
    <row r="51" spans="1:7" ht="57.75" thickBot="1">
      <c r="A51" s="3356"/>
      <c r="B51" s="3351"/>
      <c r="C51" s="3332"/>
      <c r="D51" s="3199" t="s">
        <v>3077</v>
      </c>
      <c r="E51" s="3199" t="s">
        <v>3078</v>
      </c>
      <c r="F51" s="3199" t="s">
        <v>3076</v>
      </c>
      <c r="G51" s="3199" t="s">
        <v>3078</v>
      </c>
    </row>
    <row r="52" spans="1:7" ht="15" thickBot="1">
      <c r="A52" s="3325" t="s">
        <v>2995</v>
      </c>
      <c r="B52" s="3328" t="s">
        <v>3084</v>
      </c>
      <c r="C52" s="3331" t="s">
        <v>3139</v>
      </c>
      <c r="D52" s="3333">
        <f>C31</f>
        <v>0</v>
      </c>
      <c r="E52" s="3333">
        <f ca="1">L32</f>
        <v>837</v>
      </c>
      <c r="F52" s="3333">
        <v>0</v>
      </c>
      <c r="G52" s="3216"/>
    </row>
    <row r="53" spans="1:7" ht="15" thickBot="1">
      <c r="A53" s="3326"/>
      <c r="B53" s="3329"/>
      <c r="C53" s="3332"/>
      <c r="D53" s="3334"/>
      <c r="E53" s="3334"/>
      <c r="F53" s="3334"/>
      <c r="G53" s="3216"/>
    </row>
    <row r="54" spans="1:7" ht="15.75" thickBot="1">
      <c r="A54" s="3326"/>
      <c r="B54" s="3329"/>
      <c r="C54" s="3357" t="s">
        <v>3140</v>
      </c>
      <c r="D54" s="3342">
        <f>C36</f>
        <v>951.94999999999982</v>
      </c>
      <c r="E54" s="3342">
        <f ca="1">L35</f>
        <v>763</v>
      </c>
      <c r="F54" s="3335">
        <f ca="1">M35</f>
        <v>72.633799999999994</v>
      </c>
      <c r="G54" s="3201" t="s">
        <v>2820</v>
      </c>
    </row>
    <row r="55" spans="1:7" ht="15.75" thickBot="1">
      <c r="A55" s="3327"/>
      <c r="B55" s="3330"/>
      <c r="C55" s="3358"/>
      <c r="D55" s="3345"/>
      <c r="E55" s="3345"/>
      <c r="F55" s="3336"/>
      <c r="G55" s="3201"/>
    </row>
    <row r="56" spans="1:7" ht="16.5" thickBot="1">
      <c r="A56" s="3346" t="s">
        <v>27</v>
      </c>
      <c r="B56" s="3347"/>
      <c r="C56" s="3348"/>
      <c r="D56" s="3212">
        <f>D54+D52</f>
        <v>951.94999999999982</v>
      </c>
      <c r="E56" s="3212" t="s">
        <v>2820</v>
      </c>
      <c r="F56" s="3213">
        <f ca="1">F54</f>
        <v>72.633799999999994</v>
      </c>
      <c r="G56" s="3201" t="s">
        <v>2820</v>
      </c>
    </row>
    <row r="57" spans="1:7" ht="15.75" customHeight="1">
      <c r="A57" s="3349" t="s">
        <v>24</v>
      </c>
      <c r="B57" s="3350"/>
      <c r="C57" s="3331"/>
      <c r="D57" s="3353">
        <f>D49+D56</f>
        <v>828.5600000000004</v>
      </c>
      <c r="E57" s="3342" t="s">
        <v>2820</v>
      </c>
      <c r="F57" s="3353">
        <f ca="1">F49+F56</f>
        <v>-65.168199999999999</v>
      </c>
      <c r="G57" s="3342" t="s">
        <v>2820</v>
      </c>
    </row>
    <row r="58" spans="1:7" ht="14.25" thickBot="1">
      <c r="A58" s="3351"/>
      <c r="B58" s="3352"/>
      <c r="C58" s="3332"/>
      <c r="D58" s="3354"/>
      <c r="E58" s="3345"/>
      <c r="F58" s="3354"/>
      <c r="G58" s="3345"/>
    </row>
  </sheetData>
  <mergeCells count="80">
    <mergeCell ref="A9:J9"/>
    <mergeCell ref="A11:A12"/>
    <mergeCell ref="E11:E12"/>
    <mergeCell ref="F11:F12"/>
    <mergeCell ref="G11:G12"/>
    <mergeCell ref="H11:H12"/>
    <mergeCell ref="A13:A14"/>
    <mergeCell ref="E13:E14"/>
    <mergeCell ref="F13:F14"/>
    <mergeCell ref="G13:G14"/>
    <mergeCell ref="H13:H14"/>
    <mergeCell ref="A15:A16"/>
    <mergeCell ref="E15:E16"/>
    <mergeCell ref="F15:F16"/>
    <mergeCell ref="G15:G16"/>
    <mergeCell ref="H15:H16"/>
    <mergeCell ref="A26:A28"/>
    <mergeCell ref="B26:B28"/>
    <mergeCell ref="B31:B35"/>
    <mergeCell ref="C31:C35"/>
    <mergeCell ref="D31:D35"/>
    <mergeCell ref="B29:B30"/>
    <mergeCell ref="C29:C30"/>
    <mergeCell ref="D29:D30"/>
    <mergeCell ref="A29:A30"/>
    <mergeCell ref="A31:A37"/>
    <mergeCell ref="E36:E37"/>
    <mergeCell ref="I26:I27"/>
    <mergeCell ref="J26:J27"/>
    <mergeCell ref="M26:M27"/>
    <mergeCell ref="I28:I31"/>
    <mergeCell ref="J28:J31"/>
    <mergeCell ref="L28:L31"/>
    <mergeCell ref="K28:K31"/>
    <mergeCell ref="F36:F37"/>
    <mergeCell ref="E29:E30"/>
    <mergeCell ref="D46:D47"/>
    <mergeCell ref="E46:E47"/>
    <mergeCell ref="G46:G47"/>
    <mergeCell ref="A49:C49"/>
    <mergeCell ref="M28:M31"/>
    <mergeCell ref="J35:J37"/>
    <mergeCell ref="I38:J40"/>
    <mergeCell ref="K38:K39"/>
    <mergeCell ref="L38:L39"/>
    <mergeCell ref="M38:M39"/>
    <mergeCell ref="A38:B38"/>
    <mergeCell ref="E31:E35"/>
    <mergeCell ref="F31:F35"/>
    <mergeCell ref="B36:B37"/>
    <mergeCell ref="C36:C37"/>
    <mergeCell ref="D36:D37"/>
    <mergeCell ref="A50:A51"/>
    <mergeCell ref="B50:C51"/>
    <mergeCell ref="C54:C55"/>
    <mergeCell ref="A45:A47"/>
    <mergeCell ref="B45:C47"/>
    <mergeCell ref="A56:C56"/>
    <mergeCell ref="A57:C58"/>
    <mergeCell ref="E57:E58"/>
    <mergeCell ref="G57:G58"/>
    <mergeCell ref="D54:D55"/>
    <mergeCell ref="D57:D58"/>
    <mergeCell ref="F57:F58"/>
    <mergeCell ref="L32:L34"/>
    <mergeCell ref="L35:L37"/>
    <mergeCell ref="M32:M34"/>
    <mergeCell ref="M35:M37"/>
    <mergeCell ref="A52:A55"/>
    <mergeCell ref="B52:B55"/>
    <mergeCell ref="C52:C53"/>
    <mergeCell ref="D52:D53"/>
    <mergeCell ref="E52:E53"/>
    <mergeCell ref="F52:F53"/>
    <mergeCell ref="F54:F55"/>
    <mergeCell ref="I32:I37"/>
    <mergeCell ref="J32:J34"/>
    <mergeCell ref="K32:K34"/>
    <mergeCell ref="K35:K37"/>
    <mergeCell ref="E54:E55"/>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5" sqref="D5:D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3008</v>
      </c>
      <c r="E1" s="1806" t="s">
        <v>2060</v>
      </c>
      <c r="F1" s="1808" t="s">
        <v>3009</v>
      </c>
      <c r="G1" s="311"/>
      <c r="H1" s="311"/>
      <c r="I1" s="311"/>
      <c r="J1" s="2030"/>
      <c r="K1" s="2030"/>
      <c r="L1" s="2030"/>
      <c r="M1" s="2030"/>
      <c r="N1" s="2030"/>
      <c r="O1" s="2030"/>
      <c r="P1" s="2030"/>
      <c r="Q1" s="2030"/>
      <c r="R1" s="2030"/>
      <c r="S1" s="2030"/>
      <c r="T1" s="2030"/>
      <c r="U1" s="2030"/>
      <c r="V1" s="2030"/>
    </row>
    <row r="2" spans="1:22" ht="21.75" customHeight="1" thickBot="1">
      <c r="A2" s="3426" t="str">
        <f>项目基本情况!K2</f>
        <v>北京市出让国有建设用地使用权</v>
      </c>
      <c r="B2" s="3427"/>
      <c r="C2" s="3428"/>
      <c r="D2" s="3428"/>
      <c r="E2" s="3428"/>
      <c r="F2" s="3428"/>
      <c r="G2" s="3427"/>
      <c r="H2" s="3427"/>
      <c r="I2" s="3429"/>
      <c r="J2" s="2031"/>
      <c r="K2" s="2030"/>
      <c r="L2" s="2030"/>
      <c r="M2" s="2030"/>
      <c r="N2" s="2030"/>
      <c r="O2" s="2030"/>
      <c r="P2" s="2030"/>
      <c r="Q2" s="2030"/>
      <c r="R2" s="2030"/>
      <c r="S2" s="2030"/>
      <c r="T2" s="2030"/>
      <c r="U2" s="2030"/>
      <c r="V2" s="2030"/>
    </row>
    <row r="3" spans="1:22" ht="14.25">
      <c r="A3" s="3419" t="s">
        <v>298</v>
      </c>
      <c r="B3" s="3420"/>
      <c r="C3" s="3420"/>
      <c r="D3" s="3420"/>
      <c r="E3" s="3420"/>
      <c r="F3" s="3420"/>
      <c r="G3" s="3420"/>
      <c r="H3" s="3420"/>
      <c r="I3" s="3420"/>
      <c r="J3" s="2031"/>
      <c r="K3" s="2030"/>
      <c r="L3" s="2030"/>
      <c r="M3" s="2030"/>
      <c r="N3" s="2030"/>
      <c r="O3" s="2030"/>
      <c r="P3" s="2030"/>
      <c r="Q3" s="2030"/>
      <c r="R3" s="2030"/>
      <c r="S3" s="2030"/>
      <c r="T3" s="2030"/>
      <c r="U3" s="2030"/>
      <c r="V3" s="2030"/>
    </row>
    <row r="4" spans="1:22" ht="14.25">
      <c r="A4" s="258" t="s">
        <v>299</v>
      </c>
      <c r="B4" s="259" t="s">
        <v>300</v>
      </c>
      <c r="C4" s="260" t="s">
        <v>3010</v>
      </c>
      <c r="D4" s="260" t="s">
        <v>2952</v>
      </c>
      <c r="E4" s="3391" t="s">
        <v>301</v>
      </c>
      <c r="F4" s="3392"/>
      <c r="G4" s="3392"/>
      <c r="H4" s="3392"/>
      <c r="I4" s="3421"/>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30"/>
      <c r="O4" s="2030"/>
      <c r="P4" s="2030"/>
      <c r="Q4" s="2030"/>
      <c r="R4" s="2030"/>
      <c r="S4" s="2030"/>
      <c r="T4" s="2030"/>
      <c r="U4" s="2030"/>
      <c r="V4" s="2030"/>
    </row>
    <row r="5" spans="1:22" ht="14.25">
      <c r="A5" s="3390" t="s">
        <v>302</v>
      </c>
      <c r="B5" s="3416">
        <v>25</v>
      </c>
      <c r="C5" s="3414">
        <v>4</v>
      </c>
      <c r="D5" s="3418">
        <v>6</v>
      </c>
      <c r="E5" s="261" t="s">
        <v>303</v>
      </c>
      <c r="F5" s="262"/>
      <c r="G5" s="262"/>
      <c r="H5" s="262"/>
      <c r="I5" s="263"/>
      <c r="J5" s="2031"/>
      <c r="K5" s="2030"/>
      <c r="L5" s="2030"/>
      <c r="M5" s="2030"/>
      <c r="N5" s="2030"/>
      <c r="O5" s="2030"/>
      <c r="P5" s="2030"/>
      <c r="Q5" s="2030"/>
      <c r="R5" s="2030"/>
      <c r="S5" s="2030"/>
      <c r="T5" s="2030"/>
      <c r="U5" s="2030"/>
      <c r="V5" s="2030"/>
    </row>
    <row r="6" spans="1:22" ht="14.25">
      <c r="A6" s="3390"/>
      <c r="B6" s="3416"/>
      <c r="C6" s="3417"/>
      <c r="D6" s="3418"/>
      <c r="E6" s="261" t="s">
        <v>304</v>
      </c>
      <c r="F6" s="262"/>
      <c r="G6" s="262"/>
      <c r="H6" s="262"/>
      <c r="I6" s="263"/>
      <c r="J6" s="2031"/>
      <c r="K6" s="2030"/>
      <c r="L6" s="2030"/>
      <c r="M6" s="2030"/>
      <c r="N6" s="2030"/>
      <c r="O6" s="2030"/>
      <c r="P6" s="2030"/>
      <c r="Q6" s="2030"/>
      <c r="R6" s="2030"/>
      <c r="S6" s="2030"/>
      <c r="T6" s="2030"/>
      <c r="U6" s="2030"/>
      <c r="V6" s="2030"/>
    </row>
    <row r="7" spans="1:22" ht="14.25">
      <c r="A7" s="3390"/>
      <c r="B7" s="3416"/>
      <c r="C7" s="3415"/>
      <c r="D7" s="3418"/>
      <c r="E7" s="261" t="s">
        <v>305</v>
      </c>
      <c r="F7" s="262"/>
      <c r="G7" s="262"/>
      <c r="H7" s="262"/>
      <c r="I7" s="263"/>
      <c r="J7" s="2031"/>
      <c r="K7" s="2030"/>
      <c r="L7" s="2030"/>
      <c r="M7" s="2030"/>
      <c r="N7" s="2030"/>
      <c r="O7" s="2030"/>
      <c r="P7" s="2030"/>
      <c r="Q7" s="2030"/>
      <c r="R7" s="2030"/>
      <c r="S7" s="2030"/>
      <c r="T7" s="2030"/>
      <c r="U7" s="2030"/>
      <c r="V7" s="2030"/>
    </row>
    <row r="8" spans="1:22" ht="14.25">
      <c r="A8" s="3390" t="s">
        <v>306</v>
      </c>
      <c r="B8" s="3416">
        <v>15</v>
      </c>
      <c r="C8" s="3414"/>
      <c r="D8" s="3418"/>
      <c r="E8" s="261" t="s">
        <v>307</v>
      </c>
      <c r="F8" s="262"/>
      <c r="G8" s="262"/>
      <c r="H8" s="262"/>
      <c r="I8" s="263"/>
      <c r="J8" s="2031"/>
      <c r="K8" s="2030"/>
      <c r="L8" s="2030"/>
      <c r="M8" s="2030"/>
      <c r="N8" s="2030"/>
      <c r="O8" s="2030"/>
      <c r="P8" s="2030"/>
      <c r="Q8" s="2030"/>
      <c r="R8" s="2030"/>
      <c r="S8" s="2030"/>
      <c r="T8" s="2030"/>
      <c r="U8" s="2030"/>
      <c r="V8" s="2030"/>
    </row>
    <row r="9" spans="1:22" ht="14.25">
      <c r="A9" s="3390"/>
      <c r="B9" s="3416"/>
      <c r="C9" s="3415"/>
      <c r="D9" s="3418"/>
      <c r="E9" s="261" t="s">
        <v>308</v>
      </c>
      <c r="F9" s="262"/>
      <c r="G9" s="262"/>
      <c r="H9" s="262"/>
      <c r="I9" s="263"/>
      <c r="J9" s="2031"/>
      <c r="K9" s="2030"/>
      <c r="L9" s="2030"/>
      <c r="M9" s="2030"/>
      <c r="N9" s="2030"/>
      <c r="O9" s="2030"/>
      <c r="P9" s="2030"/>
      <c r="Q9" s="2030"/>
      <c r="R9" s="2030"/>
      <c r="S9" s="2030"/>
      <c r="T9" s="2030"/>
      <c r="U9" s="2030"/>
      <c r="V9" s="2030"/>
    </row>
    <row r="10" spans="1:22" ht="14.25">
      <c r="A10" s="3390" t="s">
        <v>309</v>
      </c>
      <c r="B10" s="3416">
        <v>15</v>
      </c>
      <c r="C10" s="3414"/>
      <c r="D10" s="3418"/>
      <c r="E10" s="261" t="s">
        <v>310</v>
      </c>
      <c r="F10" s="262"/>
      <c r="G10" s="262"/>
      <c r="H10" s="262"/>
      <c r="I10" s="263"/>
      <c r="J10" s="2031"/>
      <c r="K10" s="2030"/>
      <c r="L10" s="2030"/>
      <c r="M10" s="2030"/>
      <c r="N10" s="2030"/>
      <c r="O10" s="2030"/>
      <c r="P10" s="2030"/>
      <c r="Q10" s="2030"/>
      <c r="R10" s="2030"/>
      <c r="S10" s="2030"/>
      <c r="T10" s="2030"/>
      <c r="U10" s="2030"/>
      <c r="V10" s="2030"/>
    </row>
    <row r="11" spans="1:22" ht="14.25">
      <c r="A11" s="3390"/>
      <c r="B11" s="3416"/>
      <c r="C11" s="3415"/>
      <c r="D11" s="341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90" t="s">
        <v>312</v>
      </c>
      <c r="B12" s="3416">
        <v>15</v>
      </c>
      <c r="C12" s="3414"/>
      <c r="D12" s="3418"/>
      <c r="E12" s="261" t="s">
        <v>313</v>
      </c>
      <c r="F12" s="262"/>
      <c r="G12" s="262"/>
      <c r="H12" s="262"/>
      <c r="I12" s="263"/>
      <c r="J12" s="2031"/>
      <c r="K12" s="2030"/>
      <c r="L12" s="2030"/>
      <c r="M12" s="2030"/>
      <c r="N12" s="2030"/>
      <c r="O12" s="2030"/>
      <c r="P12" s="2030"/>
      <c r="Q12" s="2030"/>
      <c r="R12" s="2030"/>
      <c r="S12" s="2030"/>
      <c r="T12" s="2030"/>
      <c r="U12" s="2030"/>
      <c r="V12" s="2030"/>
    </row>
    <row r="13" spans="1:22" ht="14.25">
      <c r="A13" s="3390"/>
      <c r="B13" s="3416"/>
      <c r="C13" s="3415"/>
      <c r="D13" s="341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90" t="s">
        <v>315</v>
      </c>
      <c r="B14" s="3416">
        <v>30</v>
      </c>
      <c r="C14" s="3414"/>
      <c r="D14" s="3418"/>
      <c r="E14" s="261" t="s">
        <v>316</v>
      </c>
      <c r="F14" s="262"/>
      <c r="G14" s="262"/>
      <c r="H14" s="262"/>
      <c r="I14" s="263"/>
      <c r="J14" s="2031"/>
      <c r="K14" s="2030"/>
      <c r="L14" s="2030"/>
      <c r="M14" s="2030"/>
      <c r="N14" s="2030"/>
      <c r="O14" s="2030"/>
      <c r="P14" s="2030"/>
      <c r="Q14" s="2030"/>
      <c r="R14" s="2030"/>
      <c r="S14" s="2030"/>
      <c r="T14" s="2030"/>
      <c r="U14" s="2030"/>
      <c r="V14" s="2030"/>
    </row>
    <row r="15" spans="1:22" ht="14.25">
      <c r="A15" s="3390"/>
      <c r="B15" s="3416"/>
      <c r="C15" s="3417"/>
      <c r="D15" s="341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90"/>
      <c r="B16" s="3416"/>
      <c r="C16" s="3415"/>
      <c r="D16" s="341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17111.470578225413</v>
      </c>
      <c r="D19" s="271">
        <f ca="1">SUMIF(INDIRECT("'"&amp;D4&amp;"'"&amp;"!A:A"),结果表!B19,INDIRECT("'"&amp;D4&amp;"'"&amp;"!B:B"))</f>
        <v>11848</v>
      </c>
      <c r="E19" s="268" t="s">
        <v>323</v>
      </c>
      <c r="F19" s="269" t="s">
        <v>322</v>
      </c>
      <c r="G19" s="272">
        <f ca="1">ROUND(C19*$C$18+D19*$D$18,0)</f>
        <v>13953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15063</v>
      </c>
      <c r="D20" s="277">
        <f ca="1">SUMIF(INDIRECT("'"&amp;D4&amp;"'"&amp;"!A:A"),结果表!B20,INDIRECT("'"&amp;D4&amp;"'"&amp;"!B:B"))</f>
        <v>8571</v>
      </c>
      <c r="E20" s="274"/>
      <c r="F20" s="275" t="s">
        <v>325</v>
      </c>
      <c r="G20" s="278">
        <f ca="1">ROUND(C20*$C$18+D20*$D$18,0)</f>
        <v>11168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51212</v>
      </c>
      <c r="D21" s="151">
        <f ca="1">SUMIF(INDIRECT("'"&amp;D4&amp;"'"&amp;"!A:A"),结果表!B21,INDIRECT("'"&amp;D4&amp;"'"&amp;"!B:B"))</f>
        <v>29140</v>
      </c>
      <c r="E21" s="274"/>
      <c r="F21" s="280" t="s">
        <v>327</v>
      </c>
      <c r="G21" s="282">
        <f ca="1">ROUND(C21*$C$18+D21*$D$18,0)</f>
        <v>37969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0.44424971119390722</v>
      </c>
      <c r="E22" s="284"/>
      <c r="F22" s="285"/>
      <c r="G22" s="286">
        <f ca="1">ROUND(G19/('数据-汇总表'!D3/666.67),0)</f>
        <v>2288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9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97"/>
      <c r="B25" s="1321" t="s">
        <v>331</v>
      </c>
      <c r="C25" s="290">
        <f>IF(B30=0,0,C30)</f>
        <v>0</v>
      </c>
      <c r="D25" s="291"/>
      <c r="E25" s="311"/>
      <c r="F25" s="311"/>
      <c r="G25" s="311"/>
      <c r="H25" s="311"/>
      <c r="I25" s="311"/>
      <c r="J25" s="2030"/>
      <c r="K25" s="1255" t="str">
        <f ca="1">项目基本情况!B16&amp;"国有建设用地使用权价格："&amp;O38&amp;"万元"</f>
        <v>出让国有建设用地使用权价格：13953万元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大写金额：人民币壹亿叁仟玖佰伍拾叁万元整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单位面积地价：34317元/平方米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楼面地价：10094元/平方米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13953</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10094</v>
      </c>
      <c r="D33" s="1386" t="s">
        <v>1692</v>
      </c>
      <c r="E33" s="339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34317</v>
      </c>
      <c r="D34" s="1388" t="s">
        <v>1692</v>
      </c>
      <c r="E34" s="343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2288</v>
      </c>
      <c r="D35" s="1391" t="s">
        <v>1694</v>
      </c>
      <c r="E35" s="3438"/>
      <c r="F35" s="301" t="s">
        <v>342</v>
      </c>
      <c r="G35" s="982"/>
      <c r="H35" s="981" t="s">
        <v>343</v>
      </c>
      <c r="I35" s="311"/>
      <c r="J35" s="2030"/>
      <c r="K35" s="3411" t="s">
        <v>350</v>
      </c>
      <c r="L35" s="3411" t="s">
        <v>351</v>
      </c>
      <c r="M35" s="1264" t="s">
        <v>352</v>
      </c>
      <c r="N35" s="3411" t="s">
        <v>353</v>
      </c>
      <c r="O35" s="3411" t="s">
        <v>354</v>
      </c>
      <c r="P35" s="2030"/>
      <c r="V35" s="2030"/>
    </row>
    <row r="36" spans="1:26" ht="16.5" customHeight="1">
      <c r="A36" s="303" t="s">
        <v>344</v>
      </c>
      <c r="B36" s="304" t="s">
        <v>333</v>
      </c>
      <c r="C36" s="305" t="s">
        <v>345</v>
      </c>
      <c r="D36" s="305" t="s">
        <v>346</v>
      </c>
      <c r="E36" s="306" t="s">
        <v>347</v>
      </c>
      <c r="F36" s="311"/>
      <c r="G36" s="311"/>
      <c r="H36" s="311"/>
      <c r="I36" s="311"/>
      <c r="J36" s="2032"/>
      <c r="K36" s="3412"/>
      <c r="L36" s="3412"/>
      <c r="M36" s="1266" t="s">
        <v>355</v>
      </c>
      <c r="N36" s="3412"/>
      <c r="O36" s="3412"/>
      <c r="P36" s="2030"/>
      <c r="V36" s="2030"/>
    </row>
    <row r="37" spans="1:26" ht="16.5" customHeight="1" thickBot="1">
      <c r="A37" s="1260" t="s">
        <v>348</v>
      </c>
      <c r="B37" s="307"/>
      <c r="C37" s="294"/>
      <c r="D37" s="294"/>
      <c r="E37" s="295"/>
      <c r="F37" s="311"/>
      <c r="G37" s="311"/>
      <c r="H37" s="311"/>
      <c r="I37" s="311"/>
      <c r="J37" s="2032"/>
      <c r="K37" s="3413"/>
      <c r="L37" s="3413"/>
      <c r="M37" s="1267"/>
      <c r="N37" s="3413"/>
      <c r="O37" s="3413"/>
      <c r="P37" s="2030"/>
      <c r="V37" s="2030"/>
    </row>
    <row r="38" spans="1:26" ht="16.5" customHeight="1" thickBot="1">
      <c r="A38" s="1260" t="s">
        <v>349</v>
      </c>
      <c r="B38" s="307"/>
      <c r="C38" s="294"/>
      <c r="D38" s="294"/>
      <c r="E38" s="295"/>
      <c r="F38" s="311"/>
      <c r="G38" s="311"/>
      <c r="H38" s="311"/>
      <c r="I38" s="311"/>
      <c r="J38" s="2032"/>
      <c r="K38" s="1268">
        <f>'数据-汇总表'!D3</f>
        <v>4065.87</v>
      </c>
      <c r="L38" s="1269">
        <f>'数据-汇总表'!E3</f>
        <v>13823.19</v>
      </c>
      <c r="M38" s="1269">
        <f ca="1">C34</f>
        <v>34317</v>
      </c>
      <c r="N38" s="1269">
        <f ca="1">C33</f>
        <v>10094</v>
      </c>
      <c r="O38" s="1270">
        <f ca="1">C32</f>
        <v>13953</v>
      </c>
      <c r="P38" s="2030"/>
      <c r="V38" s="2030"/>
    </row>
    <row r="39" spans="1:26" ht="16.5" customHeight="1" thickBot="1">
      <c r="A39" s="1265"/>
      <c r="B39" s="308"/>
      <c r="C39" s="309"/>
      <c r="D39" s="309"/>
      <c r="E39" s="310"/>
      <c r="F39" s="311"/>
      <c r="G39" s="311"/>
      <c r="H39" s="311"/>
      <c r="I39" s="311"/>
      <c r="J39" s="2032"/>
      <c r="K39" s="3456" t="str">
        <f>MID(A44,3,LEN(A44)-2)</f>
        <v/>
      </c>
      <c r="L39" s="3457"/>
      <c r="M39" s="3457"/>
      <c r="N39" s="3458"/>
      <c r="O39" s="1393" t="str">
        <f>C44</f>
        <v>——</v>
      </c>
      <c r="P39" s="2030"/>
      <c r="V39" s="2030"/>
    </row>
    <row r="40" spans="1:26" ht="19.5" thickBot="1">
      <c r="A40" s="104" t="s">
        <v>873</v>
      </c>
      <c r="B40" s="311"/>
      <c r="C40" s="311"/>
      <c r="D40" s="311"/>
      <c r="E40" s="311"/>
      <c r="F40" s="311"/>
      <c r="G40" s="311"/>
      <c r="H40" s="311"/>
      <c r="I40" s="311"/>
      <c r="J40" s="2032"/>
      <c r="K40" s="3456" t="str">
        <f t="shared" ref="K40:K41" si="0">MID(A45,3,LEN(A45)-2)</f>
        <v/>
      </c>
      <c r="L40" s="3457"/>
      <c r="M40" s="3457"/>
      <c r="N40" s="3458"/>
      <c r="O40" s="1393" t="str">
        <f>C45</f>
        <v>——</v>
      </c>
      <c r="P40" s="2030"/>
      <c r="V40" s="2030"/>
    </row>
    <row r="41" spans="1:26" ht="16.5" thickBot="1">
      <c r="A41" s="312" t="s">
        <v>356</v>
      </c>
      <c r="B41" s="313"/>
      <c r="C41" s="314" t="s">
        <v>357</v>
      </c>
      <c r="D41" s="315" t="s">
        <v>358</v>
      </c>
      <c r="E41" s="315" t="s">
        <v>359</v>
      </c>
      <c r="F41" s="316" t="s">
        <v>360</v>
      </c>
      <c r="G41" s="311"/>
      <c r="H41" s="311"/>
      <c r="I41" s="311"/>
      <c r="J41" s="2032"/>
      <c r="K41" s="3456" t="str">
        <f t="shared" si="0"/>
        <v/>
      </c>
      <c r="L41" s="3457"/>
      <c r="M41" s="3457"/>
      <c r="N41" s="3458"/>
      <c r="O41" s="1393" t="str">
        <f>C46</f>
        <v>——</v>
      </c>
      <c r="P41" s="2030"/>
      <c r="V41" s="2030"/>
    </row>
    <row r="42" spans="1:26" ht="29.25">
      <c r="A42" s="3398" t="s">
        <v>2070</v>
      </c>
      <c r="B42" s="3399"/>
      <c r="C42" s="264">
        <f ca="1">C32</f>
        <v>13953</v>
      </c>
      <c r="D42" s="317">
        <f ca="1">C33</f>
        <v>10094</v>
      </c>
      <c r="E42" s="317">
        <f ca="1">C34</f>
        <v>34317</v>
      </c>
      <c r="F42" s="318">
        <f ca="1">C35</f>
        <v>2288</v>
      </c>
      <c r="G42" s="311"/>
      <c r="H42" s="311"/>
      <c r="I42" s="319"/>
      <c r="J42" s="2032"/>
      <c r="K42" s="1271" t="s">
        <v>361</v>
      </c>
      <c r="L42" s="2049" t="s">
        <v>362</v>
      </c>
      <c r="M42" s="1272" t="s">
        <v>363</v>
      </c>
      <c r="N42" s="2050" t="s">
        <v>364</v>
      </c>
      <c r="O42" s="2051" t="s">
        <v>365</v>
      </c>
      <c r="P42" s="2030"/>
      <c r="V42" s="2030"/>
    </row>
    <row r="43" spans="1:26" ht="18">
      <c r="A43" s="3409" t="s">
        <v>2733</v>
      </c>
      <c r="B43" s="3410"/>
      <c r="C43" s="264">
        <f>IF(H33="正常操作",G33+G34+G35,G34+G35)</f>
        <v>0</v>
      </c>
      <c r="D43" s="317" t="s">
        <v>43</v>
      </c>
      <c r="E43" s="317" t="s">
        <v>44</v>
      </c>
      <c r="F43" s="318" t="s">
        <v>44</v>
      </c>
      <c r="G43" s="2868" t="s">
        <v>952</v>
      </c>
      <c r="H43" s="311"/>
      <c r="I43" s="319"/>
      <c r="J43" s="2032"/>
      <c r="K43" s="1273" t="str">
        <f>C4</f>
        <v>剩余法-现房</v>
      </c>
      <c r="L43" s="1274">
        <f ca="1">IF(L42="估价结果/万元",C19,C20)</f>
        <v>17111.470578225413</v>
      </c>
      <c r="M43" s="1275">
        <f>C18</f>
        <v>0.4</v>
      </c>
      <c r="N43" s="1276">
        <f ca="1">IF(N42="测算结果/万元",G19,G20)</f>
        <v>13953</v>
      </c>
      <c r="O43" s="1277">
        <f ca="1">IF(O42="最终结果/万元",C32,C33)</f>
        <v>13953</v>
      </c>
      <c r="P43" s="2030"/>
      <c r="V43" s="2030"/>
    </row>
    <row r="44" spans="1:26" ht="18.75" thickBot="1">
      <c r="A44" s="3398" t="str">
        <f>IF(OR(项目基本情况!E8="抵押价格",项目基本情况!E8="已注销及未注销"),"3.抵押价格","——")</f>
        <v>——</v>
      </c>
      <c r="B44" s="3399"/>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基准地价</v>
      </c>
      <c r="L44" s="1279">
        <f ca="1">IF(L42="估价结果/万元",D19,D20)</f>
        <v>11848</v>
      </c>
      <c r="M44" s="1280">
        <f>D18</f>
        <v>0.6</v>
      </c>
      <c r="N44" s="1281"/>
      <c r="O44" s="1282"/>
      <c r="P44" s="2030"/>
      <c r="V44" s="2030"/>
    </row>
    <row r="45" spans="1:26" ht="15">
      <c r="A45" s="3404" t="str">
        <f>IF(项目基本情况!E8="已注销及未注销","4.抵押担保权已注销时的抵押价格",IF(项目基本情况!E8="已注销","3.抵押担保权已注销时的抵押价格","——"))</f>
        <v>——</v>
      </c>
      <c r="B45" s="340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00" t="str">
        <f>IF(项目基本情况!E9="抵押净值",IF(A45="——","4.抵押净值","5.抵押净值"),"——")</f>
        <v>——</v>
      </c>
      <c r="B46" s="340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45" t="s">
        <v>374</v>
      </c>
      <c r="B63" s="3446"/>
      <c r="C63" s="3447"/>
      <c r="D63" s="341">
        <f ca="1">ROUND(C42*F63,0)</f>
        <v>8372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406" t="s">
        <v>378</v>
      </c>
      <c r="B64" s="3407"/>
      <c r="C64" s="3407"/>
      <c r="D64" s="3407"/>
      <c r="E64" s="3407"/>
      <c r="F64" s="3407"/>
      <c r="G64" s="340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402" t="s">
        <v>386</v>
      </c>
      <c r="B66" s="3403"/>
      <c r="C66" s="3403"/>
      <c r="D66" s="261">
        <f ca="1">IF(H66="情况1",0,IF(H66="情况2",D70,IF(H66="情况3",D71,IF(H66="情况4",D72))))</f>
        <v>439</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460" t="s">
        <v>385</v>
      </c>
      <c r="M66" s="3461"/>
      <c r="N66" s="2460"/>
      <c r="O66" s="2461"/>
      <c r="P66" s="2462"/>
      <c r="Q66" s="2030"/>
      <c r="R66" s="2030"/>
      <c r="S66" s="2030"/>
      <c r="T66" s="2030"/>
      <c r="U66" s="2030"/>
      <c r="V66" s="2030"/>
    </row>
    <row r="67" spans="1:22" ht="25.5" customHeight="1">
      <c r="A67" s="352" t="s">
        <v>390</v>
      </c>
      <c r="B67" s="3393" t="s">
        <v>391</v>
      </c>
      <c r="C67" s="3393"/>
      <c r="D67" s="353">
        <v>0</v>
      </c>
      <c r="E67" s="41" t="s">
        <v>392</v>
      </c>
      <c r="F67" s="62" t="s">
        <v>21</v>
      </c>
      <c r="G67" s="3448"/>
      <c r="H67" s="311"/>
      <c r="I67" s="1292"/>
      <c r="J67" s="2037"/>
      <c r="K67" s="1978">
        <v>2</v>
      </c>
      <c r="L67" s="3459" t="s">
        <v>389</v>
      </c>
      <c r="M67" s="3459"/>
      <c r="N67" s="1325">
        <f>'数据-取费表'!B2</f>
        <v>43205</v>
      </c>
      <c r="O67" s="1325"/>
      <c r="P67" s="1325"/>
      <c r="Q67" s="2030"/>
      <c r="R67" s="2030"/>
      <c r="S67" s="2030"/>
      <c r="T67" s="2030"/>
      <c r="U67" s="2030"/>
      <c r="V67" s="2030"/>
    </row>
    <row r="68" spans="1:22" ht="25.5" customHeight="1">
      <c r="A68" s="354"/>
      <c r="B68" s="3393" t="s">
        <v>394</v>
      </c>
      <c r="C68" s="3393"/>
      <c r="D68" s="355"/>
      <c r="E68" s="77"/>
      <c r="F68" s="356"/>
      <c r="G68" s="3449"/>
      <c r="H68" s="311"/>
      <c r="I68" s="1292"/>
      <c r="J68" s="2037"/>
      <c r="K68" s="1978">
        <v>3</v>
      </c>
      <c r="L68" s="3459" t="s">
        <v>393</v>
      </c>
      <c r="M68" s="3459"/>
      <c r="N68" s="1293">
        <f ca="1">C42</f>
        <v>13953</v>
      </c>
      <c r="O68" s="1293"/>
      <c r="P68" s="1293"/>
      <c r="Q68" s="2030"/>
      <c r="R68" s="2030"/>
      <c r="S68" s="2030"/>
      <c r="T68" s="2030"/>
      <c r="U68" s="2030"/>
      <c r="V68" s="2030"/>
    </row>
    <row r="69" spans="1:22" ht="12" customHeight="1">
      <c r="A69" s="357"/>
      <c r="B69" s="3393" t="s">
        <v>395</v>
      </c>
      <c r="C69" s="3393"/>
      <c r="D69" s="358"/>
      <c r="E69" s="73"/>
      <c r="F69" s="356"/>
      <c r="G69" s="3450"/>
      <c r="H69" s="311"/>
      <c r="I69" s="1292"/>
      <c r="J69" s="2037"/>
      <c r="K69" s="1294">
        <v>4</v>
      </c>
      <c r="L69" s="3464" t="s">
        <v>2884</v>
      </c>
      <c r="M69" s="3465"/>
      <c r="N69" s="1295" t="str">
        <f>C44</f>
        <v>——</v>
      </c>
      <c r="O69" s="1295"/>
      <c r="P69" s="1295"/>
      <c r="Q69" s="2030"/>
      <c r="R69" s="2030"/>
      <c r="S69" s="2030"/>
      <c r="T69" s="2030"/>
      <c r="U69" s="2030"/>
      <c r="V69" s="2030"/>
    </row>
    <row r="70" spans="1:22" ht="24" customHeight="1">
      <c r="A70" s="359" t="s">
        <v>396</v>
      </c>
      <c r="B70" s="3393" t="s">
        <v>397</v>
      </c>
      <c r="C70" s="3393"/>
      <c r="D70" s="358">
        <f ca="1">ROUND(D63*'数据-取费表'!B41/(1+'数据-取费表'!C42),0)</f>
        <v>439</v>
      </c>
      <c r="E70" s="17" t="s">
        <v>398</v>
      </c>
      <c r="F70" s="360">
        <f>'数据-取费表'!B41</f>
        <v>5.5000000000000007E-2</v>
      </c>
      <c r="G70" s="361"/>
      <c r="H70" s="311"/>
      <c r="I70" s="1292"/>
      <c r="J70" s="2037"/>
      <c r="K70" s="3064"/>
      <c r="L70" s="3065"/>
      <c r="M70" s="3065"/>
      <c r="N70" s="3066" t="s">
        <v>2889</v>
      </c>
      <c r="O70" s="3065"/>
      <c r="P70" s="3067"/>
      <c r="Q70" s="2030"/>
      <c r="R70" s="2030"/>
      <c r="S70" s="2030"/>
      <c r="T70" s="2030"/>
      <c r="U70" s="2030"/>
      <c r="V70" s="2030"/>
    </row>
    <row r="71" spans="1:22" ht="12" customHeight="1">
      <c r="A71" s="359" t="s">
        <v>404</v>
      </c>
      <c r="B71" s="3394" t="s">
        <v>405</v>
      </c>
      <c r="C71" s="3395"/>
      <c r="D71" s="358">
        <f ca="1">ROUND(D63*'数据-取费表'!B41/(1+'数据-取费表'!C42),0)</f>
        <v>439</v>
      </c>
      <c r="E71" s="17" t="s">
        <v>398</v>
      </c>
      <c r="F71" s="360">
        <f>'数据-取费表'!B41</f>
        <v>5.5000000000000007E-2</v>
      </c>
      <c r="G71" s="361"/>
      <c r="H71" s="311"/>
      <c r="I71" s="1292"/>
      <c r="J71" s="2037"/>
      <c r="K71" s="3063" t="s">
        <v>399</v>
      </c>
      <c r="L71" s="3466" t="s">
        <v>400</v>
      </c>
      <c r="M71" s="3466"/>
      <c r="N71" s="3063" t="s">
        <v>401</v>
      </c>
      <c r="O71" s="3063" t="s">
        <v>402</v>
      </c>
      <c r="P71" s="3063" t="s">
        <v>403</v>
      </c>
      <c r="Q71" s="2030"/>
      <c r="R71" s="2030"/>
      <c r="S71" s="2030"/>
      <c r="T71" s="2030"/>
      <c r="U71" s="2030"/>
      <c r="V71" s="2030"/>
    </row>
    <row r="72" spans="1:22" ht="12" customHeight="1">
      <c r="A72" s="359" t="s">
        <v>407</v>
      </c>
      <c r="B72" s="3394" t="s">
        <v>408</v>
      </c>
      <c r="C72" s="3395"/>
      <c r="D72" s="358">
        <f ca="1">C86</f>
        <v>329</v>
      </c>
      <c r="E72" s="73" t="s">
        <v>409</v>
      </c>
      <c r="F72" s="360">
        <f>'数据-取费表'!B41</f>
        <v>5.5000000000000007E-2</v>
      </c>
      <c r="G72" s="361"/>
      <c r="H72" s="1298"/>
      <c r="I72" s="1292"/>
      <c r="J72" s="2037"/>
      <c r="K72" s="1978">
        <v>1</v>
      </c>
      <c r="L72" s="3441" t="s">
        <v>406</v>
      </c>
      <c r="M72" s="3441"/>
      <c r="N72" s="1296">
        <f ca="1">D66</f>
        <v>439</v>
      </c>
      <c r="O72" s="1861" t="str">
        <f>E66</f>
        <v>销售额×税（费）率</v>
      </c>
      <c r="P72" s="1297">
        <f>F66</f>
        <v>5.5000000000000007E-2</v>
      </c>
      <c r="Q72" s="2030"/>
      <c r="R72" s="2030"/>
      <c r="S72" s="2030"/>
      <c r="T72" s="2030"/>
      <c r="U72" s="2030"/>
      <c r="V72" s="2030"/>
    </row>
    <row r="73" spans="1:22" ht="24" customHeight="1">
      <c r="A73" s="3435" t="s">
        <v>411</v>
      </c>
      <c r="B73" s="3403"/>
      <c r="C73" s="3403"/>
      <c r="D73" s="362">
        <f>IF(H73="个人住宅",0,ROUND(D63*I73,0))</f>
        <v>0</v>
      </c>
      <c r="E73" s="17" t="s">
        <v>412</v>
      </c>
      <c r="F73" s="360" t="str">
        <f>IF(H73="正常",I73,"免征")</f>
        <v>免征</v>
      </c>
      <c r="G73" s="361"/>
      <c r="H73" s="191" t="s">
        <v>2458</v>
      </c>
      <c r="I73" s="360">
        <f>'数据-取费表'!B49</f>
        <v>5.0000000000000001E-4</v>
      </c>
      <c r="J73" s="2037"/>
      <c r="K73" s="1978">
        <v>2</v>
      </c>
      <c r="L73" s="3441" t="s">
        <v>410</v>
      </c>
      <c r="M73" s="3441"/>
      <c r="N73" s="1296">
        <f t="shared" ref="N73:P74" si="1">D73</f>
        <v>0</v>
      </c>
      <c r="O73" s="1861" t="str">
        <f t="shared" si="1"/>
        <v>销售额×税（费）率</v>
      </c>
      <c r="P73" s="1297" t="str">
        <f t="shared" si="1"/>
        <v>免征</v>
      </c>
      <c r="Q73" s="2030"/>
      <c r="R73" s="2030"/>
      <c r="S73" s="2030"/>
      <c r="T73" s="2030"/>
      <c r="U73" s="2030"/>
      <c r="V73" s="2030"/>
    </row>
    <row r="74" spans="1:22" ht="24.75">
      <c r="A74" s="3435" t="s">
        <v>415</v>
      </c>
      <c r="B74" s="3403"/>
      <c r="C74" s="3403"/>
      <c r="D74" s="362">
        <f ca="1">IF(H74="个人住宅",D75,D76)</f>
        <v>4090</v>
      </c>
      <c r="E74" s="17" t="s">
        <v>416</v>
      </c>
      <c r="F74" s="360" t="str">
        <f>IF(H74="正常",F76,"免征")</f>
        <v>——</v>
      </c>
      <c r="G74" s="983" t="s">
        <v>417</v>
      </c>
      <c r="H74" s="363" t="s">
        <v>413</v>
      </c>
      <c r="I74" s="42"/>
      <c r="J74" s="2037"/>
      <c r="K74" s="1978">
        <v>3</v>
      </c>
      <c r="L74" s="3441" t="s">
        <v>414</v>
      </c>
      <c r="M74" s="3441"/>
      <c r="N74" s="1296">
        <f t="shared" ca="1" si="1"/>
        <v>4090</v>
      </c>
      <c r="O74" s="1861" t="str">
        <f t="shared" si="1"/>
        <v>增值额×税（费）率</v>
      </c>
      <c r="P74" s="1299" t="str">
        <f t="shared" si="1"/>
        <v>——</v>
      </c>
      <c r="Q74" s="2030"/>
      <c r="R74" s="2030"/>
      <c r="S74" s="2030"/>
      <c r="T74" s="2030"/>
      <c r="U74" s="2030"/>
      <c r="V74" s="2030"/>
    </row>
    <row r="75" spans="1:22" ht="24">
      <c r="A75" s="359" t="s">
        <v>418</v>
      </c>
      <c r="B75" s="3391" t="s">
        <v>419</v>
      </c>
      <c r="C75" s="3421"/>
      <c r="D75" s="364">
        <v>0</v>
      </c>
      <c r="E75" s="41" t="s">
        <v>420</v>
      </c>
      <c r="F75" s="365"/>
      <c r="G75" s="361"/>
      <c r="H75" s="42"/>
      <c r="I75" s="42"/>
      <c r="J75" s="2037"/>
      <c r="K75" s="3056">
        <f>IF(H77="非个人房产","",4)</f>
        <v>4</v>
      </c>
      <c r="L75" s="3441" t="str">
        <f>IF(H77="非个人房产","——","个人所得税")</f>
        <v>个人所得税</v>
      </c>
      <c r="M75" s="3441"/>
      <c r="N75" s="1300">
        <f ca="1">D77</f>
        <v>84</v>
      </c>
      <c r="O75" s="1874" t="str">
        <f>E77</f>
        <v>销售额×税（费）率</v>
      </c>
      <c r="P75" s="1301">
        <f>F77</f>
        <v>0.01</v>
      </c>
      <c r="Q75" s="2030"/>
      <c r="R75" s="2030"/>
      <c r="S75" s="2030"/>
      <c r="T75" s="2030"/>
      <c r="U75" s="2030"/>
      <c r="V75" s="2030"/>
    </row>
    <row r="76" spans="1:22" ht="24.75">
      <c r="A76" s="359" t="s">
        <v>396</v>
      </c>
      <c r="B76" s="3391" t="s">
        <v>422</v>
      </c>
      <c r="C76" s="3392"/>
      <c r="D76" s="362">
        <f ca="1">IF(H76="转让取得",C99,C115)</f>
        <v>4090</v>
      </c>
      <c r="E76" s="17" t="s">
        <v>423</v>
      </c>
      <c r="F76" s="53" t="s">
        <v>21</v>
      </c>
      <c r="G76" s="361"/>
      <c r="H76" s="363" t="s">
        <v>424</v>
      </c>
      <c r="I76" s="42"/>
      <c r="J76" s="2037"/>
      <c r="K76" s="3056" t="str">
        <f>IF(项目基本情况!K6="上海银行",IF(K75="",4,K75+1),"")</f>
        <v/>
      </c>
      <c r="L76" s="3452" t="str">
        <f>IF(项目基本情况!K6="上海银行","其他处置费用","")</f>
        <v/>
      </c>
      <c r="M76" s="3453"/>
      <c r="N76" s="1296" t="str">
        <f>IF(项目基本情况!K6="上海银行",N89,"")</f>
        <v/>
      </c>
      <c r="O76" s="3454" t="str">
        <f>IF(项目基本情况!K6="上海银行","包含处置中涉及的律师、诉讼、拍卖、评估等费用","")</f>
        <v/>
      </c>
      <c r="P76" s="3455"/>
      <c r="Q76" s="2030"/>
      <c r="R76" s="2030"/>
      <c r="S76" s="2030"/>
      <c r="T76" s="2030"/>
      <c r="U76" s="2030"/>
      <c r="V76" s="2030"/>
    </row>
    <row r="77" spans="1:22" ht="26.25" thickBot="1">
      <c r="A77" s="3443" t="s">
        <v>426</v>
      </c>
      <c r="B77" s="3444"/>
      <c r="C77" s="3444"/>
      <c r="D77" s="366">
        <f ca="1">IF(H77="非个人房产","——",IF(H77="个人住宅",0,ROUND(D63*I77,0)))</f>
        <v>84</v>
      </c>
      <c r="E77" s="367" t="str">
        <f>IF(H77="非个人房产","——","销售额×税（费）率")</f>
        <v>销售额×税（费）率</v>
      </c>
      <c r="F77" s="368">
        <f>IF(H77="非个人房产","——",IF(H77="个人住宅","免征",I77))</f>
        <v>0.01</v>
      </c>
      <c r="G77" s="984" t="s">
        <v>417</v>
      </c>
      <c r="H77" s="363" t="s">
        <v>2885</v>
      </c>
      <c r="I77" s="369">
        <v>0.01</v>
      </c>
      <c r="J77" s="2037"/>
      <c r="K77" s="3442">
        <f>IF(AND(K75="",K76=""),4,IF(项目基本情况!K6="上海银行",K76+1,K75+1))</f>
        <v>5</v>
      </c>
      <c r="L77" s="3441" t="s">
        <v>2886</v>
      </c>
      <c r="M77" s="3062" t="s">
        <v>421</v>
      </c>
      <c r="N77" s="1302"/>
      <c r="O77" s="1303">
        <f ca="1">SUMIF(N72:N76,"&lt;9e307")</f>
        <v>4613</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42"/>
      <c r="L78" s="3441"/>
      <c r="M78" s="3062" t="s">
        <v>425</v>
      </c>
      <c r="N78" s="1302"/>
      <c r="O78" s="1303" t="str">
        <f ca="1">NUMBERSTRING(INT(O77*10000),2)&amp;"元整"</f>
        <v>肆仟陆佰壹拾叁万元整</v>
      </c>
      <c r="P78" s="1304"/>
      <c r="Q78" s="2030"/>
      <c r="R78" s="2030"/>
      <c r="S78" s="2030"/>
      <c r="T78" s="2030"/>
      <c r="U78" s="2030"/>
      <c r="V78" s="2030"/>
    </row>
    <row r="79" spans="1:22" ht="13.5" thickBot="1">
      <c r="A79" s="3436" t="s">
        <v>427</v>
      </c>
      <c r="B79" s="3436"/>
      <c r="C79" s="3436"/>
      <c r="D79" s="3436"/>
      <c r="E79" s="3436"/>
      <c r="F79" s="42"/>
      <c r="G79" s="42"/>
      <c r="H79" s="1003"/>
      <c r="I79" s="311"/>
      <c r="J79" s="2037"/>
      <c r="K79" s="3462">
        <f>K77+1</f>
        <v>6</v>
      </c>
      <c r="L79" s="3441" t="s">
        <v>2887</v>
      </c>
      <c r="M79" s="3062" t="s">
        <v>421</v>
      </c>
      <c r="N79" s="1302"/>
      <c r="O79" s="1303" t="e">
        <f ca="1">N69-O77</f>
        <v>#VALUE!</v>
      </c>
      <c r="P79" s="1304"/>
      <c r="Q79" s="2030"/>
      <c r="R79" s="2030"/>
      <c r="S79" s="2030"/>
      <c r="T79" s="2030"/>
      <c r="U79" s="2030"/>
      <c r="V79" s="2030"/>
    </row>
    <row r="80" spans="1:22" ht="12.75">
      <c r="A80" s="3431" t="s">
        <v>428</v>
      </c>
      <c r="B80" s="3432"/>
      <c r="C80" s="994"/>
      <c r="D80" s="994" t="s">
        <v>429</v>
      </c>
      <c r="E80" s="370" t="s">
        <v>430</v>
      </c>
      <c r="F80" s="42"/>
      <c r="G80" s="42"/>
      <c r="H80" s="1003"/>
      <c r="I80" s="311"/>
      <c r="J80" s="2030"/>
      <c r="K80" s="3463"/>
      <c r="L80" s="3441"/>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7973</v>
      </c>
      <c r="D81" s="373"/>
      <c r="E81" s="374"/>
      <c r="F81" s="42"/>
      <c r="G81" s="42"/>
      <c r="H81" s="1003"/>
      <c r="I81" s="311"/>
      <c r="J81" s="2030"/>
      <c r="K81" s="3056">
        <f>K79+1</f>
        <v>7</v>
      </c>
      <c r="L81" s="3439" t="s">
        <v>2888</v>
      </c>
      <c r="M81" s="3440"/>
      <c r="N81" s="1306"/>
      <c r="O81" s="1307" t="e">
        <f ca="1">ROUND(O79*10000/'数据-汇总表'!E3,0)</f>
        <v>#VALUE!</v>
      </c>
      <c r="P81" s="1308"/>
      <c r="Q81" s="2030"/>
      <c r="R81" s="2030"/>
      <c r="S81" s="2030"/>
      <c r="T81" s="2030"/>
      <c r="U81" s="2030"/>
      <c r="V81" s="2030"/>
    </row>
    <row r="82" spans="1:26" ht="13.5" thickTop="1">
      <c r="A82" s="375" t="s">
        <v>1825</v>
      </c>
      <c r="B82" s="376" t="s">
        <v>432</v>
      </c>
      <c r="C82" s="377">
        <f ca="1">D63</f>
        <v>8372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451" t="s">
        <v>2875</v>
      </c>
      <c r="L83" s="3068" t="s">
        <v>2876</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2941</v>
      </c>
      <c r="F84" s="42"/>
      <c r="G84" s="42"/>
      <c r="H84" s="1003"/>
      <c r="I84" s="311"/>
      <c r="J84" s="2030"/>
      <c r="K84" s="3451"/>
      <c r="L84" s="3068" t="s">
        <v>2877</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2878</v>
      </c>
      <c r="P84" s="2030"/>
      <c r="Q84" s="2030"/>
      <c r="R84" s="2030"/>
      <c r="S84" s="2030"/>
      <c r="T84" s="2030"/>
      <c r="U84" s="2030"/>
      <c r="V84" s="2030"/>
    </row>
    <row r="85" spans="1:26" ht="12.75">
      <c r="A85" s="381" t="s">
        <v>1828</v>
      </c>
      <c r="B85" s="382" t="s">
        <v>435</v>
      </c>
      <c r="C85" s="385">
        <f ca="1">C81-C84</f>
        <v>5973</v>
      </c>
      <c r="D85" s="378" t="s">
        <v>19</v>
      </c>
      <c r="E85" s="379"/>
      <c r="F85" s="42"/>
      <c r="G85" s="42"/>
      <c r="H85" s="1003"/>
      <c r="I85" s="311"/>
      <c r="J85" s="2030"/>
      <c r="K85" s="3451"/>
      <c r="L85" s="3068" t="s">
        <v>2879</v>
      </c>
      <c r="M85" s="3058" t="e">
        <f>IF(N69&gt;1000,N69*0.1%,IF(AND(N69&gt;500,N69&lt;=1000),N69*0.5%,IF(AND(N69&gt;50,N69&lt;=500),N69*1%,IF(AND(N69&gt;1,N69&lt;=50),N69*1.5%))))</f>
        <v>#VALUE!</v>
      </c>
      <c r="N85" s="53" t="e">
        <f t="shared" si="2"/>
        <v>#VALUE!</v>
      </c>
      <c r="O85" s="2030" t="s">
        <v>2878</v>
      </c>
      <c r="P85" s="2030"/>
      <c r="Q85" s="2030"/>
      <c r="R85" s="2030"/>
      <c r="S85" s="2030"/>
      <c r="T85" s="2030"/>
      <c r="U85" s="2030"/>
      <c r="V85" s="2030"/>
    </row>
    <row r="86" spans="1:26" ht="13.5" thickBot="1">
      <c r="A86" s="386" t="s">
        <v>1829</v>
      </c>
      <c r="B86" s="387" t="s">
        <v>436</v>
      </c>
      <c r="C86" s="388">
        <f ca="1">IF(C85&lt;=0,0,ROUND(C85*D86,0))</f>
        <v>329</v>
      </c>
      <c r="D86" s="389">
        <f>'数据-取费表'!B41</f>
        <v>5.5000000000000007E-2</v>
      </c>
      <c r="E86" s="390"/>
      <c r="F86" s="42"/>
      <c r="G86" s="42"/>
      <c r="H86" s="1003"/>
      <c r="I86" s="311"/>
      <c r="J86" s="2030"/>
      <c r="K86" s="3451"/>
      <c r="L86" s="3068" t="s">
        <v>2880</v>
      </c>
      <c r="M86" s="3058" t="e">
        <f>N69*0.5%</f>
        <v>#VALUE!</v>
      </c>
      <c r="N86" s="53" t="e">
        <f>IF(M86&gt;0.5,0.5,ROUND(M86,0))</f>
        <v>#VALUE!</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51"/>
      <c r="L87" s="3068" t="s">
        <v>2882</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33" t="s">
        <v>437</v>
      </c>
      <c r="B88" s="3434"/>
      <c r="C88" s="3434"/>
      <c r="D88" s="3434"/>
      <c r="E88" s="3434"/>
      <c r="F88" s="3434"/>
      <c r="G88" s="3434"/>
      <c r="H88" s="3434"/>
      <c r="I88" s="1315"/>
      <c r="J88" s="2038"/>
      <c r="K88" s="3451"/>
      <c r="L88" s="3068" t="s">
        <v>2883</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431" t="s">
        <v>428</v>
      </c>
      <c r="B89" s="3432"/>
      <c r="C89" s="994"/>
      <c r="D89" s="994" t="s">
        <v>429</v>
      </c>
      <c r="E89" s="391" t="s">
        <v>438</v>
      </c>
      <c r="F89" s="392"/>
      <c r="G89" s="392"/>
      <c r="H89" s="393"/>
      <c r="I89" s="1316"/>
      <c r="J89" s="2040"/>
      <c r="K89" s="3451"/>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7973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94" t="s">
        <v>447</v>
      </c>
      <c r="F94" s="3393"/>
      <c r="G94" s="3393"/>
      <c r="H94" s="343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40</v>
      </c>
      <c r="D96" s="406">
        <f>'数据-取费表'!B43</f>
        <v>5.000000000000001E-3</v>
      </c>
      <c r="E96" s="3422" t="s">
        <v>2431</v>
      </c>
      <c r="F96" s="3423"/>
      <c r="G96" s="3423"/>
      <c r="H96" s="342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5372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2.0653594771241832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2313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33" t="s">
        <v>454</v>
      </c>
      <c r="B101" s="3434"/>
      <c r="C101" s="3434"/>
      <c r="D101" s="3434"/>
      <c r="E101" s="3434"/>
      <c r="F101" s="3434"/>
      <c r="G101" s="3434"/>
      <c r="H101" s="343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31" t="s">
        <v>428</v>
      </c>
      <c r="B102" s="343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7973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730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425" t="s">
        <v>462</v>
      </c>
      <c r="F109" s="3423"/>
      <c r="G109" s="342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425" t="s">
        <v>464</v>
      </c>
      <c r="F110" s="3423"/>
      <c r="G110" s="3423"/>
      <c r="H110" s="342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40</v>
      </c>
      <c r="D111" s="406">
        <f>'数据-取费表'!B43</f>
        <v>5.000000000000001E-3</v>
      </c>
      <c r="E111" s="3422" t="s">
        <v>2431</v>
      </c>
      <c r="F111" s="3423"/>
      <c r="G111" s="3423"/>
      <c r="H111" s="342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425" t="s">
        <v>2456</v>
      </c>
      <c r="F112" s="3423"/>
      <c r="G112" s="3423"/>
      <c r="H112" s="342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7243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9.9219178082191775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4090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-349</v>
      </c>
      <c r="C2" s="2106"/>
      <c r="D2" s="2106"/>
      <c r="E2" s="2106"/>
      <c r="F2" s="2106"/>
      <c r="G2" s="2106"/>
      <c r="H2" s="2106"/>
      <c r="I2" s="2106"/>
      <c r="J2" s="2106"/>
      <c r="K2" s="2106"/>
    </row>
    <row r="3" spans="1:31" s="2043" customFormat="1" ht="18" customHeight="1">
      <c r="A3" s="2108" t="s">
        <v>1685</v>
      </c>
      <c r="B3" s="2109">
        <f ca="1">ROUND(B2*10000/IF(B1="",'数据-汇总表'!E3,INDIRECT("'数据-取费表'!K"&amp;$K$1)),0)</f>
        <v>-252</v>
      </c>
      <c r="C3" s="2106"/>
      <c r="D3" s="2106"/>
      <c r="E3" s="2106"/>
      <c r="F3" s="2106"/>
      <c r="G3" s="2106"/>
      <c r="H3" s="2106"/>
      <c r="I3" s="2106"/>
      <c r="J3" s="2106"/>
      <c r="K3" s="2106"/>
    </row>
    <row r="4" spans="1:31" s="2043" customFormat="1" ht="18" customHeight="1">
      <c r="A4" s="426" t="s">
        <v>468</v>
      </c>
      <c r="B4" s="427">
        <f ca="1">ROUND(B2*10000/IF(B1="",'数据-汇总表'!D3,INDIRECT("'数据-取费表'!R"&amp;$K$1)),0)</f>
        <v>-858</v>
      </c>
      <c r="C4" s="428"/>
      <c r="D4" s="422"/>
      <c r="E4" s="422"/>
      <c r="F4" s="422"/>
      <c r="G4" s="422"/>
      <c r="H4" s="422"/>
      <c r="I4" s="422"/>
      <c r="J4" s="422"/>
      <c r="K4" s="422"/>
    </row>
    <row r="5" spans="1:31" s="2043" customFormat="1" ht="18" customHeight="1" thickBot="1">
      <c r="A5" s="429"/>
      <c r="B5" s="430">
        <f ca="1">ROUND(B2/(IF(B1="",'数据-汇总表'!D3,INDIRECT("'数据-取费表'!R"&amp;$K$1))/666.67),0)</f>
        <v>-57</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276</v>
      </c>
      <c r="D16" s="2846">
        <f ca="1">IF(B1="",'数据-汇总表'!E3,INDIRECT("'数据-取费表'!K"&amp;$K$1)+INDIRECT("'数据-取费表'!S"&amp;$K$1))</f>
        <v>13823.19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276</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13823.19</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76</v>
      </c>
      <c r="D20" s="2856"/>
      <c r="E20" s="2810"/>
      <c r="F20" s="2857"/>
      <c r="G20" s="3091"/>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276</v>
      </c>
      <c r="D22" s="2846">
        <f ca="1">IF(B1="",'数据-汇总表'!E6,IF(INDIRECT("'数据-取费表'!c"&amp;$K$1)="住宅",INDIRECT("'数据-取费表'!s"&amp;$K$1),INDIRECT("'数据-取费表'!k"&amp;$K$1)+INDIRECT("'数据-取费表'!s"&amp;$K$1)))</f>
        <v>13823.19</v>
      </c>
      <c r="E22" s="53">
        <f>'数据-取费表'!B28</f>
        <v>200</v>
      </c>
      <c r="F22" s="2849"/>
      <c r="G22" s="26"/>
      <c r="H22" s="51"/>
      <c r="I22" s="51"/>
      <c r="J22" s="51"/>
      <c r="K22" s="2821"/>
    </row>
    <row r="23" spans="1:14" s="2118" customFormat="1" ht="13.5" customHeight="1">
      <c r="A23" s="2852" t="s">
        <v>1859</v>
      </c>
      <c r="B23" s="3037" t="s">
        <v>2835</v>
      </c>
      <c r="C23" s="2854">
        <f ca="1">ROUND((C18+C19+C20)*F23,0)</f>
        <v>7</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2838</v>
      </c>
      <c r="C24" s="2854">
        <f>ROUND(C6*F24,0)</f>
        <v>0</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2836</v>
      </c>
      <c r="C25" s="467">
        <f>ROUND(F25/(1+'数据-取费表'!C42),4)</f>
        <v>2.9000000000000001E-2</v>
      </c>
      <c r="D25" s="462" t="s">
        <v>2830</v>
      </c>
      <c r="E25" s="469"/>
      <c r="F25" s="2858">
        <f>'数据-取费表'!B48+'数据-取费表'!B49</f>
        <v>3.0499999999999999E-2</v>
      </c>
      <c r="G25" s="2822" t="s">
        <v>2292</v>
      </c>
      <c r="H25" s="2815"/>
      <c r="I25" s="2815"/>
      <c r="J25" s="2815"/>
      <c r="K25" s="2816"/>
    </row>
    <row r="26" spans="1:14" s="2120" customFormat="1" ht="13.5" customHeight="1">
      <c r="A26" s="2852" t="s">
        <v>1862</v>
      </c>
      <c r="B26" s="3038" t="s">
        <v>2837</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2839</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359</v>
      </c>
      <c r="D30" s="477">
        <f ca="1">C32</f>
        <v>2.9000000000000001E-2</v>
      </c>
      <c r="E30" s="469" t="s">
        <v>495</v>
      </c>
      <c r="F30" s="471"/>
      <c r="G30" s="2822" t="s">
        <v>2973</v>
      </c>
      <c r="H30" s="2815"/>
      <c r="I30" s="2815"/>
      <c r="J30" s="2815"/>
      <c r="K30" s="2816"/>
    </row>
    <row r="31" spans="1:14" s="2122" customFormat="1" ht="13.5" customHeight="1">
      <c r="A31" s="803" t="s">
        <v>1857</v>
      </c>
      <c r="B31" s="2860"/>
      <c r="C31" s="450">
        <f ca="1">C18+C19+C20+C23+C24+C26+C29</f>
        <v>359</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2834</v>
      </c>
      <c r="B33" s="3034" t="s">
        <v>2832</v>
      </c>
      <c r="C33" s="478">
        <f ca="1">C35</f>
        <v>65</v>
      </c>
      <c r="D33" s="467">
        <f ca="1">C34</f>
        <v>0.1852</v>
      </c>
      <c r="E33" s="469" t="s">
        <v>495</v>
      </c>
      <c r="F33" s="479">
        <f ca="1">IF(B1="",'数据-取费表'!Q16,INDIRECT("'数据-取费表'!q"&amp;$K$1))</f>
        <v>0.18</v>
      </c>
      <c r="G33" s="2818"/>
      <c r="H33" s="2819"/>
      <c r="I33" s="2819"/>
      <c r="J33" s="2819"/>
      <c r="K33" s="2820"/>
    </row>
    <row r="34" spans="1:11" s="2125" customFormat="1" ht="13.5" customHeight="1">
      <c r="A34" s="375" t="s">
        <v>1857</v>
      </c>
      <c r="B34" s="2865" t="s">
        <v>501</v>
      </c>
      <c r="C34" s="472">
        <f ca="1">ROUND((1+C25)*F33,4)</f>
        <v>0.1852</v>
      </c>
      <c r="D34" s="472"/>
      <c r="E34" s="473"/>
      <c r="F34" s="480"/>
      <c r="G34" s="261" t="s">
        <v>2293</v>
      </c>
      <c r="H34" s="2817"/>
      <c r="I34" s="2817"/>
      <c r="J34" s="2817"/>
      <c r="K34" s="279"/>
    </row>
    <row r="35" spans="1:11" s="2125" customFormat="1" ht="13.5" customHeight="1" thickBot="1">
      <c r="A35" s="1637" t="s">
        <v>1858</v>
      </c>
      <c r="B35" s="3035" t="s">
        <v>2840</v>
      </c>
      <c r="C35" s="1629">
        <f ca="1">ROUND((C18+C19+C20+C23+C24)*F33,0)</f>
        <v>65</v>
      </c>
      <c r="D35" s="1630"/>
      <c r="E35" s="2866"/>
      <c r="F35" s="1631"/>
      <c r="G35" s="2824"/>
      <c r="H35" s="2825"/>
      <c r="I35" s="2825"/>
      <c r="J35" s="2825"/>
      <c r="K35" s="2826"/>
    </row>
    <row r="36" spans="1:11" s="2087" customFormat="1" ht="13.5" customHeight="1" thickBot="1">
      <c r="A36" s="284" t="s">
        <v>1845</v>
      </c>
      <c r="B36" s="2828"/>
      <c r="C36" s="2867">
        <f ca="1">ROUND((C6-C30-C33)/(1+D30+D33),0)</f>
        <v>-349</v>
      </c>
      <c r="D36" s="2828"/>
      <c r="E36" s="2828"/>
      <c r="F36" s="2828"/>
      <c r="G36" s="2827" t="s">
        <v>2841</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4" t="str">
        <f>项目基本情况!B1</f>
        <v>北京市出让国有建设用地使用权市场价格预评估</v>
      </c>
      <c r="C37" s="3234"/>
      <c r="D37" s="3234"/>
      <c r="E37" s="3234"/>
      <c r="F37" s="3234"/>
      <c r="G37" s="3234"/>
      <c r="H37" s="3234"/>
      <c r="I37" s="3234"/>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90" zoomScaleNormal="90" workbookViewId="0">
      <selection activeCell="B21" sqref="B2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13823.19</v>
      </c>
      <c r="E1" s="1407" t="s">
        <v>2430</v>
      </c>
      <c r="F1" s="2454">
        <f>'数据-基础表'!A3</f>
        <v>4065.87</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11848</v>
      </c>
      <c r="C2" s="1408" t="s">
        <v>921</v>
      </c>
      <c r="D2" s="1409" t="s">
        <v>922</v>
      </c>
      <c r="E2" s="1410" t="s">
        <v>1678</v>
      </c>
      <c r="F2" s="1409" t="s">
        <v>924</v>
      </c>
      <c r="G2" s="1653" t="str">
        <f>IF(E2="商业",项目基本情况!B43,IF(E2="办公",项目基本情况!C43,IF(E2="住宅",项目基本情况!D43,项目基本情况!E43)))</f>
        <v>七级</v>
      </c>
      <c r="H2" s="1409" t="s">
        <v>926</v>
      </c>
      <c r="I2" s="1654" t="str">
        <f>IF(E2="商业",项目基本情况!B44,IF(E2="办公",项目基本情况!C44,IF(E2="住宅",项目基本情况!D44,项目基本情况!E44)))</f>
        <v>Ⅶ-兴1</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1.8629</v>
      </c>
      <c r="T2" s="2939">
        <f ca="1">ROUND($C$5*$C$18*$C$19*$C$20*S2*$C$24,0)</f>
        <v>20319</v>
      </c>
      <c r="U2" s="2928"/>
      <c r="V2" s="2939">
        <f ca="1">ROUND(T2*U2/10000,0)</f>
        <v>0</v>
      </c>
      <c r="W2" s="2191"/>
      <c r="X2" s="2191"/>
      <c r="Y2" s="2191"/>
      <c r="Z2" s="2191"/>
      <c r="AA2" s="2191"/>
      <c r="AB2" s="2191"/>
      <c r="AC2" s="2192"/>
    </row>
    <row r="3" spans="1:39" ht="24">
      <c r="A3" s="1412" t="s">
        <v>1688</v>
      </c>
      <c r="B3" s="1038">
        <f ca="1">ROUND(B2*10000/D1,0)</f>
        <v>8571</v>
      </c>
      <c r="C3" s="1408" t="s">
        <v>927</v>
      </c>
      <c r="D3" s="1409" t="s">
        <v>928</v>
      </c>
      <c r="E3" s="1413" t="s">
        <v>2999</v>
      </c>
      <c r="F3" s="1414" t="s">
        <v>3141</v>
      </c>
      <c r="G3" s="1039">
        <f>IF(F3="宗地容积率",'数据-汇总表'!I4,IF(F3="估价对象容积率",'数据-汇总表'!I6,'数据-汇总表'!I7))</f>
        <v>2.5</v>
      </c>
      <c r="H3" s="1415" t="s">
        <v>929</v>
      </c>
      <c r="I3" s="1040">
        <v>9</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1.3371999999999999</v>
      </c>
      <c r="T3" s="2939">
        <f t="shared" ref="T3:T16" ca="1" si="0">ROUND($C$5*$C$18*$C$19*$C$20*S3*$C$24,0)</f>
        <v>14585</v>
      </c>
      <c r="U3" s="2928"/>
      <c r="V3" s="2939">
        <f t="shared" ref="V3:V16" ca="1" si="1">ROUND(T3*U3/10000,0)</f>
        <v>0</v>
      </c>
      <c r="W3" s="2191"/>
      <c r="X3" s="2191"/>
      <c r="Y3" s="2191"/>
      <c r="Z3" s="2191"/>
      <c r="AA3" s="2191"/>
      <c r="AB3" s="2191"/>
      <c r="AC3" s="2192"/>
    </row>
    <row r="4" spans="1:39" ht="28.5">
      <c r="A4" s="1893" t="s">
        <v>2283</v>
      </c>
      <c r="B4" s="2455">
        <f ca="1">ROUND(B2*10000/F1,0)</f>
        <v>29140</v>
      </c>
      <c r="C4" s="1896" t="s">
        <v>2257</v>
      </c>
      <c r="D4" s="1896">
        <f ca="1">ROUND(B2/(F1/666.67),0)</f>
        <v>1943</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1.0788</v>
      </c>
      <c r="T4" s="2939">
        <f t="shared" ca="1" si="0"/>
        <v>11767</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8550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0.86560000000000004</v>
      </c>
      <c r="T5" s="2939">
        <f t="shared" ca="1" si="0"/>
        <v>9441</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8570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0.73709999999999998</v>
      </c>
      <c r="T6" s="2939">
        <f t="shared" ca="1" si="0"/>
        <v>8040</v>
      </c>
      <c r="U6" s="2928"/>
      <c r="V6" s="2939">
        <f t="shared" ca="1" si="1"/>
        <v>0</v>
      </c>
      <c r="W6" s="2191"/>
      <c r="X6" s="2191"/>
      <c r="Y6" s="2191"/>
      <c r="Z6" s="2191"/>
      <c r="AA6" s="2191"/>
      <c r="AB6" s="2191"/>
      <c r="AC6" s="2193"/>
      <c r="AD6" s="1420"/>
      <c r="AE6" s="1420"/>
      <c r="AF6" s="1420"/>
      <c r="AG6" s="1420"/>
      <c r="AH6" s="1420"/>
      <c r="AI6" s="1420"/>
      <c r="AJ6" s="1421"/>
    </row>
    <row r="7" spans="1:39" ht="24">
      <c r="A7" s="3476" t="str">
        <f>IF(E2="商业",IF(C8="不临58条商业街","",2),"")</f>
        <v/>
      </c>
      <c r="B7" s="1428" t="s">
        <v>932</v>
      </c>
      <c r="C7" s="1043">
        <f>IF(C8="不临58条商业街",1,ROUND(1+(1.6*E8+1.2*E9+0.8*E10+0.4*E11)*C9,4))</f>
        <v>1</v>
      </c>
      <c r="D7" s="1429" t="s">
        <v>933</v>
      </c>
      <c r="E7" s="1044">
        <v>60</v>
      </c>
      <c r="F7" s="1430"/>
      <c r="G7" s="1431"/>
      <c r="H7" s="1431"/>
      <c r="I7" s="1431"/>
      <c r="J7" s="1432"/>
      <c r="K7" s="1596"/>
      <c r="L7" s="1887" t="s">
        <v>2247</v>
      </c>
      <c r="M7" s="1888">
        <f>SUMPRODUCT((区片价!B158:B205=I2)*(区片价!C3:F3=E2)*(区片价!C158:F205))</f>
        <v>8570</v>
      </c>
      <c r="N7" s="1889">
        <f>SUMPRODUCT((因素修正幅度!B158:B205=I2)*(因素修正幅度!C3:F3=E2)*(因素修正幅度!C158:F205))</f>
        <v>0.13</v>
      </c>
      <c r="O7" s="2191"/>
      <c r="P7" s="2191"/>
      <c r="Q7" s="2191"/>
      <c r="R7" s="2939">
        <v>6</v>
      </c>
      <c r="S7" s="2939">
        <f>ROUND(IF(G3&gt;1,IF(R7&lt;7,SUMPRODUCT((B93:B98=R7)*(C92:N92=G2)*(C93:N98)),SUMIF(C92:N92,G2,C100:N100)),IF(R7&lt;7,SUMPRODUCT((B102:B107=R7)*(C92:N92=G2)*(C102:N107)),SUMIF(C92:N92,G2,C109:N109))),4)</f>
        <v>0.6482</v>
      </c>
      <c r="T7" s="2939">
        <f t="shared" ca="1" si="0"/>
        <v>7070</v>
      </c>
      <c r="U7" s="2928"/>
      <c r="V7" s="2939">
        <f t="shared" ca="1" si="1"/>
        <v>0</v>
      </c>
      <c r="W7" s="2937" t="s">
        <v>2767</v>
      </c>
      <c r="X7" s="2929" t="str">
        <f>G2</f>
        <v>七级</v>
      </c>
      <c r="Y7" s="2929" t="s">
        <v>2768</v>
      </c>
      <c r="Z7" s="2930">
        <f>G3</f>
        <v>2.5</v>
      </c>
      <c r="AA7" s="2194"/>
      <c r="AB7" s="2194"/>
      <c r="AC7" s="2195"/>
      <c r="AD7" s="2931"/>
      <c r="AE7" s="2931"/>
      <c r="AF7" s="2931"/>
      <c r="AG7" s="2931"/>
      <c r="AH7" s="2931"/>
      <c r="AI7" s="2931"/>
      <c r="AJ7" s="2932"/>
    </row>
    <row r="8" spans="1:39" ht="25.5">
      <c r="A8" s="3477"/>
      <c r="B8" s="1415" t="s">
        <v>934</v>
      </c>
      <c r="C8" s="1530" t="s">
        <v>3002</v>
      </c>
      <c r="D8" s="1045" t="s">
        <v>935</v>
      </c>
      <c r="E8" s="1046">
        <f>ROUND(C11/E7,4)</f>
        <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68" t="s">
        <v>2785</v>
      </c>
      <c r="X8" s="3469"/>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77"/>
      <c r="B9" s="1415" t="s">
        <v>937</v>
      </c>
      <c r="C9" s="1047">
        <f>SUMIF(修正!C59:C119,C8,修正!E59:E119)</f>
        <v>0</v>
      </c>
      <c r="D9" s="1048" t="s">
        <v>938</v>
      </c>
      <c r="E9" s="1048">
        <f>ROUND(C11/E7,4)</f>
        <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67" t="s">
        <v>2781</v>
      </c>
      <c r="X9" s="2933" t="s">
        <v>2782</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77"/>
      <c r="B10" s="1415" t="s">
        <v>940</v>
      </c>
      <c r="C10" s="1048">
        <f>SUMIF(修正!C59:C119,C8,修正!F59:F119)</f>
        <v>0</v>
      </c>
      <c r="D10" s="1048" t="s">
        <v>941</v>
      </c>
      <c r="E10" s="1048">
        <f>ROUND(C11/E7,4)</f>
        <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6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77"/>
      <c r="B11" s="1436" t="s">
        <v>943</v>
      </c>
      <c r="C11" s="1049">
        <f>C10/4</f>
        <v>0</v>
      </c>
      <c r="D11" s="1049" t="s">
        <v>944</v>
      </c>
      <c r="E11" s="1049">
        <f>ROUND(C11/E7,4)</f>
        <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67" t="s">
        <v>2783</v>
      </c>
      <c r="X11" s="1048" t="s">
        <v>2768</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76" t="s">
        <v>1872</v>
      </c>
      <c r="B12" s="1440" t="s">
        <v>946</v>
      </c>
      <c r="C12" s="1043">
        <f>ROUND(C15*D15*E15*F15*G15*H15*I15*J15,4)</f>
        <v>1.1000000000000001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67"/>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78"/>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67"/>
      <c r="X13" s="2936"/>
      <c r="Y13" s="2935">
        <f>(-0.163*(Y12^2)-0.59*Y12+7617)*(10^(-4))/Y11</f>
        <v>0.30468000000000001</v>
      </c>
      <c r="Z13" s="2935">
        <f t="shared" ref="Z13:AJ13" si="5">(-0.163*(Z12^2)-0.59*Z12+7617)*(10^(-4))/Z11</f>
        <v>0.30468000000000001</v>
      </c>
      <c r="AA13" s="2935">
        <f t="shared" si="5"/>
        <v>0.30468000000000001</v>
      </c>
      <c r="AB13" s="2935">
        <f t="shared" si="5"/>
        <v>0.30468000000000001</v>
      </c>
      <c r="AC13" s="2935">
        <f t="shared" si="5"/>
        <v>0.30468000000000001</v>
      </c>
      <c r="AD13" s="2935">
        <f t="shared" si="5"/>
        <v>0.30468000000000001</v>
      </c>
      <c r="AE13" s="2935">
        <f t="shared" si="5"/>
        <v>0.30468000000000001</v>
      </c>
      <c r="AF13" s="2935">
        <f t="shared" si="5"/>
        <v>0.30468000000000001</v>
      </c>
      <c r="AG13" s="2935">
        <f t="shared" si="5"/>
        <v>0.30468000000000001</v>
      </c>
      <c r="AH13" s="2935">
        <f t="shared" si="5"/>
        <v>0.30468000000000001</v>
      </c>
      <c r="AI13" s="2935">
        <f t="shared" si="5"/>
        <v>0.30468000000000001</v>
      </c>
      <c r="AJ13" s="2935">
        <f t="shared" si="5"/>
        <v>0.30468000000000001</v>
      </c>
    </row>
    <row r="14" spans="1:39" ht="12.75" customHeight="1" thickBot="1">
      <c r="A14" s="3478"/>
      <c r="B14" s="1452"/>
      <c r="C14" s="1453" t="s">
        <v>3000</v>
      </c>
      <c r="D14" s="1454" t="s">
        <v>3001</v>
      </c>
      <c r="E14" s="1454" t="s">
        <v>3001</v>
      </c>
      <c r="F14" s="1455" t="s">
        <v>3090</v>
      </c>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79"/>
      <c r="B15" s="1460" t="s">
        <v>1701</v>
      </c>
      <c r="C15" s="1051">
        <f>IF(C14="有",1.1,1)</f>
        <v>1.1000000000000001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476" t="s">
        <v>1839</v>
      </c>
      <c r="B16" s="1428" t="s">
        <v>950</v>
      </c>
      <c r="C16" s="1054">
        <f>ROUND(SUM(G17:J17)/C17,0)</f>
        <v>20</v>
      </c>
      <c r="D16" s="1461" t="s">
        <v>951</v>
      </c>
      <c r="E16" s="1462" t="s">
        <v>3056</v>
      </c>
      <c r="F16" s="1463" t="s">
        <v>3055</v>
      </c>
      <c r="G16" s="1464" t="s">
        <v>2991</v>
      </c>
      <c r="H16" s="1464"/>
      <c r="I16" s="1464"/>
      <c r="J16" s="1464"/>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77"/>
      <c r="B17" s="1466" t="s">
        <v>953</v>
      </c>
      <c r="C17" s="1055">
        <f>SUMPRODUCT((修正!A2:A5=E2)*(修正!B1:M1=G2)*(修正!B2:M5))</f>
        <v>2.5</v>
      </c>
      <c r="D17" s="1468" t="s">
        <v>954</v>
      </c>
      <c r="E17" s="1469" t="str">
        <f>IF(OR(G2="八级",G2="九级",G2="十级",G2="十一级",G2="十二级"),"五通一平","七通一平")</f>
        <v>七通一平</v>
      </c>
      <c r="F17" s="1467"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1.2928999999999999</v>
      </c>
      <c r="D19" s="1475" t="s">
        <v>958</v>
      </c>
      <c r="E19" s="1058">
        <v>41640</v>
      </c>
      <c r="F19" s="1475" t="s">
        <v>959</v>
      </c>
      <c r="G19" s="1059">
        <f>'数据-取费表'!B2</f>
        <v>43205</v>
      </c>
      <c r="H19" s="1476" t="s">
        <v>3003</v>
      </c>
      <c r="I19" s="2786" t="str">
        <f>IF(H19="季度增幅（自定义）",SUMIF(N21:N24,E2,O21:O24),"")</f>
        <v/>
      </c>
      <c r="J19" s="1472"/>
      <c r="K19" s="1482"/>
      <c r="L19" s="3042" t="s">
        <v>2842</v>
      </c>
      <c r="M19" s="3043">
        <f>ROUND(SUMIF(地价!B2:F2,E2,地价!B23:F23),0)</f>
        <v>258</v>
      </c>
      <c r="N19" s="2788" t="s">
        <v>1677</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0.95740000000000003</v>
      </c>
      <c r="D20" s="2783" t="s">
        <v>973</v>
      </c>
      <c r="E20" s="3098">
        <f ca="1">存贷款利率!I4/100</f>
        <v>4.3499999999999997E-2</v>
      </c>
      <c r="F20" s="2783" t="s">
        <v>974</v>
      </c>
      <c r="G20" s="2784">
        <f ca="1">SUMIF(M15:P15,E2,M17:P17)</f>
        <v>5.1999999999999998E-2</v>
      </c>
      <c r="H20" s="2783" t="s">
        <v>975</v>
      </c>
      <c r="I20" s="2773">
        <f>SUMIF('数据-取费表'!C6:C15,E2,'数据-取费表'!F6:F15)/COUNTIF('数据-取费表'!C6:C15,E2)</f>
        <v>42.07</v>
      </c>
      <c r="J20" s="2785">
        <f>IF(E2="住宅",70,IF(E2="商业",40,50))</f>
        <v>50</v>
      </c>
      <c r="K20" s="1482"/>
      <c r="L20" s="3044" t="s">
        <v>2843</v>
      </c>
      <c r="M20" s="3045">
        <f>ROUND(SUMPRODUCT((地价!A4:A23=YEAR(G19)&amp;"-"&amp;ROUNDUP(MONTH(G19)/3,0))*(地价!B2:F2=E2)*(地价!B4:F23)),0)</f>
        <v>333</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3142</v>
      </c>
      <c r="C21" s="1158">
        <f>IF(B21="容积率修正",IF(G3&lt;=10,D22,J22),C23)</f>
        <v>1</v>
      </c>
      <c r="D21" s="1482"/>
      <c r="E21" s="1482"/>
      <c r="F21" s="1482"/>
      <c r="G21" s="1482"/>
      <c r="H21" s="1482"/>
      <c r="I21" s="1482"/>
      <c r="J21" s="1483"/>
      <c r="K21" s="1482"/>
      <c r="L21" s="1482"/>
      <c r="M21" s="1482"/>
      <c r="N21" s="1479" t="s">
        <v>976</v>
      </c>
      <c r="O21" s="1543"/>
      <c r="P21" s="2771">
        <f>SUMPRODUCT((地价!A3:A23=YEAR(G19)&amp;"-"&amp;ROUNDUP(MONTH(G19)/3,0))*(地价!AD2:AH2=N21)*(地价!AD3:AH23))</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2.5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71">
        <f>SUMPRODUCT((地价!A3:A23=YEAR(G19)&amp;"-"&amp;ROUNDUP(MONTH(G19)/3,0))*(地价!AD2:AH2=N22)*(地价!AD3:AH23))</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0.6452</v>
      </c>
      <c r="D23" s="1531"/>
      <c r="E23" s="1531"/>
      <c r="F23" s="1532"/>
      <c r="G23" s="1533"/>
      <c r="H23" s="1534"/>
      <c r="I23" s="1535"/>
      <c r="J23" s="1535"/>
      <c r="K23" s="1402"/>
      <c r="L23" s="1402"/>
      <c r="M23" s="1402"/>
      <c r="N23" s="1479" t="s">
        <v>923</v>
      </c>
      <c r="O23" s="1543"/>
      <c r="P23" s="2771">
        <f>SUMPRODUCT((地价!A3:A23=YEAR(G19)&amp;"-"&amp;ROUNDUP(MONTH(G19)/3,0))*(地价!AD2:AH2=N23)*(地价!AD3:AH23))</f>
        <v>2.5000000000000001E-2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1.0306</v>
      </c>
      <c r="D24" s="1536"/>
      <c r="E24" s="1537"/>
      <c r="F24" s="1537"/>
      <c r="G24" s="1537"/>
      <c r="H24" s="1537"/>
      <c r="I24" s="1537"/>
      <c r="J24" s="1537"/>
      <c r="K24" s="1482"/>
      <c r="L24" s="1482"/>
      <c r="M24" s="1482"/>
      <c r="N24" s="1485" t="s">
        <v>982</v>
      </c>
      <c r="O24" s="1544"/>
      <c r="P24" s="1542">
        <f>SUMPRODUCT((地价!A3:A23=YEAR(G19)&amp;"-"&amp;ROUNDUP(MONTH(G19)/3,0))*(地价!AD2:AH2=N24)*(地价!AD3:AH23))</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2.2700000000000001E-2</v>
      </c>
      <c r="R25" s="2927"/>
      <c r="S25" s="2927"/>
      <c r="T25" s="2927"/>
      <c r="U25" s="2927"/>
      <c r="V25" s="2927"/>
      <c r="W25" s="2197"/>
      <c r="X25" s="2197"/>
      <c r="Y25" s="2197"/>
      <c r="Z25" s="2197"/>
      <c r="AA25" s="2197"/>
      <c r="AB25" s="2197"/>
      <c r="AC25" s="2197"/>
    </row>
    <row r="26" spans="1:40" ht="14.25">
      <c r="A26" s="1490"/>
      <c r="B26" s="1484" t="s">
        <v>987</v>
      </c>
      <c r="C26" s="1063">
        <f ca="1">E29+SUM(E33:E39)</f>
        <v>11848</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224</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10907</v>
      </c>
      <c r="D29" s="1505">
        <f>'数据-基础表'!I13</f>
        <v>10040.61</v>
      </c>
      <c r="E29" s="1851">
        <f ca="1">ROUND(C29*D29/10000,0)</f>
        <v>10951</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2727</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82" t="s">
        <v>2962</v>
      </c>
      <c r="B33" s="1525" t="s">
        <v>1000</v>
      </c>
      <c r="C33" s="1063">
        <f ca="1">ROUND(D5*C19*C20*C24*F33,0)</f>
        <v>0</v>
      </c>
      <c r="D33" s="1538"/>
      <c r="E33" s="1048">
        <f ca="1">ROUND(C33*D33/10000,0)</f>
        <v>0</v>
      </c>
      <c r="F33" s="1048">
        <f>SUMIF(修正!A45:A56,G2,修正!B45:B56)</f>
        <v>0.7</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83"/>
      <c r="B34" s="1446" t="s">
        <v>1001</v>
      </c>
      <c r="C34" s="1063">
        <f ca="1">ROUND(D5*C19*C20*C24*F34,0)</f>
        <v>0</v>
      </c>
      <c r="D34" s="1538"/>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83"/>
      <c r="B35" s="1446" t="s">
        <v>1002</v>
      </c>
      <c r="C35" s="1063">
        <f ca="1">ROUND(D5*C19*C20*C24*F35,0)</f>
        <v>0</v>
      </c>
      <c r="D35" s="1538"/>
      <c r="E35" s="1048">
        <f t="shared" ca="1" si="7"/>
        <v>0</v>
      </c>
      <c r="F35" s="1048">
        <f>SUMIF(修正!A45:A56,G2,修正!D45:D56)</f>
        <v>0.28000000000000003</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84"/>
      <c r="B36" s="1446" t="s">
        <v>1003</v>
      </c>
      <c r="C36" s="1063">
        <f ca="1">ROUND(D5*C19*C20*C24*F36,0)</f>
        <v>0</v>
      </c>
      <c r="D36" s="1538"/>
      <c r="E36" s="1048">
        <f t="shared" ca="1" si="7"/>
        <v>0</v>
      </c>
      <c r="F36" s="1048">
        <f>SUMIF(修正!A45:A56,G2,修正!E45:E56)</f>
        <v>0.25</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2727</v>
      </c>
      <c r="D37" s="1538">
        <f>'数据-基础表'!K13</f>
        <v>1319.25</v>
      </c>
      <c r="E37" s="1048">
        <f t="shared" ca="1" si="7"/>
        <v>360</v>
      </c>
      <c r="F37" s="1063">
        <f>SUMIF(修正!A45:A56,G2,修正!F45:F56)</f>
        <v>0.25</v>
      </c>
      <c r="G37" s="1048">
        <f ca="1">ROUND(IF(E2="工业",C37*$M$39,C37*$M$38),0)</f>
        <v>682</v>
      </c>
      <c r="H37" s="1048">
        <f t="shared" si="8"/>
        <v>1319.25</v>
      </c>
      <c r="I37" s="1048">
        <f t="shared" ca="1" si="9"/>
        <v>90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2727</v>
      </c>
      <c r="D38" s="1538"/>
      <c r="E38" s="1048">
        <f t="shared" ca="1" si="7"/>
        <v>0</v>
      </c>
      <c r="F38" s="1063">
        <f>SUMIF(修正!A45:A56,G2,修正!G45:G56)</f>
        <v>0.25</v>
      </c>
      <c r="G38" s="1048">
        <f ca="1">ROUND(IF(E2="工业",C38*$M$39,C38*$M$38),0)</f>
        <v>682</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2181</v>
      </c>
      <c r="D39" s="1539">
        <f>'数据-基础表'!M13</f>
        <v>2463.33</v>
      </c>
      <c r="E39" s="1051">
        <f t="shared" ca="1" si="7"/>
        <v>537</v>
      </c>
      <c r="F39" s="1065">
        <f>SUMIF(修正!A45:A56,G2,修正!H45:H56)</f>
        <v>0.2</v>
      </c>
      <c r="G39" s="1051">
        <f ca="1">ROUND(IF(E2="工业",C39*$M$39,C39*$M$38),0)</f>
        <v>545</v>
      </c>
      <c r="H39" s="1051">
        <f t="shared" si="8"/>
        <v>2463.33</v>
      </c>
      <c r="I39" s="1051">
        <f t="shared" ca="1" si="9"/>
        <v>134</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84" hidden="1">
      <c r="A48" s="1067" t="s">
        <v>1022</v>
      </c>
      <c r="B48" s="2410" t="str">
        <f>估价对象房地状况!C18</f>
        <v>估价对象紧邻城市次干道—欣旺北大街，周边有381路、兴13路等多条公交线路通过，距地铁大兴线（西红门站）约1.2公里，综合评价交通便捷度一般。</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1024</v>
      </c>
      <c r="B50" s="3100" t="s">
        <v>2938</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1025</v>
      </c>
      <c r="B51" s="2410" t="str">
        <f>估价对象房地状况!C24</f>
        <v>城市次干道—欣旺北大街</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1026</v>
      </c>
      <c r="B52" s="3099" t="s">
        <v>2937</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1028</v>
      </c>
      <c r="B54" s="2410" t="str">
        <f>估价对象房地状况!C22</f>
        <v>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hidden="1" thickBot="1">
      <c r="A55" s="2443" t="s">
        <v>1029</v>
      </c>
      <c r="B55" s="2414" t="str">
        <f>估价对象房地状况!C20</f>
        <v>区域自然环境：西红门九龙口休闲公园、兴海公园等；人文环境：快乐392高尔夫俱乐部等；综合评价环境状况较好。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1.0306</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估价对象周边主要以居住为主，办公楼项目较少，办公集聚程度一般。</v>
      </c>
      <c r="C58" s="1050" t="s">
        <v>3057</v>
      </c>
      <c r="D58" s="2419">
        <f t="shared" ref="D58:D66" si="15">SUMIF($J$57:$N$57,C58,J58:N58)</f>
        <v>0</v>
      </c>
      <c r="E58" s="2438">
        <f>ROUND(SUM(D58:D66),4)</f>
        <v>3.0599999999999999E-2</v>
      </c>
      <c r="F58" s="2439">
        <f>IF(E2="办公",SUMIF(L1:L12,G2,N1:N12),"——")</f>
        <v>0.13</v>
      </c>
      <c r="G58" s="2417">
        <v>1.5599999999999999E-2</v>
      </c>
      <c r="H58" s="2463">
        <f>IFERROR(ROUNDDOWN($F$58*I58/2,4),"——")</f>
        <v>1.5599999999999999E-2</v>
      </c>
      <c r="I58" s="2437">
        <v>0.24</v>
      </c>
      <c r="J58" s="2440">
        <f t="shared" ref="J58:J66" si="16">K58+$G58</f>
        <v>3.1199999999999999E-2</v>
      </c>
      <c r="K58" s="2440">
        <f t="shared" ref="K58:K66" si="17">$L58+$G58</f>
        <v>1.5599999999999999E-2</v>
      </c>
      <c r="L58" s="2440">
        <v>0</v>
      </c>
      <c r="M58" s="2440">
        <f t="shared" ref="M58:N66" si="18">L58-$G58</f>
        <v>-1.5599999999999999E-2</v>
      </c>
      <c r="N58" s="2440">
        <f t="shared" si="18"/>
        <v>-3.1199999999999999E-2</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84">
      <c r="A59" s="1067" t="s">
        <v>1022</v>
      </c>
      <c r="B59" s="2410" t="str">
        <f>估价对象房地状况!C18</f>
        <v>估价对象紧邻城市次干道—欣旺北大街，周边有381路、兴13路等多条公交线路通过，距地铁大兴线（西红门站）约1.2公里，综合评价交通便捷度一般。</v>
      </c>
      <c r="C59" s="1050" t="s">
        <v>3057</v>
      </c>
      <c r="D59" s="2419">
        <f t="shared" si="15"/>
        <v>0</v>
      </c>
      <c r="E59" s="2441"/>
      <c r="F59" s="2439"/>
      <c r="G59" s="2417">
        <v>1.95E-2</v>
      </c>
      <c r="H59" s="2418">
        <f t="shared" ref="H59:H66" si="19">IFERROR($F$58*I59/2,"——")</f>
        <v>1.95E-2</v>
      </c>
      <c r="I59" s="2437">
        <v>0.3</v>
      </c>
      <c r="J59" s="2440">
        <f t="shared" si="16"/>
        <v>3.9E-2</v>
      </c>
      <c r="K59" s="2440">
        <f t="shared" si="17"/>
        <v>1.95E-2</v>
      </c>
      <c r="L59" s="2440">
        <v>0</v>
      </c>
      <c r="M59" s="2440">
        <f t="shared" si="18"/>
        <v>-1.95E-2</v>
      </c>
      <c r="N59" s="2440">
        <f t="shared" si="18"/>
        <v>-3.9E-2</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t="s">
        <v>3058</v>
      </c>
      <c r="D60" s="2419">
        <f t="shared" si="15"/>
        <v>5.1999999999999998E-3</v>
      </c>
      <c r="E60" s="2441"/>
      <c r="F60" s="2439"/>
      <c r="G60" s="2417">
        <v>5.1999999999999998E-3</v>
      </c>
      <c r="H60" s="2418">
        <f t="shared" si="19"/>
        <v>5.2000000000000006E-3</v>
      </c>
      <c r="I60" s="2437">
        <v>0.08</v>
      </c>
      <c r="J60" s="2440">
        <f t="shared" si="16"/>
        <v>1.04E-2</v>
      </c>
      <c r="K60" s="2440">
        <f t="shared" si="17"/>
        <v>5.1999999999999998E-3</v>
      </c>
      <c r="L60" s="2440">
        <v>0</v>
      </c>
      <c r="M60" s="2440">
        <f t="shared" si="18"/>
        <v>-5.1999999999999998E-3</v>
      </c>
      <c r="N60" s="2440">
        <f t="shared" si="18"/>
        <v>-1.04E-2</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2939</v>
      </c>
      <c r="C61" s="1050" t="s">
        <v>3058</v>
      </c>
      <c r="D61" s="2419">
        <f t="shared" si="15"/>
        <v>2.5999999999999999E-3</v>
      </c>
      <c r="E61" s="2441"/>
      <c r="F61" s="2439"/>
      <c r="G61" s="2417">
        <v>2.5999999999999999E-3</v>
      </c>
      <c r="H61" s="2418">
        <f t="shared" si="19"/>
        <v>2.6000000000000003E-3</v>
      </c>
      <c r="I61" s="2437">
        <v>0.04</v>
      </c>
      <c r="J61" s="2440">
        <f t="shared" si="16"/>
        <v>5.1999999999999998E-3</v>
      </c>
      <c r="K61" s="2440">
        <f t="shared" si="17"/>
        <v>2.5999999999999999E-3</v>
      </c>
      <c r="L61" s="2440">
        <v>0</v>
      </c>
      <c r="M61" s="2440">
        <f t="shared" si="18"/>
        <v>-2.5999999999999999E-3</v>
      </c>
      <c r="N61" s="2440">
        <f t="shared" si="18"/>
        <v>-5.1999999999999998E-3</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t="str">
        <f>估价对象房地状况!C24</f>
        <v>城市次干道—欣旺北大街</v>
      </c>
      <c r="C62" s="1050" t="s">
        <v>3057</v>
      </c>
      <c r="D62" s="2419">
        <f t="shared" si="15"/>
        <v>0</v>
      </c>
      <c r="E62" s="2441"/>
      <c r="F62" s="2439"/>
      <c r="G62" s="2417">
        <v>3.2499999999999999E-3</v>
      </c>
      <c r="H62" s="2418">
        <f t="shared" si="19"/>
        <v>3.2500000000000003E-3</v>
      </c>
      <c r="I62" s="2437">
        <v>0.05</v>
      </c>
      <c r="J62" s="2440">
        <f t="shared" si="16"/>
        <v>6.4999999999999997E-3</v>
      </c>
      <c r="K62" s="2440">
        <f t="shared" si="17"/>
        <v>3.2499999999999999E-3</v>
      </c>
      <c r="L62" s="2440">
        <v>0</v>
      </c>
      <c r="M62" s="2440">
        <f t="shared" si="18"/>
        <v>-3.2499999999999999E-3</v>
      </c>
      <c r="N62" s="2440">
        <f t="shared" si="18"/>
        <v>-6.4999999999999997E-3</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2937</v>
      </c>
      <c r="C63" s="1050" t="s">
        <v>3058</v>
      </c>
      <c r="D63" s="2419">
        <f t="shared" si="15"/>
        <v>3.2499999999999999E-3</v>
      </c>
      <c r="E63" s="2441"/>
      <c r="F63" s="2439"/>
      <c r="G63" s="2417">
        <v>3.2499999999999999E-3</v>
      </c>
      <c r="H63" s="2418">
        <f t="shared" si="19"/>
        <v>3.2500000000000003E-3</v>
      </c>
      <c r="I63" s="2437">
        <v>0.05</v>
      </c>
      <c r="J63" s="2440">
        <f t="shared" si="16"/>
        <v>6.4999999999999997E-3</v>
      </c>
      <c r="K63" s="2440">
        <f t="shared" si="17"/>
        <v>3.2499999999999999E-3</v>
      </c>
      <c r="L63" s="2440">
        <v>0</v>
      </c>
      <c r="M63" s="2440">
        <f t="shared" si="18"/>
        <v>-3.2499999999999999E-3</v>
      </c>
      <c r="N63" s="2440">
        <f t="shared" si="18"/>
        <v>-6.4999999999999997E-3</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t="s">
        <v>3057</v>
      </c>
      <c r="D64" s="2419">
        <f t="shared" si="15"/>
        <v>0</v>
      </c>
      <c r="E64" s="2441"/>
      <c r="F64" s="2439"/>
      <c r="G64" s="2417">
        <v>3.8999999999999998E-3</v>
      </c>
      <c r="H64" s="2418">
        <f t="shared" si="19"/>
        <v>3.8999999999999998E-3</v>
      </c>
      <c r="I64" s="2437">
        <v>0.06</v>
      </c>
      <c r="J64" s="2440">
        <f t="shared" si="16"/>
        <v>7.7999999999999996E-3</v>
      </c>
      <c r="K64" s="2440">
        <f t="shared" si="17"/>
        <v>3.8999999999999998E-3</v>
      </c>
      <c r="L64" s="2440">
        <v>0</v>
      </c>
      <c r="M64" s="2440">
        <f t="shared" si="18"/>
        <v>-3.8999999999999998E-3</v>
      </c>
      <c r="N64" s="2440">
        <f t="shared" si="18"/>
        <v>-7.7999999999999996E-3</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七通</v>
      </c>
      <c r="C65" s="1050" t="s">
        <v>3114</v>
      </c>
      <c r="D65" s="2419">
        <f t="shared" si="15"/>
        <v>1.5599999999999999E-2</v>
      </c>
      <c r="E65" s="2441"/>
      <c r="F65" s="2439"/>
      <c r="G65" s="2417">
        <v>7.7999999999999996E-3</v>
      </c>
      <c r="H65" s="2418">
        <f t="shared" si="19"/>
        <v>7.7999999999999996E-3</v>
      </c>
      <c r="I65" s="2437">
        <v>0.12</v>
      </c>
      <c r="J65" s="2440">
        <f t="shared" si="16"/>
        <v>1.5599999999999999E-2</v>
      </c>
      <c r="K65" s="2440">
        <f t="shared" si="17"/>
        <v>7.7999999999999996E-3</v>
      </c>
      <c r="L65" s="2440">
        <v>0</v>
      </c>
      <c r="M65" s="2440">
        <f t="shared" si="18"/>
        <v>-7.7999999999999996E-3</v>
      </c>
      <c r="N65" s="2440">
        <f t="shared" si="18"/>
        <v>-1.5599999999999999E-2</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43" t="s">
        <v>1029</v>
      </c>
      <c r="B66" s="2415" t="str">
        <f>估价对象房地状况!C20</f>
        <v>区域自然环境：西红门九龙口休闲公园、兴海公园等；人文环境：快乐392高尔夫俱乐部等；综合评价环境状况较好。</v>
      </c>
      <c r="C66" s="1050" t="s">
        <v>3058</v>
      </c>
      <c r="D66" s="2419">
        <f t="shared" si="15"/>
        <v>3.8999999999999998E-3</v>
      </c>
      <c r="E66" s="2445"/>
      <c r="F66" s="2439"/>
      <c r="G66" s="2417">
        <v>3.8999999999999998E-3</v>
      </c>
      <c r="H66" s="2418">
        <f t="shared" si="19"/>
        <v>3.8999999999999998E-3</v>
      </c>
      <c r="I66" s="2444">
        <v>0.06</v>
      </c>
      <c r="J66" s="2440">
        <f t="shared" si="16"/>
        <v>7.7999999999999996E-3</v>
      </c>
      <c r="K66" s="2440">
        <f t="shared" si="17"/>
        <v>3.8999999999999998E-3</v>
      </c>
      <c r="L66" s="2440">
        <v>0</v>
      </c>
      <c r="M66" s="2440">
        <f t="shared" si="18"/>
        <v>-3.8999999999999998E-3</v>
      </c>
      <c r="N66" s="2440">
        <f t="shared" si="18"/>
        <v>-7.7999999999999996E-3</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hidden="1">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hidden="1">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hidden="1">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84" hidden="1">
      <c r="A70" s="1067" t="s">
        <v>1034</v>
      </c>
      <c r="B70" s="2410" t="str">
        <f>估价对象房地状况!C18</f>
        <v>估价对象紧邻城市次干道—欣旺北大街，周边有381路、兴13路等多条公交线路通过，距地铁大兴线（西红门站）约1.2公里，综合评价交通便捷度一般。</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hidden="1">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hidden="1">
      <c r="A72" s="1067" t="s">
        <v>1035</v>
      </c>
      <c r="B72" s="2410" t="str">
        <f>估价对象房地状况!C24</f>
        <v>城市次干道—欣旺北大街</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hidden="1">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hidden="1">
      <c r="A74" s="1067" t="s">
        <v>1028</v>
      </c>
      <c r="B74" s="2411" t="str">
        <f>估价对象房地状况!C22</f>
        <v>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hidden="1">
      <c r="A75" s="1067" t="s">
        <v>1026</v>
      </c>
      <c r="B75" s="3099" t="s">
        <v>2937</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hidden="1">
      <c r="A76" s="1067" t="s">
        <v>1029</v>
      </c>
      <c r="B76" s="2413" t="str">
        <f>估价对象房地状况!C20</f>
        <v>区域自然环境：西红门九龙口休闲公园、兴海公园等；人文环境：快乐392高尔夫俱乐部等；综合评价环境状况较好。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hidden="1"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hidden="1">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hidden="1">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hidden="1">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hidden="1">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hidden="1">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hidden="1">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hidden="1">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hidden="1">
      <c r="A86" s="1067" t="s">
        <v>1026</v>
      </c>
      <c r="B86" s="3099" t="s">
        <v>2937</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hidden="1"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80" t="s">
        <v>1634</v>
      </c>
      <c r="B90" s="3480"/>
      <c r="C90" s="3480"/>
      <c r="D90" s="3480"/>
      <c r="E90" s="3480"/>
      <c r="F90" s="3480"/>
      <c r="G90" s="3480"/>
      <c r="H90" s="3480"/>
      <c r="I90" s="3480"/>
      <c r="J90" s="3480"/>
      <c r="K90" s="2452"/>
      <c r="L90" s="2452"/>
      <c r="M90" s="2452"/>
      <c r="N90" s="2452"/>
    </row>
    <row r="91" spans="1:40">
      <c r="A91" s="3481" t="s">
        <v>1444</v>
      </c>
      <c r="B91" s="3481" t="s">
        <v>1635</v>
      </c>
      <c r="C91" s="1140" t="s">
        <v>1636</v>
      </c>
      <c r="D91" s="1141"/>
      <c r="E91" s="1141"/>
      <c r="F91" s="1141"/>
      <c r="G91" s="1141"/>
      <c r="H91" s="1141"/>
      <c r="I91" s="1141"/>
      <c r="J91" s="1142"/>
      <c r="K91" s="1134"/>
      <c r="L91" s="1134"/>
      <c r="M91" s="1134"/>
      <c r="N91" s="1134"/>
    </row>
    <row r="92" spans="1:40">
      <c r="A92" s="3481"/>
      <c r="B92" s="3481"/>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7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1"/>
      <c r="B99" s="1143" t="s">
        <v>1637</v>
      </c>
      <c r="C99" s="1145">
        <f>$I$3</f>
        <v>9</v>
      </c>
      <c r="D99" s="1145">
        <f t="shared" ref="D99:N99" si="30">$I$3</f>
        <v>9</v>
      </c>
      <c r="E99" s="1145">
        <f t="shared" si="30"/>
        <v>9</v>
      </c>
      <c r="F99" s="1145">
        <f t="shared" si="30"/>
        <v>9</v>
      </c>
      <c r="G99" s="1145">
        <f t="shared" si="30"/>
        <v>9</v>
      </c>
      <c r="H99" s="1145">
        <f t="shared" si="30"/>
        <v>9</v>
      </c>
      <c r="I99" s="1145">
        <f t="shared" si="30"/>
        <v>9</v>
      </c>
      <c r="J99" s="1145">
        <f t="shared" si="30"/>
        <v>9</v>
      </c>
      <c r="K99" s="1145">
        <f t="shared" si="30"/>
        <v>9</v>
      </c>
      <c r="L99" s="1145">
        <f t="shared" si="30"/>
        <v>9</v>
      </c>
      <c r="M99" s="1145">
        <f t="shared" si="30"/>
        <v>9</v>
      </c>
      <c r="N99" s="1145">
        <f t="shared" si="30"/>
        <v>9</v>
      </c>
    </row>
    <row r="100" spans="1:14">
      <c r="A100" s="3472"/>
      <c r="B100" s="1143">
        <v>7</v>
      </c>
      <c r="C100" s="1146">
        <f>(-0.163*(C99^2)-0.59*C99+7617)*(10^(-4))</f>
        <v>0.75984870000000004</v>
      </c>
      <c r="D100" s="1146">
        <f>(-0.163*(D99^2)-0.59*D99+7617)*(10^(-4))</f>
        <v>0.75984870000000004</v>
      </c>
      <c r="E100" s="1146">
        <f>(-0.161*(E99^2)-7.509*E99+6533)*(10^(-4))</f>
        <v>0.64523779999999997</v>
      </c>
      <c r="F100" s="1146">
        <f>(-0.161*(F99^2)-7.509*F99+6533)*(10^(-4))</f>
        <v>0.64523779999999997</v>
      </c>
      <c r="G100" s="1146">
        <f>(-0.161*(G99^2)-7.509*G99+6533)*(10^(-4))</f>
        <v>0.64523779999999997</v>
      </c>
      <c r="H100" s="1146">
        <f>(-0.161*(H99^2)-7.509*H99+6533)*(10^(-4))</f>
        <v>0.64523779999999997</v>
      </c>
      <c r="I100" s="1146">
        <f>(-0.161*(I99^2)-7.509*I99+6533)*(10^(-4))</f>
        <v>0.64523779999999997</v>
      </c>
      <c r="J100" s="1146">
        <f>(-0.214*(J99^2)-21.991*J99+4665)*(10^(-4))</f>
        <v>0.44497470000000006</v>
      </c>
      <c r="K100" s="1146">
        <f>(-0.214*(K99^2)-21.991*K99+4665)*(10^(-4))</f>
        <v>0.44497470000000006</v>
      </c>
      <c r="L100" s="1146">
        <f>(-0.214*(L99^2)-21.991*L99+4665)*(10^(-4))</f>
        <v>0.44497470000000006</v>
      </c>
      <c r="M100" s="1146">
        <f>(-0.214*(M99^2)-21.991*M99+4665)*(10^(-4))</f>
        <v>0.44497470000000006</v>
      </c>
      <c r="N100" s="1146">
        <f>(-0.214*(N99^2)-21.991*N99+4665)*(10^(-4))</f>
        <v>0.44497470000000006</v>
      </c>
    </row>
    <row r="101" spans="1:14">
      <c r="A101" s="3470"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71"/>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71"/>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71"/>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71"/>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71"/>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71"/>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71"/>
      <c r="B108" s="3473" t="s">
        <v>1639</v>
      </c>
      <c r="C108" s="1145">
        <f>C99</f>
        <v>9</v>
      </c>
      <c r="D108" s="1145">
        <f t="shared" ref="D108:N108" si="32">D99</f>
        <v>9</v>
      </c>
      <c r="E108" s="1145">
        <f t="shared" si="32"/>
        <v>9</v>
      </c>
      <c r="F108" s="1145">
        <f t="shared" si="32"/>
        <v>9</v>
      </c>
      <c r="G108" s="1145">
        <f t="shared" si="32"/>
        <v>9</v>
      </c>
      <c r="H108" s="1145">
        <f t="shared" si="32"/>
        <v>9</v>
      </c>
      <c r="I108" s="1145">
        <f t="shared" si="32"/>
        <v>9</v>
      </c>
      <c r="J108" s="1145">
        <f t="shared" si="32"/>
        <v>9</v>
      </c>
      <c r="K108" s="1145">
        <f t="shared" si="32"/>
        <v>9</v>
      </c>
      <c r="L108" s="1145">
        <f t="shared" si="32"/>
        <v>9</v>
      </c>
      <c r="M108" s="1145">
        <f t="shared" si="32"/>
        <v>9</v>
      </c>
      <c r="N108" s="1145">
        <f t="shared" si="32"/>
        <v>9</v>
      </c>
    </row>
    <row r="109" spans="1:14">
      <c r="A109" s="3472"/>
      <c r="B109" s="3474"/>
      <c r="C109" s="1146">
        <f>(-0.163*(C108^2)-0.59*C108+7617)*(10^(-4))/C101</f>
        <v>0.30393948000000004</v>
      </c>
      <c r="D109" s="1146">
        <f>(-0.163*(D108^2)-0.59*D108+7617)*(10^(-4))/D101</f>
        <v>0.30393948000000004</v>
      </c>
      <c r="E109" s="1146">
        <f>(-0.161*(E108^2)-7.509*E108+6533)*(10^(-4))/E101</f>
        <v>0.25809512000000001</v>
      </c>
      <c r="F109" s="1146">
        <f>(-0.161*(F108^2)-7.509*F108+6533)*(10^(-4))/F101</f>
        <v>0.25809512000000001</v>
      </c>
      <c r="G109" s="1146">
        <f>(-0.161*(G108^2)-7.509*G108+6533)*(10^(-4))/G101</f>
        <v>0.25809512000000001</v>
      </c>
      <c r="H109" s="1146">
        <f>(-0.161*(H108^2)-7.509*H108+6533)*(10^(-4))/H101</f>
        <v>0.25809512000000001</v>
      </c>
      <c r="I109" s="1146">
        <f>(-0.161*(I108^2)-7.509*I108+6533)*(10^(-4))/I101</f>
        <v>0.25809512000000001</v>
      </c>
      <c r="J109" s="1146">
        <f>(-0.214*(J108^2)-21.991*J108+4665)*(10^(-4))/J101</f>
        <v>0.17798988000000002</v>
      </c>
      <c r="K109" s="1146">
        <f>(-0.214*(K108^2)-21.991*K108+4665)*(10^(-4))/K101</f>
        <v>0.17798988000000002</v>
      </c>
      <c r="L109" s="1146">
        <f>(-0.214*(L108^2)-21.991*L108+4665)*(10^(-4))/L101</f>
        <v>0.17798988000000002</v>
      </c>
      <c r="M109" s="1146">
        <f>(-0.214*(M108^2)-21.991*M108+4665)*(10^(-4))/M101</f>
        <v>0.17798988000000002</v>
      </c>
      <c r="N109" s="1146">
        <f>(-0.214*(N108^2)-21.991*N108+4665)*(10^(-4))/N101</f>
        <v>0.17798988000000002</v>
      </c>
    </row>
    <row r="110" spans="1:14">
      <c r="A110" s="3475" t="s">
        <v>1640</v>
      </c>
      <c r="B110" s="3475"/>
      <c r="C110" s="3475"/>
      <c r="D110" s="3475"/>
      <c r="E110" s="3475"/>
      <c r="F110" s="3475"/>
      <c r="G110" s="3475"/>
      <c r="H110" s="3475"/>
      <c r="I110" s="3475"/>
      <c r="J110" s="3475"/>
      <c r="K110" s="2450"/>
      <c r="L110" s="2450"/>
      <c r="M110" s="2450"/>
      <c r="N110" s="2450"/>
    </row>
    <row r="112" spans="1:14" ht="12.75" thickBot="1"/>
    <row r="113" spans="1:13" ht="25.5" thickBot="1">
      <c r="A113" s="1016" t="s">
        <v>896</v>
      </c>
      <c r="B113" s="2453">
        <f>G3</f>
        <v>2.5</v>
      </c>
      <c r="C113" s="1017" t="s">
        <v>897</v>
      </c>
      <c r="D113" s="1018">
        <f>SUMPRODUCT((A115:A118=F113)*(B114:M114=H113)*B115:M118)</f>
        <v>0.82420000000000004</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36" sqref="B36"/>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t="s">
        <v>1678</v>
      </c>
      <c r="C1" s="2106"/>
      <c r="D1" s="2106"/>
      <c r="E1" s="2106"/>
      <c r="F1" s="2106"/>
      <c r="G1" s="2106"/>
      <c r="H1" s="2106"/>
      <c r="I1" s="2106"/>
      <c r="J1" s="2106"/>
      <c r="K1" s="422">
        <f>MATCH(B1,'数据-取费表'!A6:A16,0)+5</f>
        <v>6</v>
      </c>
    </row>
    <row r="2" spans="1:41" s="2043" customFormat="1" ht="18" customHeight="1">
      <c r="A2" s="423" t="s">
        <v>467</v>
      </c>
      <c r="B2" s="424">
        <f ca="1">C32</f>
        <v>17111.470578225413</v>
      </c>
      <c r="C2" s="2106"/>
      <c r="D2" s="2106"/>
      <c r="E2" s="2106"/>
      <c r="F2" s="2106"/>
      <c r="G2" s="2106"/>
      <c r="H2" s="2106"/>
      <c r="I2" s="2106"/>
      <c r="J2" s="2106"/>
      <c r="K2" s="2106"/>
    </row>
    <row r="3" spans="1:41" s="2043" customFormat="1" ht="18" customHeight="1">
      <c r="A3" s="1380" t="s">
        <v>1685</v>
      </c>
      <c r="B3" s="425">
        <f ca="1">ROUND(B2*10000/IF(B1="",'数据-汇总表'!E3,INDIRECT("'数据-取费表'!K"&amp;$K$1)),0)</f>
        <v>15063</v>
      </c>
      <c r="C3" s="2106"/>
      <c r="D3" s="2106"/>
      <c r="E3" s="2106"/>
      <c r="F3" s="2106"/>
      <c r="G3" s="2106"/>
      <c r="H3" s="2106"/>
      <c r="I3" s="2106"/>
      <c r="J3" s="2106"/>
      <c r="K3" s="2106"/>
    </row>
    <row r="4" spans="1:41" s="2043" customFormat="1" ht="18" customHeight="1">
      <c r="A4" s="426" t="s">
        <v>468</v>
      </c>
      <c r="B4" s="427">
        <f ca="1">ROUND(B2*10000/IF(B1="",'数据-汇总表'!D3,INDIRECT("'数据-取费表'!R"&amp;$K$1)),0)</f>
        <v>51212</v>
      </c>
      <c r="C4" s="2063"/>
      <c r="D4" s="2106"/>
      <c r="E4" s="2106"/>
      <c r="F4" s="2106"/>
      <c r="G4" s="2106"/>
      <c r="H4" s="2106"/>
      <c r="I4" s="2106"/>
      <c r="J4" s="2106"/>
      <c r="K4" s="2106"/>
    </row>
    <row r="5" spans="1:41" s="2043" customFormat="1" ht="18" customHeight="1" thickBot="1">
      <c r="A5" s="429"/>
      <c r="B5" s="430">
        <f ca="1">ROUND(B2/(IF(B1="",'数据-汇总表'!D3,INDIRECT("'数据-取费表'!R"&amp;$K$1))/666.67),0)</f>
        <v>3414</v>
      </c>
      <c r="C5" s="431" t="s">
        <v>469</v>
      </c>
      <c r="D5" s="2106"/>
      <c r="E5" s="2106"/>
      <c r="F5" s="2106"/>
      <c r="G5" s="2106"/>
      <c r="H5" s="2106"/>
      <c r="I5" s="2106"/>
      <c r="J5" s="2106"/>
      <c r="K5" s="2106"/>
    </row>
    <row r="6" spans="1:41" s="2113" customFormat="1" ht="16.5" customHeight="1">
      <c r="A6" s="432" t="s">
        <v>2655</v>
      </c>
      <c r="B6" s="433"/>
      <c r="C6" s="1624">
        <f>SUM(C10:K10)</f>
        <v>28697</v>
      </c>
      <c r="D6" s="2111"/>
      <c r="E6" s="2111"/>
      <c r="F6" s="2111"/>
      <c r="G6" s="2111"/>
      <c r="H6" s="2111"/>
      <c r="I6" s="2111"/>
      <c r="J6" s="2111"/>
      <c r="K6" s="2112"/>
    </row>
    <row r="7" spans="1:41" s="2115" customFormat="1" ht="15">
      <c r="A7" s="434" t="s">
        <v>470</v>
      </c>
      <c r="B7" s="435" t="s">
        <v>471</v>
      </c>
      <c r="C7" s="436" t="s">
        <v>1678</v>
      </c>
      <c r="D7" s="436" t="s">
        <v>2997</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f>'不动产比较法-办公'!C50</f>
        <v>28697</v>
      </c>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11359.86</v>
      </c>
      <c r="D9" s="441">
        <f>SUMIF('数据-汇总表'!$C19:$C33,'剩余法-现房'!D7,'数据-汇总表'!$E19:$E33)</f>
        <v>2463.33</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f>C8</f>
        <v>28697</v>
      </c>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2840</v>
      </c>
      <c r="D13" s="451"/>
      <c r="E13" s="365"/>
      <c r="F13" s="452"/>
      <c r="G13" s="444"/>
      <c r="H13" s="447"/>
      <c r="I13" s="447"/>
      <c r="J13" s="447"/>
      <c r="K13" s="448"/>
    </row>
    <row r="14" spans="1:41" s="2118" customFormat="1" ht="13.5" customHeight="1">
      <c r="A14" s="1634" t="s">
        <v>1850</v>
      </c>
      <c r="B14" s="449" t="s">
        <v>480</v>
      </c>
      <c r="C14" s="53">
        <f ca="1">ROUND(C13*F14,0)</f>
        <v>85</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227</v>
      </c>
      <c r="D16" s="451">
        <f ca="1">IF(B1="",'数据-汇总表'!E3,INDIRECT("'数据-取费表'!K"&amp;$K$1)+INDIRECT("'数据-取费表'!S"&amp;$K$1))</f>
        <v>11359.86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3195</v>
      </c>
      <c r="D18" s="461"/>
      <c r="E18" s="462"/>
      <c r="F18" s="462"/>
      <c r="G18" s="1327" t="s">
        <v>2435</v>
      </c>
      <c r="H18" s="447"/>
      <c r="I18" s="447"/>
      <c r="J18" s="447"/>
      <c r="K18" s="448"/>
    </row>
    <row r="19" spans="1:14" s="2121" customFormat="1" ht="13.5" customHeight="1">
      <c r="A19" s="1635" t="s">
        <v>1855</v>
      </c>
      <c r="B19" s="459" t="s">
        <v>493</v>
      </c>
      <c r="C19" s="460">
        <f ca="1">ROUND(C18*F19,0)</f>
        <v>64</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155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155</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2833</v>
      </c>
      <c r="C24" s="478">
        <f ca="1">C25</f>
        <v>652</v>
      </c>
      <c r="D24" s="489">
        <f ca="1">C26</f>
        <v>4.0000000000000001E-3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2439</v>
      </c>
      <c r="C25" s="490">
        <f ca="1">ROUND((C18+C19)*F24,0)</f>
        <v>652</v>
      </c>
      <c r="D25" s="472"/>
      <c r="E25" s="473"/>
      <c r="F25" s="480"/>
      <c r="G25" s="1326" t="s">
        <v>2436</v>
      </c>
      <c r="H25" s="457"/>
      <c r="I25" s="457"/>
      <c r="J25" s="457"/>
      <c r="K25" s="458"/>
    </row>
    <row r="26" spans="1:14" s="2122" customFormat="1" ht="13.5" customHeight="1">
      <c r="A26" s="1634" t="s">
        <v>1850</v>
      </c>
      <c r="B26" s="1328" t="s">
        <v>509</v>
      </c>
      <c r="C26" s="491">
        <f ca="1">ROUND(F20*F24,4)</f>
        <v>4.0000000000000001E-3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2831</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4407</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0.98</v>
      </c>
      <c r="D29" s="493"/>
      <c r="E29" s="494"/>
      <c r="F29" s="495"/>
      <c r="G29" s="444"/>
      <c r="H29" s="447"/>
      <c r="I29" s="447"/>
      <c r="J29" s="447"/>
      <c r="K29" s="448"/>
    </row>
    <row r="30" spans="1:14" s="2123" customFormat="1" ht="13.5" customHeight="1">
      <c r="A30" s="443">
        <v>2</v>
      </c>
      <c r="B30" s="476" t="s">
        <v>514</v>
      </c>
      <c r="C30" s="497">
        <f ca="1">ROUND(C28*C29,0)</f>
        <v>4319</v>
      </c>
      <c r="D30" s="493"/>
      <c r="E30" s="498"/>
      <c r="F30" s="499"/>
      <c r="G30" s="1329" t="s">
        <v>515</v>
      </c>
      <c r="H30" s="496"/>
      <c r="I30" s="496"/>
      <c r="J30" s="447"/>
      <c r="K30" s="448"/>
    </row>
    <row r="31" spans="1:14" s="2128" customFormat="1" ht="13.5" customHeight="1">
      <c r="A31" s="2484" t="s">
        <v>1866</v>
      </c>
      <c r="B31" s="1330"/>
      <c r="C31" s="500">
        <f>ROUND(C6*F31/(1+'数据-取费表'!C42),0)</f>
        <v>1503</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17111.470578225413</v>
      </c>
      <c r="D32" s="483"/>
      <c r="E32" s="483"/>
      <c r="F32" s="483"/>
      <c r="G32" s="2485"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94" t="s">
        <v>522</v>
      </c>
      <c r="D6" s="3495"/>
      <c r="E6" s="3494" t="s">
        <v>523</v>
      </c>
      <c r="F6" s="3495"/>
      <c r="G6" s="3494" t="s">
        <v>524</v>
      </c>
      <c r="H6" s="3495"/>
      <c r="I6" s="3494" t="s">
        <v>525</v>
      </c>
      <c r="J6" s="3495"/>
      <c r="K6" s="514" t="s">
        <v>526</v>
      </c>
      <c r="L6" s="2135"/>
      <c r="M6" s="2134"/>
      <c r="N6" s="2134"/>
      <c r="O6" s="2136"/>
      <c r="P6" s="3496" t="s">
        <v>527</v>
      </c>
      <c r="Q6" s="3497"/>
      <c r="R6" s="3502" t="s">
        <v>523</v>
      </c>
      <c r="S6" s="3503"/>
      <c r="T6" s="3502" t="s">
        <v>524</v>
      </c>
      <c r="U6" s="3503"/>
      <c r="V6" s="3489" t="s">
        <v>525</v>
      </c>
      <c r="W6" s="3489"/>
      <c r="X6" s="1568"/>
      <c r="Y6" s="3502" t="s">
        <v>527</v>
      </c>
      <c r="Z6" s="3503"/>
      <c r="AA6" s="3491" t="s">
        <v>523</v>
      </c>
      <c r="AB6" s="3492" t="s">
        <v>524</v>
      </c>
      <c r="AC6" s="3491" t="s">
        <v>525</v>
      </c>
    </row>
    <row r="7" spans="1:30" ht="20.25">
      <c r="A7" s="515"/>
      <c r="B7" s="516"/>
      <c r="C7" s="3510" t="s">
        <v>2930</v>
      </c>
      <c r="D7" s="3511"/>
      <c r="E7" s="3510" t="s">
        <v>2931</v>
      </c>
      <c r="F7" s="3511"/>
      <c r="G7" s="3510" t="s">
        <v>2932</v>
      </c>
      <c r="H7" s="3511"/>
      <c r="I7" s="3510" t="s">
        <v>2933</v>
      </c>
      <c r="J7" s="3511"/>
      <c r="K7" s="514"/>
      <c r="L7" s="2135"/>
      <c r="M7" s="2134"/>
      <c r="N7" s="2134"/>
      <c r="O7" s="2136"/>
      <c r="P7" s="3498"/>
      <c r="Q7" s="3499"/>
      <c r="R7" s="3504"/>
      <c r="S7" s="3505"/>
      <c r="T7" s="3504"/>
      <c r="U7" s="3505"/>
      <c r="V7" s="3489"/>
      <c r="W7" s="3489"/>
      <c r="X7" s="1568"/>
      <c r="Y7" s="3504"/>
      <c r="Z7" s="3505"/>
      <c r="AA7" s="3492"/>
      <c r="AB7" s="3492"/>
      <c r="AC7" s="3492"/>
    </row>
    <row r="8" spans="1:30" ht="21" thickBot="1">
      <c r="A8" s="515"/>
      <c r="B8" s="516"/>
      <c r="C8" s="3512" t="s">
        <v>2934</v>
      </c>
      <c r="D8" s="3513"/>
      <c r="E8" s="3512" t="s">
        <v>2934</v>
      </c>
      <c r="F8" s="3513"/>
      <c r="G8" s="3508" t="s">
        <v>2934</v>
      </c>
      <c r="H8" s="3509"/>
      <c r="I8" s="3508" t="s">
        <v>2934</v>
      </c>
      <c r="J8" s="3509"/>
      <c r="K8" s="514" t="s">
        <v>528</v>
      </c>
      <c r="L8" s="2135"/>
      <c r="M8" s="2134"/>
      <c r="N8" s="2134"/>
      <c r="O8" s="2136"/>
      <c r="P8" s="3500"/>
      <c r="Q8" s="3501"/>
      <c r="R8" s="3504"/>
      <c r="S8" s="3505"/>
      <c r="T8" s="3506"/>
      <c r="U8" s="3507"/>
      <c r="V8" s="3489"/>
      <c r="W8" s="3489"/>
      <c r="X8" s="1568"/>
      <c r="Y8" s="3506"/>
      <c r="Z8" s="3507"/>
      <c r="AA8" s="3493"/>
      <c r="AB8" s="3493"/>
      <c r="AC8" s="3493"/>
    </row>
    <row r="9" spans="1:30" s="1220" customFormat="1" ht="21" thickBot="1">
      <c r="A9" s="2914"/>
      <c r="B9" s="2921" t="s">
        <v>529</v>
      </c>
      <c r="C9" s="2913">
        <f>'数据-取费表'!B2</f>
        <v>43205</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519" t="s">
        <v>530</v>
      </c>
      <c r="Q9" s="3521"/>
      <c r="R9" s="1569" t="s">
        <v>8</v>
      </c>
      <c r="S9" s="1570">
        <f t="shared" ref="S9:S17" si="0">F9</f>
        <v>0</v>
      </c>
      <c r="T9" s="1569" t="s">
        <v>8</v>
      </c>
      <c r="U9" s="1570">
        <f t="shared" ref="U9:U17" si="1">H9</f>
        <v>0</v>
      </c>
      <c r="V9" s="1569" t="s">
        <v>8</v>
      </c>
      <c r="W9" s="1570">
        <f t="shared" ref="W9:W17" si="2">J9</f>
        <v>0</v>
      </c>
      <c r="X9" s="1571"/>
      <c r="Y9" s="3519" t="s">
        <v>530</v>
      </c>
      <c r="Z9" s="3520"/>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519" t="s">
        <v>533</v>
      </c>
      <c r="Q10" s="3520"/>
      <c r="R10" s="1569" t="s">
        <v>8</v>
      </c>
      <c r="S10" s="1570">
        <f t="shared" si="0"/>
        <v>0</v>
      </c>
      <c r="T10" s="1569" t="s">
        <v>8</v>
      </c>
      <c r="U10" s="1570">
        <f t="shared" si="1"/>
        <v>0</v>
      </c>
      <c r="V10" s="1569" t="s">
        <v>8</v>
      </c>
      <c r="W10" s="1570">
        <f t="shared" si="2"/>
        <v>0</v>
      </c>
      <c r="X10" s="1571"/>
      <c r="Y10" s="3519" t="s">
        <v>533</v>
      </c>
      <c r="Z10" s="3520"/>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88" t="s">
        <v>535</v>
      </c>
      <c r="Q11" s="1151" t="str">
        <f t="shared" ref="Q11:Q17" si="6">B11</f>
        <v>用途</v>
      </c>
      <c r="R11" s="1569" t="s">
        <v>8</v>
      </c>
      <c r="S11" s="1570">
        <f t="shared" si="0"/>
        <v>100</v>
      </c>
      <c r="T11" s="1569" t="s">
        <v>8</v>
      </c>
      <c r="U11" s="1570">
        <f t="shared" si="1"/>
        <v>100</v>
      </c>
      <c r="V11" s="1569" t="s">
        <v>8</v>
      </c>
      <c r="W11" s="1570">
        <f t="shared" si="2"/>
        <v>100</v>
      </c>
      <c r="X11" s="1571"/>
      <c r="Y11" s="3416"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t="e">
        <f>ROUND(100/'数据-取费表'!G16,0)</f>
        <v>#DIV/0!</v>
      </c>
      <c r="G12" s="530"/>
      <c r="H12" s="255" t="e">
        <f>ROUND(100/'数据-取费表'!G16,0)</f>
        <v>#DIV/0!</v>
      </c>
      <c r="I12" s="530"/>
      <c r="J12" s="255" t="e">
        <f>ROUND(100/'数据-取费表'!G16,0)</f>
        <v>#DIV/0!</v>
      </c>
      <c r="K12" s="531"/>
      <c r="L12" s="2140"/>
      <c r="M12" s="2134"/>
      <c r="N12" s="2134"/>
      <c r="O12" s="2141"/>
      <c r="P12" s="3488"/>
      <c r="Q12" s="1151" t="str">
        <f t="shared" si="6"/>
        <v>土地使用年限（年）</v>
      </c>
      <c r="R12" s="1569" t="s">
        <v>8</v>
      </c>
      <c r="S12" s="1570" t="e">
        <f t="shared" si="0"/>
        <v>#DIV/0!</v>
      </c>
      <c r="T12" s="1569" t="s">
        <v>8</v>
      </c>
      <c r="U12" s="1570" t="e">
        <f t="shared" si="1"/>
        <v>#DIV/0!</v>
      </c>
      <c r="V12" s="1569" t="s">
        <v>8</v>
      </c>
      <c r="W12" s="1570" t="e">
        <f t="shared" si="2"/>
        <v>#DIV/0!</v>
      </c>
      <c r="X12" s="1571"/>
      <c r="Y12" s="3416"/>
      <c r="Z12" s="1150" t="str">
        <f t="shared" si="7"/>
        <v>土地使用年限（年）</v>
      </c>
      <c r="AA12" s="1572" t="e">
        <f t="shared" si="3"/>
        <v>#DIV/0!</v>
      </c>
      <c r="AB12" s="1572" t="e">
        <f t="shared" si="4"/>
        <v>#DIV/0!</v>
      </c>
      <c r="AC12" s="1572" t="e">
        <f t="shared" si="5"/>
        <v>#DIV/0!</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88"/>
      <c r="Q13" s="1151" t="str">
        <f t="shared" si="6"/>
        <v>容积率</v>
      </c>
      <c r="R13" s="1569" t="s">
        <v>8</v>
      </c>
      <c r="S13" s="1570" t="e">
        <f t="shared" si="0"/>
        <v>#N/A</v>
      </c>
      <c r="T13" s="1569" t="s">
        <v>8</v>
      </c>
      <c r="U13" s="1570" t="e">
        <f t="shared" si="1"/>
        <v>#N/A</v>
      </c>
      <c r="V13" s="1569" t="s">
        <v>8</v>
      </c>
      <c r="W13" s="1570" t="e">
        <f t="shared" si="2"/>
        <v>#N/A</v>
      </c>
      <c r="X13" s="1571"/>
      <c r="Y13" s="3416"/>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88"/>
      <c r="Q14" s="1151" t="str">
        <f t="shared" si="6"/>
        <v>配建</v>
      </c>
      <c r="R14" s="1569" t="s">
        <v>8</v>
      </c>
      <c r="S14" s="1570">
        <f t="shared" si="0"/>
        <v>100</v>
      </c>
      <c r="T14" s="1569" t="s">
        <v>8</v>
      </c>
      <c r="U14" s="1570">
        <f t="shared" si="1"/>
        <v>100</v>
      </c>
      <c r="V14" s="1569" t="s">
        <v>8</v>
      </c>
      <c r="W14" s="1570">
        <f t="shared" si="2"/>
        <v>100</v>
      </c>
      <c r="X14" s="1571"/>
      <c r="Y14" s="3416"/>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88"/>
      <c r="Q15" s="1151">
        <f t="shared" si="6"/>
        <v>111</v>
      </c>
      <c r="R15" s="1569" t="s">
        <v>8</v>
      </c>
      <c r="S15" s="1570">
        <f t="shared" si="0"/>
        <v>100</v>
      </c>
      <c r="T15" s="1569" t="s">
        <v>8</v>
      </c>
      <c r="U15" s="1570">
        <f t="shared" si="1"/>
        <v>100</v>
      </c>
      <c r="V15" s="1569" t="s">
        <v>8</v>
      </c>
      <c r="W15" s="1570">
        <f t="shared" si="2"/>
        <v>100</v>
      </c>
      <c r="X15" s="1571"/>
      <c r="Y15" s="3416"/>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88"/>
      <c r="Q16" s="1151">
        <f t="shared" si="6"/>
        <v>111</v>
      </c>
      <c r="R16" s="1569" t="s">
        <v>8</v>
      </c>
      <c r="S16" s="1570">
        <f t="shared" si="0"/>
        <v>100</v>
      </c>
      <c r="T16" s="1569" t="s">
        <v>8</v>
      </c>
      <c r="U16" s="1570">
        <f t="shared" si="1"/>
        <v>100</v>
      </c>
      <c r="V16" s="1569" t="s">
        <v>8</v>
      </c>
      <c r="W16" s="1570">
        <f t="shared" si="2"/>
        <v>100</v>
      </c>
      <c r="X16" s="1571"/>
      <c r="Y16" s="3416"/>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522" t="s">
        <v>540</v>
      </c>
      <c r="Q17" s="1573" t="str">
        <f t="shared" si="6"/>
        <v>居住社区成熟度</v>
      </c>
      <c r="R17" s="1574" t="s">
        <v>8</v>
      </c>
      <c r="S17" s="1575">
        <f t="shared" si="0"/>
        <v>100</v>
      </c>
      <c r="T17" s="1574" t="s">
        <v>8</v>
      </c>
      <c r="U17" s="1575">
        <f t="shared" si="1"/>
        <v>100</v>
      </c>
      <c r="V17" s="1574" t="s">
        <v>8</v>
      </c>
      <c r="W17" s="1575">
        <f t="shared" si="2"/>
        <v>100</v>
      </c>
      <c r="X17" s="1568"/>
      <c r="Y17" s="3522"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523"/>
      <c r="Q18" s="1573"/>
      <c r="R18" s="1574"/>
      <c r="S18" s="1575"/>
      <c r="T18" s="1574"/>
      <c r="U18" s="1575"/>
      <c r="V18" s="1574"/>
      <c r="W18" s="1575"/>
      <c r="X18" s="1568"/>
      <c r="Y18" s="3523"/>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523"/>
      <c r="Q19" s="1573" t="str">
        <f>B19</f>
        <v>商业繁华度</v>
      </c>
      <c r="R19" s="1574" t="s">
        <v>8</v>
      </c>
      <c r="S19" s="1575">
        <f>F19</f>
        <v>100</v>
      </c>
      <c r="T19" s="1574" t="s">
        <v>8</v>
      </c>
      <c r="U19" s="1575">
        <f>H19</f>
        <v>100</v>
      </c>
      <c r="V19" s="1574" t="s">
        <v>8</v>
      </c>
      <c r="W19" s="1575">
        <f>J19</f>
        <v>100</v>
      </c>
      <c r="X19" s="1568"/>
      <c r="Y19" s="352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523"/>
      <c r="Q20" s="1573"/>
      <c r="R20" s="1574"/>
      <c r="S20" s="1575"/>
      <c r="T20" s="1574"/>
      <c r="U20" s="1575"/>
      <c r="V20" s="1574"/>
      <c r="W20" s="1575"/>
      <c r="X20" s="1568"/>
      <c r="Y20" s="3523"/>
      <c r="Z20" s="1576"/>
      <c r="AA20" s="1577">
        <v>1</v>
      </c>
      <c r="AB20" s="1577">
        <v>1</v>
      </c>
      <c r="AC20" s="1577">
        <v>1</v>
      </c>
    </row>
    <row r="21" spans="1:29" ht="71.25">
      <c r="A21" s="532"/>
      <c r="B21" s="560" t="s">
        <v>542</v>
      </c>
      <c r="C21" s="561" t="str">
        <f>估价对象房地状况!C17</f>
        <v>估价对象周边主要以居住为主，办公楼项目较少，办公集聚程度一般。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523"/>
      <c r="Q21" s="1573" t="str">
        <f>B21</f>
        <v>办公集聚程度</v>
      </c>
      <c r="R21" s="1574" t="s">
        <v>8</v>
      </c>
      <c r="S21" s="1575">
        <f>F21</f>
        <v>100</v>
      </c>
      <c r="T21" s="1574" t="s">
        <v>8</v>
      </c>
      <c r="U21" s="1575">
        <f>H21</f>
        <v>100</v>
      </c>
      <c r="V21" s="1574" t="s">
        <v>8</v>
      </c>
      <c r="W21" s="1575">
        <f>J21</f>
        <v>100</v>
      </c>
      <c r="X21" s="1568"/>
      <c r="Y21" s="352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523"/>
      <c r="Q22" s="1573"/>
      <c r="R22" s="1574"/>
      <c r="S22" s="1575"/>
      <c r="T22" s="1574"/>
      <c r="U22" s="1575"/>
      <c r="V22" s="1574"/>
      <c r="W22" s="1575"/>
      <c r="X22" s="1568"/>
      <c r="Y22" s="3523"/>
      <c r="Z22" s="1576"/>
      <c r="AA22" s="1577">
        <v>1</v>
      </c>
      <c r="AB22" s="1577">
        <v>1</v>
      </c>
      <c r="AC22" s="1577">
        <v>1</v>
      </c>
    </row>
    <row r="23" spans="1:29" ht="142.5">
      <c r="A23" s="532"/>
      <c r="B23" s="560" t="s">
        <v>543</v>
      </c>
      <c r="C23" s="573" t="str">
        <f>估价对象房地状况!C18</f>
        <v>估价对象紧邻城市次干道—欣旺北大街，周边有381路、兴13路等多条公交线路通过，距地铁大兴线（西红门站）约1.2公里，综合评价交通便捷度一般。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523"/>
      <c r="Q23" s="1573" t="str">
        <f>B23</f>
        <v>交通便捷度</v>
      </c>
      <c r="R23" s="1574" t="s">
        <v>8</v>
      </c>
      <c r="S23" s="1575">
        <f>F23</f>
        <v>100</v>
      </c>
      <c r="T23" s="1574" t="s">
        <v>8</v>
      </c>
      <c r="U23" s="1575">
        <f>H23</f>
        <v>100</v>
      </c>
      <c r="V23" s="1574" t="s">
        <v>8</v>
      </c>
      <c r="W23" s="1575">
        <f>J23</f>
        <v>100</v>
      </c>
      <c r="X23" s="1568"/>
      <c r="Y23" s="3523"/>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523"/>
      <c r="Q24" s="1573"/>
      <c r="R24" s="1574"/>
      <c r="S24" s="1575"/>
      <c r="T24" s="1574"/>
      <c r="U24" s="1575"/>
      <c r="V24" s="1574"/>
      <c r="W24" s="1575"/>
      <c r="X24" s="1568"/>
      <c r="Y24" s="352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523"/>
      <c r="Q25" s="1573" t="str">
        <f t="shared" ref="Q25:Q39" si="8">B25</f>
        <v>区域土地利用方向</v>
      </c>
      <c r="R25" s="1574" t="s">
        <v>8</v>
      </c>
      <c r="S25" s="1575">
        <f>F25</f>
        <v>100</v>
      </c>
      <c r="T25" s="1574" t="s">
        <v>8</v>
      </c>
      <c r="U25" s="1575">
        <f>H25</f>
        <v>100</v>
      </c>
      <c r="V25" s="1574" t="s">
        <v>8</v>
      </c>
      <c r="W25" s="1575">
        <f>J25</f>
        <v>100</v>
      </c>
      <c r="X25" s="1568"/>
      <c r="Y25" s="3523"/>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523"/>
      <c r="Q26" s="1573"/>
      <c r="R26" s="1574"/>
      <c r="S26" s="1575"/>
      <c r="T26" s="1574"/>
      <c r="U26" s="1575"/>
      <c r="V26" s="1574"/>
      <c r="W26" s="1575"/>
      <c r="X26" s="1568"/>
      <c r="Y26" s="3523"/>
      <c r="Z26" s="1576"/>
      <c r="AA26" s="1577"/>
      <c r="AB26" s="1577"/>
      <c r="AC26" s="1577"/>
    </row>
    <row r="27" spans="1:29" ht="114">
      <c r="A27" s="515"/>
      <c r="B27" s="578" t="s">
        <v>545</v>
      </c>
      <c r="C27" s="561" t="str">
        <f>估价对象房地状况!C20</f>
        <v>区域自然环境：西红门九龙口休闲公园、兴海公园等；人文环境：快乐392高尔夫俱乐部等；综合评价环境状况较好。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523"/>
      <c r="Q27" s="1573" t="str">
        <f t="shared" si="8"/>
        <v>自然及人文环境状况</v>
      </c>
      <c r="R27" s="1574" t="s">
        <v>8</v>
      </c>
      <c r="S27" s="1575">
        <f>F27</f>
        <v>100</v>
      </c>
      <c r="T27" s="1574" t="s">
        <v>8</v>
      </c>
      <c r="U27" s="1575">
        <f>H27</f>
        <v>100</v>
      </c>
      <c r="V27" s="1574" t="s">
        <v>8</v>
      </c>
      <c r="W27" s="1575">
        <f>J27</f>
        <v>100</v>
      </c>
      <c r="X27" s="1568"/>
      <c r="Y27" s="3523"/>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523"/>
      <c r="Q28" s="1573"/>
      <c r="R28" s="1574"/>
      <c r="S28" s="1575"/>
      <c r="T28" s="1574"/>
      <c r="U28" s="1575"/>
      <c r="V28" s="1574"/>
      <c r="W28" s="1575"/>
      <c r="X28" s="1568"/>
      <c r="Y28" s="3523"/>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523"/>
      <c r="Q29" s="1151" t="str">
        <f t="shared" si="8"/>
        <v>公共配套设施</v>
      </c>
      <c r="R29" s="1569" t="s">
        <v>8</v>
      </c>
      <c r="S29" s="1570">
        <f>F29</f>
        <v>100</v>
      </c>
      <c r="T29" s="1569" t="s">
        <v>8</v>
      </c>
      <c r="U29" s="1570">
        <f>H29</f>
        <v>100</v>
      </c>
      <c r="V29" s="1569" t="s">
        <v>8</v>
      </c>
      <c r="W29" s="1570">
        <f>J29</f>
        <v>100</v>
      </c>
      <c r="X29" s="1571"/>
      <c r="Y29" s="3523"/>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523"/>
      <c r="Q30" s="1151"/>
      <c r="R30" s="1569"/>
      <c r="S30" s="1570"/>
      <c r="T30" s="1569"/>
      <c r="U30" s="1570"/>
      <c r="V30" s="1569"/>
      <c r="W30" s="1570"/>
      <c r="X30" s="1571"/>
      <c r="Y30" s="3523"/>
      <c r="Z30" s="1150"/>
      <c r="AA30" s="1577">
        <v>1</v>
      </c>
      <c r="AB30" s="1577">
        <v>1</v>
      </c>
      <c r="AC30" s="1577">
        <v>1</v>
      </c>
    </row>
    <row r="31" spans="1:29" s="1220" customFormat="1" ht="20.25">
      <c r="A31" s="577"/>
      <c r="B31" s="2593" t="s">
        <v>2552</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523"/>
      <c r="Q31" s="2580" t="str">
        <f t="shared" ref="Q31" si="9">B31</f>
        <v>基础设施水平</v>
      </c>
      <c r="R31" s="1569" t="s">
        <v>8</v>
      </c>
      <c r="S31" s="1570">
        <f>F31</f>
        <v>100</v>
      </c>
      <c r="T31" s="1569" t="s">
        <v>8</v>
      </c>
      <c r="U31" s="1570">
        <f>H31</f>
        <v>100</v>
      </c>
      <c r="V31" s="1569" t="s">
        <v>8</v>
      </c>
      <c r="W31" s="1570">
        <f>J31</f>
        <v>100</v>
      </c>
      <c r="X31" s="1571"/>
      <c r="Y31" s="3523"/>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523"/>
      <c r="Q32" s="2580"/>
      <c r="R32" s="1569"/>
      <c r="S32" s="1570"/>
      <c r="T32" s="1569"/>
      <c r="U32" s="1570"/>
      <c r="V32" s="1569"/>
      <c r="W32" s="1570"/>
      <c r="X32" s="1571"/>
      <c r="Y32" s="3523"/>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52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23"/>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523"/>
      <c r="Q34" s="1573" t="str">
        <f t="shared" si="8"/>
        <v>毗邻道路的类型与等级</v>
      </c>
      <c r="R34" s="1574" t="s">
        <v>8</v>
      </c>
      <c r="S34" s="1575">
        <f t="shared" si="10"/>
        <v>100</v>
      </c>
      <c r="T34" s="1574" t="s">
        <v>8</v>
      </c>
      <c r="U34" s="1575">
        <f t="shared" si="11"/>
        <v>100</v>
      </c>
      <c r="V34" s="1574" t="s">
        <v>8</v>
      </c>
      <c r="W34" s="1575">
        <f t="shared" si="12"/>
        <v>100</v>
      </c>
      <c r="X34" s="1568"/>
      <c r="Y34" s="352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523"/>
      <c r="Q35" s="1573"/>
      <c r="R35" s="1574"/>
      <c r="S35" s="1575"/>
      <c r="T35" s="1574"/>
      <c r="U35" s="1575"/>
      <c r="V35" s="1574"/>
      <c r="W35" s="1575"/>
      <c r="X35" s="1568"/>
      <c r="Y35" s="352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523"/>
      <c r="Q36" s="1573" t="str">
        <f t="shared" si="8"/>
        <v>土地级别</v>
      </c>
      <c r="R36" s="1574" t="s">
        <v>8</v>
      </c>
      <c r="S36" s="1575">
        <f t="shared" si="10"/>
        <v>100</v>
      </c>
      <c r="T36" s="1574" t="s">
        <v>8</v>
      </c>
      <c r="U36" s="1575">
        <f t="shared" si="11"/>
        <v>100</v>
      </c>
      <c r="V36" s="1574" t="s">
        <v>8</v>
      </c>
      <c r="W36" s="1575">
        <f t="shared" si="12"/>
        <v>100</v>
      </c>
      <c r="X36" s="1568"/>
      <c r="Y36" s="352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523"/>
      <c r="Q37" s="1573">
        <f t="shared" si="8"/>
        <v>111</v>
      </c>
      <c r="R37" s="1574" t="s">
        <v>8</v>
      </c>
      <c r="S37" s="1575">
        <f t="shared" si="10"/>
        <v>100</v>
      </c>
      <c r="T37" s="1574" t="s">
        <v>8</v>
      </c>
      <c r="U37" s="1575">
        <f t="shared" si="11"/>
        <v>100</v>
      </c>
      <c r="V37" s="1574" t="s">
        <v>8</v>
      </c>
      <c r="W37" s="1575">
        <f t="shared" si="12"/>
        <v>100</v>
      </c>
      <c r="X37" s="1568"/>
      <c r="Y37" s="352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524" t="s">
        <v>550</v>
      </c>
      <c r="Q38" s="1573">
        <f t="shared" si="8"/>
        <v>111</v>
      </c>
      <c r="R38" s="1574" t="s">
        <v>8</v>
      </c>
      <c r="S38" s="1575">
        <f t="shared" si="10"/>
        <v>100</v>
      </c>
      <c r="T38" s="1574" t="s">
        <v>8</v>
      </c>
      <c r="U38" s="1575">
        <f t="shared" si="11"/>
        <v>100</v>
      </c>
      <c r="V38" s="1574" t="s">
        <v>8</v>
      </c>
      <c r="W38" s="1575">
        <f t="shared" si="12"/>
        <v>100</v>
      </c>
      <c r="X38" s="1568"/>
      <c r="Y38" s="352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525"/>
      <c r="Q39" s="1573">
        <f t="shared" si="8"/>
        <v>111</v>
      </c>
      <c r="R39" s="1578" t="s">
        <v>8</v>
      </c>
      <c r="S39" s="1579">
        <f t="shared" si="10"/>
        <v>100</v>
      </c>
      <c r="T39" s="1578" t="s">
        <v>8</v>
      </c>
      <c r="U39" s="1579">
        <f t="shared" si="11"/>
        <v>100</v>
      </c>
      <c r="V39" s="1578" t="s">
        <v>8</v>
      </c>
      <c r="W39" s="1579">
        <f t="shared" si="12"/>
        <v>100</v>
      </c>
      <c r="X39" s="1580"/>
      <c r="Y39" s="3525"/>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525"/>
      <c r="Q40" s="1573" t="str">
        <f>B40</f>
        <v>宗地面积</v>
      </c>
      <c r="R40" s="1574" t="s">
        <v>8</v>
      </c>
      <c r="S40" s="1575" t="e">
        <f t="shared" si="10"/>
        <v>#N/A</v>
      </c>
      <c r="T40" s="1574" t="s">
        <v>8</v>
      </c>
      <c r="U40" s="1575" t="e">
        <f t="shared" si="11"/>
        <v>#N/A</v>
      </c>
      <c r="V40" s="1574" t="s">
        <v>8</v>
      </c>
      <c r="W40" s="1575" t="e">
        <f t="shared" si="12"/>
        <v>#N/A</v>
      </c>
      <c r="X40" s="1568"/>
      <c r="Y40" s="3525"/>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525"/>
      <c r="Q41" s="1573" t="str">
        <f t="shared" ref="Q41:Q47" si="14">B41</f>
        <v>宗地形状</v>
      </c>
      <c r="R41" s="1574" t="s">
        <v>8</v>
      </c>
      <c r="S41" s="1575">
        <f t="shared" si="10"/>
        <v>100</v>
      </c>
      <c r="T41" s="1574" t="s">
        <v>8</v>
      </c>
      <c r="U41" s="1575">
        <f t="shared" si="11"/>
        <v>100</v>
      </c>
      <c r="V41" s="1574" t="s">
        <v>8</v>
      </c>
      <c r="W41" s="1575">
        <f t="shared" si="12"/>
        <v>100</v>
      </c>
      <c r="X41" s="1568"/>
      <c r="Y41" s="352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525"/>
      <c r="Q42" s="1573" t="str">
        <f t="shared" si="14"/>
        <v>临街宽度及深度</v>
      </c>
      <c r="R42" s="1574" t="s">
        <v>8</v>
      </c>
      <c r="S42" s="1575">
        <f t="shared" si="10"/>
        <v>100</v>
      </c>
      <c r="T42" s="1574" t="s">
        <v>8</v>
      </c>
      <c r="U42" s="1575">
        <f t="shared" si="11"/>
        <v>100</v>
      </c>
      <c r="V42" s="1574" t="s">
        <v>8</v>
      </c>
      <c r="W42" s="1575">
        <f t="shared" si="12"/>
        <v>100</v>
      </c>
      <c r="X42" s="1568"/>
      <c r="Y42" s="3525"/>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525"/>
      <c r="Q43" s="1573" t="str">
        <f t="shared" si="14"/>
        <v>宗地开发程度</v>
      </c>
      <c r="R43" s="1569" t="s">
        <v>8</v>
      </c>
      <c r="S43" s="1570">
        <f t="shared" si="10"/>
        <v>100</v>
      </c>
      <c r="T43" s="1569" t="s">
        <v>8</v>
      </c>
      <c r="U43" s="1570">
        <f t="shared" si="11"/>
        <v>100</v>
      </c>
      <c r="V43" s="1569" t="s">
        <v>8</v>
      </c>
      <c r="W43" s="1570">
        <f t="shared" si="12"/>
        <v>100</v>
      </c>
      <c r="X43" s="1571"/>
      <c r="Y43" s="3525"/>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525" t="s">
        <v>550</v>
      </c>
      <c r="Q44" s="1573" t="str">
        <f t="shared" si="14"/>
        <v>工程地质条件</v>
      </c>
      <c r="R44" s="1574" t="s">
        <v>8</v>
      </c>
      <c r="S44" s="1575">
        <f t="shared" si="10"/>
        <v>100</v>
      </c>
      <c r="T44" s="1574" t="s">
        <v>8</v>
      </c>
      <c r="U44" s="1575">
        <f t="shared" si="11"/>
        <v>100</v>
      </c>
      <c r="V44" s="1574" t="s">
        <v>8</v>
      </c>
      <c r="W44" s="1575">
        <f t="shared" si="12"/>
        <v>100</v>
      </c>
      <c r="X44" s="1568"/>
      <c r="Y44" s="352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525"/>
      <c r="Q45" s="1573">
        <f t="shared" si="14"/>
        <v>111</v>
      </c>
      <c r="R45" s="1574" t="s">
        <v>8</v>
      </c>
      <c r="S45" s="1575">
        <f t="shared" si="10"/>
        <v>100</v>
      </c>
      <c r="T45" s="1574" t="s">
        <v>8</v>
      </c>
      <c r="U45" s="1575">
        <f t="shared" si="11"/>
        <v>100</v>
      </c>
      <c r="V45" s="1574" t="s">
        <v>8</v>
      </c>
      <c r="W45" s="1575">
        <f t="shared" si="12"/>
        <v>100</v>
      </c>
      <c r="X45" s="1568"/>
      <c r="Y45" s="352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525"/>
      <c r="Q46" s="1573">
        <f t="shared" si="14"/>
        <v>111</v>
      </c>
      <c r="R46" s="1574" t="s">
        <v>8</v>
      </c>
      <c r="S46" s="1575">
        <f t="shared" si="10"/>
        <v>100</v>
      </c>
      <c r="T46" s="1574" t="s">
        <v>8</v>
      </c>
      <c r="U46" s="1575">
        <f t="shared" si="11"/>
        <v>100</v>
      </c>
      <c r="V46" s="1574" t="s">
        <v>8</v>
      </c>
      <c r="W46" s="1575">
        <f t="shared" si="12"/>
        <v>100</v>
      </c>
      <c r="X46" s="1568"/>
      <c r="Y46" s="352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525"/>
      <c r="Q47" s="1573">
        <f t="shared" si="14"/>
        <v>111</v>
      </c>
      <c r="R47" s="1578" t="s">
        <v>8</v>
      </c>
      <c r="S47" s="1579">
        <f t="shared" si="10"/>
        <v>100</v>
      </c>
      <c r="T47" s="1578" t="s">
        <v>8</v>
      </c>
      <c r="U47" s="1579">
        <f t="shared" si="11"/>
        <v>100</v>
      </c>
      <c r="V47" s="1578" t="s">
        <v>8</v>
      </c>
      <c r="W47" s="1579">
        <f t="shared" si="12"/>
        <v>100</v>
      </c>
      <c r="X47" s="1580"/>
      <c r="Y47" s="3525"/>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6"/>
      <c r="M48" s="2134"/>
      <c r="N48" s="2134"/>
      <c r="O48" s="2147"/>
      <c r="P48" s="3488" t="str">
        <f>A48</f>
        <v>成交单价</v>
      </c>
      <c r="Q48" s="3488"/>
      <c r="R48" s="3489">
        <f>E48</f>
        <v>0</v>
      </c>
      <c r="S48" s="3489"/>
      <c r="T48" s="3489">
        <f>G48</f>
        <v>0</v>
      </c>
      <c r="U48" s="3489"/>
      <c r="V48" s="3489">
        <f>I48</f>
        <v>0</v>
      </c>
      <c r="W48" s="3489"/>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488" t="str">
        <f>A49</f>
        <v>比较价格（元/平方米）</v>
      </c>
      <c r="Q49" s="3488"/>
      <c r="R49" s="3490" t="e">
        <f>ROUND(PRODUCT(R48,AA9:AA47),0)</f>
        <v>#DIV/0!</v>
      </c>
      <c r="S49" s="3490"/>
      <c r="T49" s="3490" t="e">
        <f>ROUND(PRODUCT(T48,AB9:AB47),0)</f>
        <v>#DIV/0!</v>
      </c>
      <c r="U49" s="3490"/>
      <c r="V49" s="3490" t="e">
        <f>ROUND(PRODUCT(V48,AC9:AC47),0)</f>
        <v>#DIV/0!</v>
      </c>
      <c r="W49" s="3490"/>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6"/>
      <c r="M50" s="2134"/>
      <c r="N50" s="2134"/>
      <c r="O50" s="2147"/>
      <c r="P50" s="3485" t="str">
        <f>A50</f>
        <v>估价对象XX用房的比较价格（楼面单价，元/平方米）</v>
      </c>
      <c r="Q50" s="3486"/>
      <c r="R50" s="3487" t="e">
        <f>ROUND(AVERAGE(R49:V49),0)</f>
        <v>#DIV/0!</v>
      </c>
      <c r="S50" s="3487"/>
      <c r="T50" s="3487"/>
      <c r="U50" s="3487"/>
      <c r="V50" s="3487"/>
      <c r="W50" s="348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514" t="s">
        <v>2284</v>
      </c>
      <c r="H57" s="3515"/>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10040.61</v>
      </c>
      <c r="F58" s="636" t="e">
        <f t="shared" ref="F58:F67" si="15">ROUND(B58*E58/10000,0)</f>
        <v>#DIV/0!</v>
      </c>
      <c r="G58" s="3516"/>
      <c r="H58" s="351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518"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51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51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51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0.25</v>
      </c>
      <c r="D63" s="2231">
        <v>0.25</v>
      </c>
      <c r="E63" s="641">
        <f>'数据-汇总表'!E11</f>
        <v>1319.25</v>
      </c>
      <c r="F63" s="636" t="e">
        <f t="shared" si="15"/>
        <v>#DIV/0!</v>
      </c>
      <c r="G63" s="1947" t="s">
        <v>2286</v>
      </c>
      <c r="H63" s="1950" t="str">
        <f>项目基本情况!C43</f>
        <v>七级</v>
      </c>
      <c r="I63" s="1557">
        <f>SUMIF(修正!$A$45:$A$56,H63,修正!F45:F56)</f>
        <v>0.25</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0.25</v>
      </c>
      <c r="D64" s="2231">
        <v>0.25</v>
      </c>
      <c r="E64" s="641">
        <f>'数据-汇总表'!E12</f>
        <v>0</v>
      </c>
      <c r="F64" s="636" t="e">
        <f t="shared" si="15"/>
        <v>#DIV/0!</v>
      </c>
      <c r="G64" s="1948" t="s">
        <v>1678</v>
      </c>
      <c r="H64" s="1946" t="str">
        <f>IF(G64="商业",项目基本情况!B43,IF(G64="办公",项目基本情况!C43,IF(G64="住宅",项目基本情况!D43,项目基本情况!E43)))</f>
        <v>七级</v>
      </c>
      <c r="I64" s="1557">
        <f>SUMIF(修正!$A$45:$A$56,H64,修正!G45:G56)</f>
        <v>0.25</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2463.33</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0.2</v>
      </c>
      <c r="D67" s="2231">
        <v>0.25</v>
      </c>
      <c r="E67" s="641">
        <f>'数据-汇总表'!E15</f>
        <v>0</v>
      </c>
      <c r="F67" s="636" t="e">
        <f t="shared" si="15"/>
        <v>#DIV/0!</v>
      </c>
      <c r="G67" s="1949" t="s">
        <v>2286</v>
      </c>
      <c r="H67" s="1951" t="str">
        <f>项目基本情况!C43</f>
        <v>七级</v>
      </c>
      <c r="I67" s="1557">
        <f>SUMIF(修正!$A$45:$A$56,H67,修正!H45:H56)</f>
        <v>0.2</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4065.87</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2018-4-1</v>
      </c>
      <c r="D70" s="2801">
        <f>EDATE(C70,-3)</f>
        <v>43101</v>
      </c>
      <c r="E70" s="2801">
        <f t="shared" ref="E70:N70" si="18">EDATE(D70,-3)</f>
        <v>43009</v>
      </c>
      <c r="F70" s="2801">
        <f t="shared" si="18"/>
        <v>42917</v>
      </c>
      <c r="G70" s="2801">
        <f t="shared" si="18"/>
        <v>42826</v>
      </c>
      <c r="H70" s="2801">
        <f t="shared" si="18"/>
        <v>42736</v>
      </c>
      <c r="I70" s="2801">
        <f t="shared" si="18"/>
        <v>42644</v>
      </c>
      <c r="J70" s="2801">
        <f t="shared" si="18"/>
        <v>42552</v>
      </c>
      <c r="K70" s="2801">
        <f t="shared" si="18"/>
        <v>42461</v>
      </c>
      <c r="L70" s="2801">
        <f t="shared" si="18"/>
        <v>42370</v>
      </c>
      <c r="M70" s="2801">
        <f t="shared" si="18"/>
        <v>42278</v>
      </c>
      <c r="N70" s="2801">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94" t="s">
        <v>522</v>
      </c>
      <c r="D6" s="3495"/>
      <c r="E6" s="3528" t="s">
        <v>523</v>
      </c>
      <c r="F6" s="3529"/>
      <c r="G6" s="3494" t="s">
        <v>524</v>
      </c>
      <c r="H6" s="3495"/>
      <c r="I6" s="3494" t="s">
        <v>525</v>
      </c>
      <c r="J6" s="3495"/>
      <c r="K6" s="514" t="s">
        <v>526</v>
      </c>
      <c r="L6" s="2135"/>
      <c r="M6" s="2136"/>
      <c r="N6" s="2136"/>
      <c r="O6" s="2136"/>
      <c r="P6" s="3496" t="s">
        <v>527</v>
      </c>
      <c r="Q6" s="3497"/>
      <c r="R6" s="3502" t="s">
        <v>523</v>
      </c>
      <c r="S6" s="3503"/>
      <c r="T6" s="3502" t="s">
        <v>524</v>
      </c>
      <c r="U6" s="3503"/>
      <c r="V6" s="3489" t="s">
        <v>525</v>
      </c>
      <c r="W6" s="3489"/>
      <c r="X6" s="1568"/>
      <c r="Y6" s="3502" t="s">
        <v>527</v>
      </c>
      <c r="Z6" s="3503"/>
      <c r="AA6" s="3491" t="s">
        <v>523</v>
      </c>
      <c r="AB6" s="3492" t="s">
        <v>524</v>
      </c>
      <c r="AC6" s="3491" t="s">
        <v>525</v>
      </c>
    </row>
    <row r="7" spans="1:29" ht="15">
      <c r="A7" s="515"/>
      <c r="B7" s="516"/>
      <c r="C7" s="3510" t="s">
        <v>2930</v>
      </c>
      <c r="D7" s="3511"/>
      <c r="E7" s="3530" t="s">
        <v>2931</v>
      </c>
      <c r="F7" s="3531"/>
      <c r="G7" s="3510" t="s">
        <v>2932</v>
      </c>
      <c r="H7" s="3511"/>
      <c r="I7" s="3510" t="s">
        <v>2933</v>
      </c>
      <c r="J7" s="3511"/>
      <c r="K7" s="514"/>
      <c r="L7" s="2135"/>
      <c r="M7" s="2136"/>
      <c r="N7" s="2136"/>
      <c r="O7" s="2136"/>
      <c r="P7" s="3498"/>
      <c r="Q7" s="3499"/>
      <c r="R7" s="3504"/>
      <c r="S7" s="3505"/>
      <c r="T7" s="3504"/>
      <c r="U7" s="3505"/>
      <c r="V7" s="3489"/>
      <c r="W7" s="3489"/>
      <c r="X7" s="1568"/>
      <c r="Y7" s="3504"/>
      <c r="Z7" s="3505"/>
      <c r="AA7" s="3492"/>
      <c r="AB7" s="3492"/>
      <c r="AC7" s="3492"/>
    </row>
    <row r="8" spans="1:29" ht="15.75" thickBot="1">
      <c r="A8" s="517"/>
      <c r="B8" s="518"/>
      <c r="C8" s="3508" t="s">
        <v>2934</v>
      </c>
      <c r="D8" s="3509"/>
      <c r="E8" s="3526" t="s">
        <v>2934</v>
      </c>
      <c r="F8" s="3527"/>
      <c r="G8" s="3508" t="s">
        <v>2934</v>
      </c>
      <c r="H8" s="3509"/>
      <c r="I8" s="3508" t="s">
        <v>2934</v>
      </c>
      <c r="J8" s="3509"/>
      <c r="K8" s="514" t="s">
        <v>528</v>
      </c>
      <c r="L8" s="2135"/>
      <c r="M8" s="2136"/>
      <c r="N8" s="2136"/>
      <c r="O8" s="2136"/>
      <c r="P8" s="3500"/>
      <c r="Q8" s="3501"/>
      <c r="R8" s="3504"/>
      <c r="S8" s="3505"/>
      <c r="T8" s="3506"/>
      <c r="U8" s="3507"/>
      <c r="V8" s="3489"/>
      <c r="W8" s="3489"/>
      <c r="X8" s="1568"/>
      <c r="Y8" s="3506"/>
      <c r="Z8" s="3507"/>
      <c r="AA8" s="3493"/>
      <c r="AB8" s="3493"/>
      <c r="AC8" s="3493"/>
    </row>
    <row r="9" spans="1:29" s="1220" customFormat="1" ht="15.75" thickBot="1">
      <c r="A9" s="2914"/>
      <c r="B9" s="2921" t="s">
        <v>529</v>
      </c>
      <c r="C9" s="519">
        <f>'数据-取费表'!B2</f>
        <v>43205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519" t="s">
        <v>530</v>
      </c>
      <c r="Q9" s="3521"/>
      <c r="R9" s="1569" t="s">
        <v>8</v>
      </c>
      <c r="S9" s="1570">
        <f t="shared" ref="S9:S17" si="0">F9</f>
        <v>0</v>
      </c>
      <c r="T9" s="1569" t="s">
        <v>8</v>
      </c>
      <c r="U9" s="1570">
        <f t="shared" ref="U9:U17" si="1">H9</f>
        <v>0</v>
      </c>
      <c r="V9" s="1569" t="s">
        <v>8</v>
      </c>
      <c r="W9" s="1570">
        <f t="shared" ref="W9:W17" si="2">J9</f>
        <v>0</v>
      </c>
      <c r="X9" s="1571"/>
      <c r="Y9" s="3519" t="s">
        <v>530</v>
      </c>
      <c r="Z9" s="3520"/>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519" t="s">
        <v>533</v>
      </c>
      <c r="Q10" s="3520"/>
      <c r="R10" s="1569" t="s">
        <v>8</v>
      </c>
      <c r="S10" s="1570">
        <f t="shared" si="0"/>
        <v>0</v>
      </c>
      <c r="T10" s="1569" t="s">
        <v>8</v>
      </c>
      <c r="U10" s="1570">
        <f t="shared" si="1"/>
        <v>0</v>
      </c>
      <c r="V10" s="1569" t="s">
        <v>8</v>
      </c>
      <c r="W10" s="1570">
        <f t="shared" si="2"/>
        <v>0</v>
      </c>
      <c r="X10" s="1571"/>
      <c r="Y10" s="3519" t="s">
        <v>533</v>
      </c>
      <c r="Z10" s="3520"/>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88" t="s">
        <v>535</v>
      </c>
      <c r="Q11" s="1151" t="str">
        <f t="shared" ref="Q11:Q17" si="6">B11</f>
        <v>用途</v>
      </c>
      <c r="R11" s="1569" t="s">
        <v>8</v>
      </c>
      <c r="S11" s="1570">
        <f t="shared" si="0"/>
        <v>100</v>
      </c>
      <c r="T11" s="1569" t="s">
        <v>8</v>
      </c>
      <c r="U11" s="1570">
        <f t="shared" si="1"/>
        <v>100</v>
      </c>
      <c r="V11" s="1569" t="s">
        <v>8</v>
      </c>
      <c r="W11" s="1570">
        <f t="shared" si="2"/>
        <v>100</v>
      </c>
      <c r="X11" s="1571"/>
      <c r="Y11" s="3416"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t="e">
        <f>ROUND(100/'数据-取费表'!G16,0)</f>
        <v>#DIV/0!</v>
      </c>
      <c r="G12" s="528"/>
      <c r="H12" s="255" t="e">
        <f>ROUND(100/'数据-取费表'!G16,0)</f>
        <v>#DIV/0!</v>
      </c>
      <c r="I12" s="528"/>
      <c r="J12" s="255" t="e">
        <f>ROUND(100/'数据-取费表'!G16,0)</f>
        <v>#DIV/0!</v>
      </c>
      <c r="K12" s="531"/>
      <c r="L12" s="2140"/>
      <c r="M12" s="2180"/>
      <c r="N12" s="2180"/>
      <c r="O12" s="2141"/>
      <c r="P12" s="3488"/>
      <c r="Q12" s="1151" t="str">
        <f t="shared" si="6"/>
        <v>土地使用年限（年）</v>
      </c>
      <c r="R12" s="1569" t="s">
        <v>8</v>
      </c>
      <c r="S12" s="1570" t="e">
        <f t="shared" si="0"/>
        <v>#DIV/0!</v>
      </c>
      <c r="T12" s="1569" t="s">
        <v>8</v>
      </c>
      <c r="U12" s="1570" t="e">
        <f t="shared" si="1"/>
        <v>#DIV/0!</v>
      </c>
      <c r="V12" s="1569" t="s">
        <v>8</v>
      </c>
      <c r="W12" s="1570" t="e">
        <f t="shared" si="2"/>
        <v>#DIV/0!</v>
      </c>
      <c r="X12" s="1571"/>
      <c r="Y12" s="3416"/>
      <c r="Z12" s="1150" t="str">
        <f t="shared" si="7"/>
        <v>土地使用年限（年）</v>
      </c>
      <c r="AA12" s="1572" t="e">
        <f t="shared" si="3"/>
        <v>#DIV/0!</v>
      </c>
      <c r="AB12" s="1572" t="e">
        <f t="shared" si="4"/>
        <v>#DIV/0!</v>
      </c>
      <c r="AC12" s="1572" t="e">
        <f t="shared" si="5"/>
        <v>#DIV/0!</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88"/>
      <c r="Q13" s="1151" t="str">
        <f t="shared" si="6"/>
        <v>容积率</v>
      </c>
      <c r="R13" s="1569" t="s">
        <v>8</v>
      </c>
      <c r="S13" s="1570" t="e">
        <f t="shared" si="0"/>
        <v>#N/A</v>
      </c>
      <c r="T13" s="1569" t="s">
        <v>8</v>
      </c>
      <c r="U13" s="1570" t="e">
        <f t="shared" si="1"/>
        <v>#N/A</v>
      </c>
      <c r="V13" s="1569" t="s">
        <v>8</v>
      </c>
      <c r="W13" s="1570" t="e">
        <f t="shared" si="2"/>
        <v>#N/A</v>
      </c>
      <c r="X13" s="1571"/>
      <c r="Y13" s="3416"/>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88"/>
      <c r="Q14" s="1151">
        <f t="shared" si="6"/>
        <v>111</v>
      </c>
      <c r="R14" s="1569" t="s">
        <v>8</v>
      </c>
      <c r="S14" s="1570">
        <f t="shared" si="0"/>
        <v>100</v>
      </c>
      <c r="T14" s="1569" t="s">
        <v>8</v>
      </c>
      <c r="U14" s="1570">
        <f t="shared" si="1"/>
        <v>100</v>
      </c>
      <c r="V14" s="1569" t="s">
        <v>8</v>
      </c>
      <c r="W14" s="1570">
        <f t="shared" si="2"/>
        <v>100</v>
      </c>
      <c r="X14" s="1571"/>
      <c r="Y14" s="3416"/>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88"/>
      <c r="Q15" s="1151">
        <f t="shared" si="6"/>
        <v>111</v>
      </c>
      <c r="R15" s="1569" t="s">
        <v>8</v>
      </c>
      <c r="S15" s="1570">
        <f t="shared" si="0"/>
        <v>100</v>
      </c>
      <c r="T15" s="1569" t="s">
        <v>8</v>
      </c>
      <c r="U15" s="1570">
        <f t="shared" si="1"/>
        <v>100</v>
      </c>
      <c r="V15" s="1569" t="s">
        <v>8</v>
      </c>
      <c r="W15" s="1570">
        <f t="shared" si="2"/>
        <v>100</v>
      </c>
      <c r="X15" s="1571"/>
      <c r="Y15" s="3416"/>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88"/>
      <c r="Q16" s="1151">
        <f t="shared" si="6"/>
        <v>111</v>
      </c>
      <c r="R16" s="1569" t="s">
        <v>8</v>
      </c>
      <c r="S16" s="1570">
        <f t="shared" si="0"/>
        <v>100</v>
      </c>
      <c r="T16" s="1569" t="s">
        <v>8</v>
      </c>
      <c r="U16" s="1570">
        <f t="shared" si="1"/>
        <v>100</v>
      </c>
      <c r="V16" s="1569" t="s">
        <v>8</v>
      </c>
      <c r="W16" s="1570">
        <f t="shared" si="2"/>
        <v>100</v>
      </c>
      <c r="X16" s="1571"/>
      <c r="Y16" s="3416"/>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522" t="s">
        <v>540</v>
      </c>
      <c r="Q17" s="1573" t="str">
        <f t="shared" si="6"/>
        <v>产业集聚程度</v>
      </c>
      <c r="R17" s="1574" t="s">
        <v>8</v>
      </c>
      <c r="S17" s="1575">
        <f t="shared" si="0"/>
        <v>100</v>
      </c>
      <c r="T17" s="1574" t="s">
        <v>8</v>
      </c>
      <c r="U17" s="1575">
        <f t="shared" si="1"/>
        <v>100</v>
      </c>
      <c r="V17" s="1574" t="s">
        <v>8</v>
      </c>
      <c r="W17" s="1575">
        <f t="shared" si="2"/>
        <v>100</v>
      </c>
      <c r="X17" s="1568"/>
      <c r="Y17" s="352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523"/>
      <c r="Q18" s="1573"/>
      <c r="R18" s="1574"/>
      <c r="S18" s="1575"/>
      <c r="T18" s="1574"/>
      <c r="U18" s="1575"/>
      <c r="V18" s="1574"/>
      <c r="W18" s="1575"/>
      <c r="X18" s="1568"/>
      <c r="Y18" s="352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523"/>
      <c r="Q19" s="1573" t="str">
        <f>B19</f>
        <v>交通便捷度</v>
      </c>
      <c r="R19" s="1574" t="s">
        <v>8</v>
      </c>
      <c r="S19" s="1575">
        <f>F19</f>
        <v>100</v>
      </c>
      <c r="T19" s="1574" t="s">
        <v>8</v>
      </c>
      <c r="U19" s="1575">
        <f>H19</f>
        <v>100</v>
      </c>
      <c r="V19" s="1574" t="s">
        <v>8</v>
      </c>
      <c r="W19" s="1575">
        <f>J19</f>
        <v>100</v>
      </c>
      <c r="X19" s="1568"/>
      <c r="Y19" s="352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523"/>
      <c r="Q20" s="1573"/>
      <c r="R20" s="1574"/>
      <c r="S20" s="1575"/>
      <c r="T20" s="1574"/>
      <c r="U20" s="1575"/>
      <c r="V20" s="1574"/>
      <c r="W20" s="1575"/>
      <c r="X20" s="1568"/>
      <c r="Y20" s="352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523"/>
      <c r="Q21" s="1573" t="str">
        <f t="shared" ref="Q21:Q35" si="8">B21</f>
        <v>区域土地利用方向</v>
      </c>
      <c r="R21" s="1574" t="s">
        <v>8</v>
      </c>
      <c r="S21" s="1575">
        <f>F21</f>
        <v>100</v>
      </c>
      <c r="T21" s="1574" t="s">
        <v>8</v>
      </c>
      <c r="U21" s="1575">
        <f>H21</f>
        <v>100</v>
      </c>
      <c r="V21" s="1574" t="s">
        <v>8</v>
      </c>
      <c r="W21" s="1575">
        <f>J21</f>
        <v>100</v>
      </c>
      <c r="X21" s="1568"/>
      <c r="Y21" s="352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523"/>
      <c r="Q22" s="1573"/>
      <c r="R22" s="1574"/>
      <c r="S22" s="1575"/>
      <c r="T22" s="1574"/>
      <c r="U22" s="1575"/>
      <c r="V22" s="1574"/>
      <c r="W22" s="1575"/>
      <c r="X22" s="1568"/>
      <c r="Y22" s="352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523"/>
      <c r="Q23" s="1573" t="str">
        <f t="shared" si="8"/>
        <v>环境状况</v>
      </c>
      <c r="R23" s="1574" t="s">
        <v>8</v>
      </c>
      <c r="S23" s="1575">
        <f>F23</f>
        <v>100</v>
      </c>
      <c r="T23" s="1574" t="s">
        <v>8</v>
      </c>
      <c r="U23" s="1575">
        <f>H23</f>
        <v>100</v>
      </c>
      <c r="V23" s="1574" t="s">
        <v>8</v>
      </c>
      <c r="W23" s="1575">
        <f>J23</f>
        <v>100</v>
      </c>
      <c r="X23" s="1568"/>
      <c r="Y23" s="352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523"/>
      <c r="Q24" s="1573"/>
      <c r="R24" s="1574"/>
      <c r="S24" s="1575"/>
      <c r="T24" s="1574"/>
      <c r="U24" s="1575"/>
      <c r="V24" s="1574"/>
      <c r="W24" s="1575"/>
      <c r="X24" s="1568"/>
      <c r="Y24" s="3523"/>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523"/>
      <c r="Q25" s="1151" t="str">
        <f t="shared" si="8"/>
        <v>公共配套设施</v>
      </c>
      <c r="R25" s="1569" t="s">
        <v>8</v>
      </c>
      <c r="S25" s="1570">
        <f>F25</f>
        <v>100</v>
      </c>
      <c r="T25" s="1569" t="s">
        <v>8</v>
      </c>
      <c r="U25" s="1570">
        <f>H25</f>
        <v>100</v>
      </c>
      <c r="V25" s="1569" t="s">
        <v>8</v>
      </c>
      <c r="W25" s="1570">
        <f>J25</f>
        <v>100</v>
      </c>
      <c r="X25" s="1571"/>
      <c r="Y25" s="3523"/>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523"/>
      <c r="Q26" s="1151"/>
      <c r="R26" s="1569"/>
      <c r="S26" s="1570"/>
      <c r="T26" s="1569"/>
      <c r="U26" s="1570"/>
      <c r="V26" s="1569"/>
      <c r="W26" s="1570"/>
      <c r="X26" s="1571"/>
      <c r="Y26" s="3523"/>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523"/>
      <c r="Q27" s="2580" t="str">
        <f t="shared" ref="Q27" si="9">B27</f>
        <v>基础设施水平</v>
      </c>
      <c r="R27" s="1569" t="s">
        <v>8</v>
      </c>
      <c r="S27" s="1570">
        <f>F27</f>
        <v>100</v>
      </c>
      <c r="T27" s="1569" t="s">
        <v>8</v>
      </c>
      <c r="U27" s="1570">
        <f>H27</f>
        <v>100</v>
      </c>
      <c r="V27" s="1569" t="s">
        <v>8</v>
      </c>
      <c r="W27" s="1570">
        <f>J27</f>
        <v>100</v>
      </c>
      <c r="X27" s="1571"/>
      <c r="Y27" s="3523"/>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523"/>
      <c r="Q28" s="2580"/>
      <c r="R28" s="1569"/>
      <c r="S28" s="1570"/>
      <c r="T28" s="1569"/>
      <c r="U28" s="1570"/>
      <c r="V28" s="1569"/>
      <c r="W28" s="1570"/>
      <c r="X28" s="1571"/>
      <c r="Y28" s="3523"/>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52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23"/>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523"/>
      <c r="Q30" s="1573" t="str">
        <f t="shared" si="8"/>
        <v>毗邻道路的类型与等级</v>
      </c>
      <c r="R30" s="1574" t="s">
        <v>8</v>
      </c>
      <c r="S30" s="1575">
        <f t="shared" si="10"/>
        <v>100</v>
      </c>
      <c r="T30" s="1574" t="s">
        <v>8</v>
      </c>
      <c r="U30" s="1575">
        <f t="shared" si="11"/>
        <v>100</v>
      </c>
      <c r="V30" s="1574" t="s">
        <v>8</v>
      </c>
      <c r="W30" s="1575">
        <f t="shared" si="12"/>
        <v>100</v>
      </c>
      <c r="X30" s="1568"/>
      <c r="Y30" s="352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523"/>
      <c r="Q31" s="1573"/>
      <c r="R31" s="1574"/>
      <c r="S31" s="1575"/>
      <c r="T31" s="1574"/>
      <c r="U31" s="1575"/>
      <c r="V31" s="1574"/>
      <c r="W31" s="1575"/>
      <c r="X31" s="1568"/>
      <c r="Y31" s="3523"/>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523"/>
      <c r="Q32" s="1573" t="str">
        <f t="shared" si="8"/>
        <v>土地级别</v>
      </c>
      <c r="R32" s="1574" t="s">
        <v>8</v>
      </c>
      <c r="S32" s="1575">
        <f t="shared" si="10"/>
        <v>100</v>
      </c>
      <c r="T32" s="1574" t="s">
        <v>8</v>
      </c>
      <c r="U32" s="1575">
        <f t="shared" si="11"/>
        <v>100</v>
      </c>
      <c r="V32" s="1574" t="s">
        <v>8</v>
      </c>
      <c r="W32" s="1575">
        <f t="shared" si="12"/>
        <v>100</v>
      </c>
      <c r="X32" s="1568"/>
      <c r="Y32" s="352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523"/>
      <c r="Q33" s="1573">
        <f t="shared" si="8"/>
        <v>111</v>
      </c>
      <c r="R33" s="1574" t="s">
        <v>8</v>
      </c>
      <c r="S33" s="1575">
        <f t="shared" si="10"/>
        <v>100</v>
      </c>
      <c r="T33" s="1574" t="s">
        <v>8</v>
      </c>
      <c r="U33" s="1575">
        <f t="shared" si="11"/>
        <v>100</v>
      </c>
      <c r="V33" s="1574" t="s">
        <v>8</v>
      </c>
      <c r="W33" s="1575">
        <f t="shared" si="12"/>
        <v>100</v>
      </c>
      <c r="X33" s="1568"/>
      <c r="Y33" s="352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524" t="s">
        <v>550</v>
      </c>
      <c r="Q34" s="1573">
        <f t="shared" si="8"/>
        <v>111</v>
      </c>
      <c r="R34" s="1574" t="s">
        <v>8</v>
      </c>
      <c r="S34" s="1575">
        <f t="shared" si="10"/>
        <v>100</v>
      </c>
      <c r="T34" s="1574" t="s">
        <v>8</v>
      </c>
      <c r="U34" s="1575">
        <f t="shared" si="11"/>
        <v>100</v>
      </c>
      <c r="V34" s="1574" t="s">
        <v>8</v>
      </c>
      <c r="W34" s="1575">
        <f t="shared" si="12"/>
        <v>100</v>
      </c>
      <c r="X34" s="1568"/>
      <c r="Y34" s="3525"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525"/>
      <c r="Q35" s="1573">
        <f t="shared" si="8"/>
        <v>111</v>
      </c>
      <c r="R35" s="1578" t="s">
        <v>8</v>
      </c>
      <c r="S35" s="1579">
        <f t="shared" si="10"/>
        <v>100</v>
      </c>
      <c r="T35" s="1578" t="s">
        <v>8</v>
      </c>
      <c r="U35" s="1579">
        <f t="shared" si="11"/>
        <v>100</v>
      </c>
      <c r="V35" s="1578" t="s">
        <v>8</v>
      </c>
      <c r="W35" s="1579">
        <f t="shared" si="12"/>
        <v>100</v>
      </c>
      <c r="X35" s="1580"/>
      <c r="Y35" s="3525"/>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525"/>
      <c r="Q36" s="1573" t="str">
        <f>B36</f>
        <v>宗地面积</v>
      </c>
      <c r="R36" s="1574" t="s">
        <v>8</v>
      </c>
      <c r="S36" s="1575" t="e">
        <f t="shared" si="10"/>
        <v>#N/A</v>
      </c>
      <c r="T36" s="1574" t="s">
        <v>8</v>
      </c>
      <c r="U36" s="1575" t="e">
        <f t="shared" si="11"/>
        <v>#N/A</v>
      </c>
      <c r="V36" s="1574" t="s">
        <v>8</v>
      </c>
      <c r="W36" s="1575" t="e">
        <f t="shared" si="12"/>
        <v>#N/A</v>
      </c>
      <c r="X36" s="1568"/>
      <c r="Y36" s="352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525"/>
      <c r="Q37" s="1573" t="str">
        <f t="shared" ref="Q37:Q42" si="14">B37</f>
        <v>宗地形状</v>
      </c>
      <c r="R37" s="1574" t="s">
        <v>8</v>
      </c>
      <c r="S37" s="1575">
        <f t="shared" si="10"/>
        <v>100</v>
      </c>
      <c r="T37" s="1574" t="s">
        <v>8</v>
      </c>
      <c r="U37" s="1575">
        <f t="shared" si="11"/>
        <v>100</v>
      </c>
      <c r="V37" s="1574" t="s">
        <v>8</v>
      </c>
      <c r="W37" s="1575">
        <f t="shared" si="12"/>
        <v>100</v>
      </c>
      <c r="X37" s="1568"/>
      <c r="Y37" s="3525"/>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525"/>
      <c r="Q38" s="1573" t="str">
        <f t="shared" si="14"/>
        <v>宗地开发程度</v>
      </c>
      <c r="R38" s="1569" t="s">
        <v>8</v>
      </c>
      <c r="S38" s="1570">
        <f t="shared" si="10"/>
        <v>100</v>
      </c>
      <c r="T38" s="1569" t="s">
        <v>8</v>
      </c>
      <c r="U38" s="1570">
        <f t="shared" si="11"/>
        <v>100</v>
      </c>
      <c r="V38" s="1569" t="s">
        <v>8</v>
      </c>
      <c r="W38" s="1570">
        <f t="shared" si="12"/>
        <v>100</v>
      </c>
      <c r="X38" s="1571"/>
      <c r="Y38" s="352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25" t="s">
        <v>601</v>
      </c>
      <c r="Q39" s="1573" t="str">
        <f t="shared" si="14"/>
        <v>工程地质条件</v>
      </c>
      <c r="R39" s="1574" t="s">
        <v>8</v>
      </c>
      <c r="S39" s="1575">
        <f t="shared" si="10"/>
        <v>100</v>
      </c>
      <c r="T39" s="1574" t="s">
        <v>8</v>
      </c>
      <c r="U39" s="1575">
        <f t="shared" si="11"/>
        <v>100</v>
      </c>
      <c r="V39" s="1574" t="s">
        <v>8</v>
      </c>
      <c r="W39" s="1575">
        <f t="shared" si="12"/>
        <v>100</v>
      </c>
      <c r="X39" s="1568"/>
      <c r="Y39" s="352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525"/>
      <c r="Q40" s="1573">
        <f t="shared" si="14"/>
        <v>111</v>
      </c>
      <c r="R40" s="1574" t="s">
        <v>8</v>
      </c>
      <c r="S40" s="1575">
        <f t="shared" si="10"/>
        <v>100</v>
      </c>
      <c r="T40" s="1574" t="s">
        <v>8</v>
      </c>
      <c r="U40" s="1575">
        <f t="shared" si="11"/>
        <v>100</v>
      </c>
      <c r="V40" s="1574" t="s">
        <v>8</v>
      </c>
      <c r="W40" s="1575">
        <f t="shared" si="12"/>
        <v>100</v>
      </c>
      <c r="X40" s="1568"/>
      <c r="Y40" s="352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525"/>
      <c r="Q41" s="1573">
        <f t="shared" si="14"/>
        <v>111</v>
      </c>
      <c r="R41" s="1574" t="s">
        <v>8</v>
      </c>
      <c r="S41" s="1575">
        <f t="shared" si="10"/>
        <v>100</v>
      </c>
      <c r="T41" s="1574" t="s">
        <v>8</v>
      </c>
      <c r="U41" s="1575">
        <f t="shared" si="11"/>
        <v>100</v>
      </c>
      <c r="V41" s="1574" t="s">
        <v>8</v>
      </c>
      <c r="W41" s="1575">
        <f t="shared" si="12"/>
        <v>100</v>
      </c>
      <c r="X41" s="1568"/>
      <c r="Y41" s="352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525"/>
      <c r="Q42" s="1573">
        <f t="shared" si="14"/>
        <v>111</v>
      </c>
      <c r="R42" s="1578" t="s">
        <v>8</v>
      </c>
      <c r="S42" s="1579">
        <f t="shared" si="10"/>
        <v>100</v>
      </c>
      <c r="T42" s="1578" t="s">
        <v>8</v>
      </c>
      <c r="U42" s="1579">
        <f t="shared" si="11"/>
        <v>100</v>
      </c>
      <c r="V42" s="1578" t="s">
        <v>8</v>
      </c>
      <c r="W42" s="1579">
        <f t="shared" si="12"/>
        <v>100</v>
      </c>
      <c r="X42" s="1580"/>
      <c r="Y42" s="3525"/>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6"/>
      <c r="M43" s="2136"/>
      <c r="N43" s="2136"/>
      <c r="O43" s="2147"/>
      <c r="P43" s="3488" t="str">
        <f>A43</f>
        <v>成交单价</v>
      </c>
      <c r="Q43" s="3488"/>
      <c r="R43" s="3489">
        <f>E43</f>
        <v>0</v>
      </c>
      <c r="S43" s="3489"/>
      <c r="T43" s="3489">
        <f>G43</f>
        <v>0</v>
      </c>
      <c r="U43" s="3489"/>
      <c r="V43" s="3489">
        <f>I43</f>
        <v>0</v>
      </c>
      <c r="W43" s="3489"/>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88" t="str">
        <f>A44</f>
        <v>比较价格（元/平方米）</v>
      </c>
      <c r="Q44" s="3488"/>
      <c r="R44" s="3490" t="e">
        <f>ROUND(PRODUCT(R43,AA9:AA42),0)</f>
        <v>#DIV/0!</v>
      </c>
      <c r="S44" s="3490"/>
      <c r="T44" s="3490" t="e">
        <f>ROUND(PRODUCT(T43,AB9:AB42),0)</f>
        <v>#DIV/0!</v>
      </c>
      <c r="U44" s="3490"/>
      <c r="V44" s="3490" t="e">
        <f>ROUND(PRODUCT(V43,AC9:AC42),0)</f>
        <v>#DIV/0!</v>
      </c>
      <c r="W44" s="3490"/>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485" t="str">
        <f>A45</f>
        <v>估价对象XX用房的比较价格（楼面单价，元/平方米）</v>
      </c>
      <c r="Q45" s="3486"/>
      <c r="R45" s="3487" t="e">
        <f>ROUND(AVERAGE(R44:V44),0)</f>
        <v>#DIV/0!</v>
      </c>
      <c r="S45" s="3487"/>
      <c r="T45" s="3487"/>
      <c r="U45" s="3487"/>
      <c r="V45" s="3487"/>
      <c r="W45" s="348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532" t="s">
        <v>2287</v>
      </c>
      <c r="H52" s="3533"/>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10040.61</v>
      </c>
      <c r="F53" s="1952" t="e">
        <f t="shared" ref="F53:F62" si="15">ROUND(B53*E53/10000,0)</f>
        <v>#DIV/0!</v>
      </c>
      <c r="G53" s="3534"/>
      <c r="H53" s="353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536"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536"/>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536"/>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536"/>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0.25</v>
      </c>
      <c r="D58" s="2231">
        <v>0.25</v>
      </c>
      <c r="E58" s="641">
        <f>'数据-汇总表'!E11</f>
        <v>1319.25</v>
      </c>
      <c r="F58" s="1952" t="e">
        <f t="shared" si="15"/>
        <v>#DIV/0!</v>
      </c>
      <c r="G58" s="1958" t="s">
        <v>2289</v>
      </c>
      <c r="H58" s="1957" t="str">
        <f>项目基本情况!C43</f>
        <v>七级</v>
      </c>
      <c r="I58" s="1955">
        <f>SUMIF(修正!$A$45:$A$56,H58,修正!F45:F56)</f>
        <v>0.25</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0.25</v>
      </c>
      <c r="D59" s="2231">
        <v>0.25</v>
      </c>
      <c r="E59" s="641">
        <f>'数据-汇总表'!E12</f>
        <v>0</v>
      </c>
      <c r="F59" s="1952" t="e">
        <f t="shared" si="15"/>
        <v>#DIV/0!</v>
      </c>
      <c r="G59" s="1948" t="s">
        <v>1678</v>
      </c>
      <c r="H59" s="1956" t="str">
        <f>IF(G59="商业",项目基本情况!B43,IF(G59="办公",项目基本情况!C43,IF(G59="住宅",项目基本情况!D43,项目基本情况!E43)))</f>
        <v>七级</v>
      </c>
      <c r="I59" s="1955">
        <f>SUMIF(修正!$A$45:$A$56,H59,修正!G45:G56)</f>
        <v>0.25</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2463.33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0.2</v>
      </c>
      <c r="D62" s="2231">
        <v>0.25</v>
      </c>
      <c r="E62" s="641">
        <f>'数据-汇总表'!E15</f>
        <v>0</v>
      </c>
      <c r="F62" s="1952" t="e">
        <f t="shared" si="15"/>
        <v>#DIV/0!</v>
      </c>
      <c r="G62" s="1959" t="s">
        <v>2289</v>
      </c>
      <c r="H62" s="1960" t="str">
        <f>项目基本情况!C43</f>
        <v>七级</v>
      </c>
      <c r="I62" s="1955">
        <f>SUMIF(修正!$A$45:$A$56,H62,修正!H45:H56)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4065.87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2018-4-1</v>
      </c>
      <c r="D65" s="2801">
        <f>EDATE(C65,-3)</f>
        <v>43101</v>
      </c>
      <c r="E65" s="2801">
        <f t="shared" ref="E65:N65" si="18">EDATE(D65,-3)</f>
        <v>43009</v>
      </c>
      <c r="F65" s="2801">
        <f t="shared" si="18"/>
        <v>42917</v>
      </c>
      <c r="G65" s="2801">
        <f t="shared" si="18"/>
        <v>42826</v>
      </c>
      <c r="H65" s="2801">
        <f t="shared" si="18"/>
        <v>42736</v>
      </c>
      <c r="I65" s="2801">
        <f t="shared" si="18"/>
        <v>42644</v>
      </c>
      <c r="J65" s="2801">
        <f t="shared" si="18"/>
        <v>42552</v>
      </c>
      <c r="K65" s="2801">
        <f t="shared" si="18"/>
        <v>42461</v>
      </c>
      <c r="L65" s="2801">
        <f t="shared" si="18"/>
        <v>42370</v>
      </c>
      <c r="M65" s="2801">
        <f t="shared" si="18"/>
        <v>42278</v>
      </c>
      <c r="N65" s="2801">
        <f t="shared" si="18"/>
        <v>42186</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81" t="s">
        <v>1008</v>
      </c>
      <c r="B18" s="1154" t="s">
        <v>1447</v>
      </c>
      <c r="C18" s="1131" t="s">
        <v>1448</v>
      </c>
      <c r="D18" s="1132"/>
      <c r="E18" s="1154">
        <v>1</v>
      </c>
      <c r="F18" s="1133" t="s">
        <v>1449</v>
      </c>
      <c r="G18" s="1134"/>
      <c r="H18" s="1105"/>
      <c r="I18" s="1105"/>
    </row>
    <row r="19" spans="1:9" s="1600" customFormat="1" ht="19.5" customHeight="1">
      <c r="A19" s="3481"/>
      <c r="B19" s="3481" t="s">
        <v>1450</v>
      </c>
      <c r="C19" s="1131" t="s">
        <v>1451</v>
      </c>
      <c r="D19" s="1132"/>
      <c r="E19" s="1154">
        <v>0.9</v>
      </c>
      <c r="F19" s="1133" t="s">
        <v>1452</v>
      </c>
      <c r="G19" s="1134"/>
      <c r="H19" s="1105"/>
      <c r="I19" s="1105"/>
    </row>
    <row r="20" spans="1:9" s="1600" customFormat="1" ht="19.5" customHeight="1">
      <c r="A20" s="3481"/>
      <c r="B20" s="3481"/>
      <c r="C20" s="1131" t="s">
        <v>1453</v>
      </c>
      <c r="D20" s="1132"/>
      <c r="E20" s="1154">
        <v>1.1000000000000001</v>
      </c>
      <c r="F20" s="1133" t="s">
        <v>1454</v>
      </c>
      <c r="G20" s="1134"/>
      <c r="H20" s="1105"/>
      <c r="I20" s="1105"/>
    </row>
    <row r="21" spans="1:9" s="1600" customFormat="1" ht="19.5" customHeight="1">
      <c r="A21" s="3481"/>
      <c r="B21" s="3481"/>
      <c r="C21" s="1131" t="s">
        <v>1455</v>
      </c>
      <c r="D21" s="1132"/>
      <c r="E21" s="1154">
        <v>0.8</v>
      </c>
      <c r="F21" s="1133" t="s">
        <v>1456</v>
      </c>
      <c r="G21" s="1134"/>
      <c r="H21" s="1105"/>
      <c r="I21" s="1105"/>
    </row>
    <row r="22" spans="1:9" s="1600" customFormat="1" ht="19.5" customHeight="1">
      <c r="A22" s="3481"/>
      <c r="B22" s="3481"/>
      <c r="C22" s="1131" t="s">
        <v>1457</v>
      </c>
      <c r="D22" s="1132"/>
      <c r="E22" s="1154">
        <v>0.5</v>
      </c>
      <c r="F22" s="1133"/>
      <c r="G22" s="1134"/>
      <c r="H22" s="1105"/>
      <c r="I22" s="1105"/>
    </row>
    <row r="23" spans="1:9" s="1600" customFormat="1" ht="19.5" customHeight="1">
      <c r="A23" s="3481" t="s">
        <v>1030</v>
      </c>
      <c r="B23" s="1154" t="s">
        <v>1447</v>
      </c>
      <c r="C23" s="1131" t="s">
        <v>1458</v>
      </c>
      <c r="D23" s="1132"/>
      <c r="E23" s="1154">
        <v>1</v>
      </c>
      <c r="F23" s="1133" t="s">
        <v>1459</v>
      </c>
      <c r="G23" s="1134"/>
      <c r="H23" s="1105"/>
      <c r="I23" s="1105"/>
    </row>
    <row r="24" spans="1:9" s="1600" customFormat="1" ht="19.5" customHeight="1">
      <c r="A24" s="3481"/>
      <c r="B24" s="3481" t="s">
        <v>1450</v>
      </c>
      <c r="C24" s="1131" t="s">
        <v>1460</v>
      </c>
      <c r="D24" s="1132"/>
      <c r="E24" s="1154">
        <v>0.5</v>
      </c>
      <c r="F24" s="1133"/>
      <c r="G24" s="1134"/>
      <c r="H24" s="1105"/>
      <c r="I24" s="1105"/>
    </row>
    <row r="25" spans="1:9" s="1600" customFormat="1" ht="19.5" customHeight="1">
      <c r="A25" s="3481"/>
      <c r="B25" s="3481"/>
      <c r="C25" s="1131" t="s">
        <v>1461</v>
      </c>
      <c r="D25" s="1132"/>
      <c r="E25" s="1154">
        <v>1.1000000000000001</v>
      </c>
      <c r="F25" s="1133"/>
      <c r="G25" s="1134"/>
      <c r="H25" s="1105"/>
      <c r="I25" s="1105"/>
    </row>
    <row r="26" spans="1:9" s="1600" customFormat="1" ht="19.5" customHeight="1">
      <c r="A26" s="3481"/>
      <c r="B26" s="3481"/>
      <c r="C26" s="1131" t="s">
        <v>1462</v>
      </c>
      <c r="D26" s="1132"/>
      <c r="E26" s="1154">
        <v>1.1000000000000001</v>
      </c>
      <c r="F26" s="1133"/>
      <c r="G26" s="1134"/>
      <c r="H26" s="1105"/>
      <c r="I26" s="1105"/>
    </row>
    <row r="27" spans="1:9" s="1600" customFormat="1" ht="19.5" customHeight="1">
      <c r="A27" s="3481"/>
      <c r="B27" s="3481"/>
      <c r="C27" s="1131" t="s">
        <v>1463</v>
      </c>
      <c r="D27" s="1132"/>
      <c r="E27" s="1154">
        <v>0.9</v>
      </c>
      <c r="F27" s="1133" t="s">
        <v>1464</v>
      </c>
      <c r="G27" s="1134"/>
      <c r="H27" s="1105"/>
      <c r="I27" s="1105"/>
    </row>
    <row r="28" spans="1:9" s="1600" customFormat="1" ht="19.5" customHeight="1">
      <c r="A28" s="3481"/>
      <c r="B28" s="3481"/>
      <c r="C28" s="1131" t="s">
        <v>1465</v>
      </c>
      <c r="D28" s="1132"/>
      <c r="E28" s="1154">
        <v>0.9</v>
      </c>
      <c r="F28" s="1133" t="s">
        <v>1466</v>
      </c>
      <c r="G28" s="1134"/>
      <c r="H28" s="1105"/>
      <c r="I28" s="1105"/>
    </row>
    <row r="29" spans="1:9" s="1600" customFormat="1" ht="19.5" customHeight="1">
      <c r="A29" s="3481"/>
      <c r="B29" s="3481"/>
      <c r="C29" s="1131" t="s">
        <v>1467</v>
      </c>
      <c r="D29" s="1132"/>
      <c r="E29" s="1154">
        <v>0.9</v>
      </c>
      <c r="F29" s="1133" t="s">
        <v>1468</v>
      </c>
      <c r="G29" s="1134"/>
      <c r="H29" s="1105"/>
      <c r="I29" s="1105"/>
    </row>
    <row r="30" spans="1:9" s="1600" customFormat="1" ht="19.5" customHeight="1">
      <c r="A30" s="3481"/>
      <c r="B30" s="3481"/>
      <c r="C30" s="1131" t="s">
        <v>1469</v>
      </c>
      <c r="D30" s="1132"/>
      <c r="E30" s="1154">
        <v>0.9</v>
      </c>
      <c r="F30" s="1133" t="s">
        <v>1470</v>
      </c>
      <c r="G30" s="1134"/>
      <c r="H30" s="1105"/>
      <c r="I30" s="1105"/>
    </row>
    <row r="31" spans="1:9" s="1600" customFormat="1" ht="19.5" customHeight="1">
      <c r="A31" s="3481"/>
      <c r="B31" s="3481"/>
      <c r="C31" s="1131" t="s">
        <v>1471</v>
      </c>
      <c r="D31" s="1132"/>
      <c r="E31" s="1154">
        <v>0.8</v>
      </c>
      <c r="F31" s="1133" t="s">
        <v>1472</v>
      </c>
      <c r="G31" s="1134"/>
      <c r="H31" s="1105"/>
      <c r="I31" s="1105"/>
    </row>
    <row r="32" spans="1:9" s="1600" customFormat="1" ht="19.5" customHeight="1">
      <c r="A32" s="3481"/>
      <c r="B32" s="3481"/>
      <c r="C32" s="1131" t="s">
        <v>1473</v>
      </c>
      <c r="D32" s="1132"/>
      <c r="E32" s="1154">
        <v>0.8</v>
      </c>
      <c r="F32" s="1133" t="s">
        <v>1474</v>
      </c>
      <c r="G32" s="1134"/>
      <c r="H32" s="1105"/>
      <c r="I32" s="1105"/>
    </row>
    <row r="33" spans="1:9" s="1600" customFormat="1" ht="19.5" customHeight="1">
      <c r="A33" s="3481" t="s">
        <v>1475</v>
      </c>
      <c r="B33" s="1154" t="s">
        <v>1447</v>
      </c>
      <c r="C33" s="1131" t="s">
        <v>1476</v>
      </c>
      <c r="D33" s="1132"/>
      <c r="E33" s="1154">
        <v>1</v>
      </c>
      <c r="F33" s="1133" t="s">
        <v>1477</v>
      </c>
      <c r="G33" s="1134"/>
      <c r="H33" s="1105"/>
      <c r="I33" s="1105"/>
    </row>
    <row r="34" spans="1:9" s="1600" customFormat="1" ht="19.5" customHeight="1">
      <c r="A34" s="3481"/>
      <c r="B34" s="1154" t="s">
        <v>1450</v>
      </c>
      <c r="C34" s="1131" t="s">
        <v>1478</v>
      </c>
      <c r="D34" s="1132"/>
      <c r="E34" s="1154">
        <v>1.5</v>
      </c>
      <c r="F34" s="1133" t="s">
        <v>1479</v>
      </c>
      <c r="G34" s="1134"/>
      <c r="H34" s="1105"/>
      <c r="I34" s="1105"/>
    </row>
    <row r="35" spans="1:9" s="1600" customFormat="1" ht="19.5" customHeight="1">
      <c r="A35" s="3481" t="s">
        <v>1433</v>
      </c>
      <c r="B35" s="1154" t="s">
        <v>1447</v>
      </c>
      <c r="C35" s="1131" t="s">
        <v>1480</v>
      </c>
      <c r="D35" s="1132"/>
      <c r="E35" s="1154">
        <v>1</v>
      </c>
      <c r="F35" s="1133" t="s">
        <v>1481</v>
      </c>
      <c r="G35" s="1134"/>
      <c r="H35" s="1105"/>
      <c r="I35" s="1105"/>
    </row>
    <row r="36" spans="1:9" s="1600" customFormat="1" ht="19.5" customHeight="1">
      <c r="A36" s="3481"/>
      <c r="B36" s="3481" t="s">
        <v>1450</v>
      </c>
      <c r="C36" s="1131" t="s">
        <v>1482</v>
      </c>
      <c r="D36" s="1132"/>
      <c r="E36" s="1154">
        <v>1</v>
      </c>
      <c r="F36" s="1133" t="s">
        <v>1483</v>
      </c>
      <c r="G36" s="1134"/>
      <c r="H36" s="1105"/>
      <c r="I36" s="1105"/>
    </row>
    <row r="37" spans="1:9" s="1600" customFormat="1" ht="19.5" customHeight="1">
      <c r="A37" s="3481"/>
      <c r="B37" s="3481"/>
      <c r="C37" s="1131" t="s">
        <v>1484</v>
      </c>
      <c r="D37" s="1132"/>
      <c r="E37" s="1154">
        <v>1.5</v>
      </c>
      <c r="F37" s="1133" t="s">
        <v>1485</v>
      </c>
      <c r="G37" s="1134"/>
      <c r="H37" s="1105"/>
      <c r="I37" s="1105"/>
    </row>
    <row r="38" spans="1:9" s="1600" customFormat="1" ht="19.5" customHeight="1">
      <c r="A38" s="3481"/>
      <c r="B38" s="3481"/>
      <c r="C38" s="1131" t="s">
        <v>1486</v>
      </c>
      <c r="D38" s="1132"/>
      <c r="E38" s="1154">
        <v>1</v>
      </c>
      <c r="F38" s="1133" t="s">
        <v>1487</v>
      </c>
      <c r="G38" s="1134"/>
      <c r="H38" s="1105"/>
      <c r="I38" s="1105"/>
    </row>
    <row r="39" spans="1:9" s="1600" customFormat="1" ht="19.5" customHeight="1">
      <c r="A39" s="3481"/>
      <c r="B39" s="348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81" t="s">
        <v>1502</v>
      </c>
      <c r="C61" s="1068" t="s">
        <v>1503</v>
      </c>
      <c r="D61" s="1068" t="s">
        <v>1504</v>
      </c>
      <c r="E61" s="1139">
        <v>0.5</v>
      </c>
      <c r="F61" s="1154">
        <v>80</v>
      </c>
      <c r="H61" s="1105">
        <f>SUMIF(C59:C119,基准地价!C8,E59:E119)</f>
        <v>0</v>
      </c>
    </row>
    <row r="62" spans="1:8" s="1105" customFormat="1" ht="24">
      <c r="A62" s="1154">
        <v>2</v>
      </c>
      <c r="B62" s="3481"/>
      <c r="C62" s="1068" t="s">
        <v>1505</v>
      </c>
      <c r="D62" s="1068" t="s">
        <v>1506</v>
      </c>
      <c r="E62" s="1139">
        <v>0.5</v>
      </c>
      <c r="F62" s="1154">
        <v>80</v>
      </c>
    </row>
    <row r="63" spans="1:8" s="1105" customFormat="1" ht="36">
      <c r="A63" s="1154">
        <v>3</v>
      </c>
      <c r="B63" s="3481"/>
      <c r="C63" s="1068" t="s">
        <v>1507</v>
      </c>
      <c r="D63" s="1068" t="s">
        <v>1508</v>
      </c>
      <c r="E63" s="1139">
        <v>0.5</v>
      </c>
      <c r="F63" s="1154">
        <v>80</v>
      </c>
    </row>
    <row r="64" spans="1:8" s="1105" customFormat="1" ht="36">
      <c r="A64" s="1154">
        <v>4</v>
      </c>
      <c r="B64" s="3481"/>
      <c r="C64" s="1068" t="s">
        <v>1509</v>
      </c>
      <c r="D64" s="1068" t="s">
        <v>1510</v>
      </c>
      <c r="E64" s="1139">
        <v>0.4</v>
      </c>
      <c r="F64" s="1154">
        <v>60</v>
      </c>
    </row>
    <row r="65" spans="1:6" s="1105" customFormat="1" ht="36">
      <c r="A65" s="1154">
        <v>5</v>
      </c>
      <c r="B65" s="3481"/>
      <c r="C65" s="1068" t="s">
        <v>1511</v>
      </c>
      <c r="D65" s="1068" t="s">
        <v>1512</v>
      </c>
      <c r="E65" s="1139">
        <v>0.2</v>
      </c>
      <c r="F65" s="1154">
        <v>30</v>
      </c>
    </row>
    <row r="66" spans="1:6" s="1105" customFormat="1" ht="36">
      <c r="A66" s="1154">
        <v>6</v>
      </c>
      <c r="B66" s="3481"/>
      <c r="C66" s="1068" t="s">
        <v>1513</v>
      </c>
      <c r="D66" s="1068" t="s">
        <v>1514</v>
      </c>
      <c r="E66" s="1139">
        <v>0.3</v>
      </c>
      <c r="F66" s="1154">
        <v>50</v>
      </c>
    </row>
    <row r="67" spans="1:6" s="1105" customFormat="1" ht="36">
      <c r="A67" s="1154">
        <v>7</v>
      </c>
      <c r="B67" s="3481"/>
      <c r="C67" s="1068" t="s">
        <v>1515</v>
      </c>
      <c r="D67" s="1068" t="s">
        <v>1516</v>
      </c>
      <c r="E67" s="1139">
        <v>0.2</v>
      </c>
      <c r="F67" s="1154">
        <v>30</v>
      </c>
    </row>
    <row r="68" spans="1:6" s="1105" customFormat="1" ht="36">
      <c r="A68" s="1154">
        <v>8</v>
      </c>
      <c r="B68" s="3481"/>
      <c r="C68" s="1068" t="s">
        <v>1517</v>
      </c>
      <c r="D68" s="1068" t="s">
        <v>1518</v>
      </c>
      <c r="E68" s="1139">
        <v>0.2</v>
      </c>
      <c r="F68" s="1154">
        <v>30</v>
      </c>
    </row>
    <row r="69" spans="1:6" s="1105" customFormat="1" ht="36">
      <c r="A69" s="1154">
        <v>9</v>
      </c>
      <c r="B69" s="3481"/>
      <c r="C69" s="1068" t="s">
        <v>1519</v>
      </c>
      <c r="D69" s="1068" t="s">
        <v>1520</v>
      </c>
      <c r="E69" s="1139">
        <v>0.2</v>
      </c>
      <c r="F69" s="1154">
        <v>30</v>
      </c>
    </row>
    <row r="70" spans="1:6" s="1105" customFormat="1" ht="48">
      <c r="A70" s="1154">
        <v>10</v>
      </c>
      <c r="B70" s="3481"/>
      <c r="C70" s="1068" t="s">
        <v>1521</v>
      </c>
      <c r="D70" s="1068" t="s">
        <v>1522</v>
      </c>
      <c r="E70" s="1139">
        <v>0.2</v>
      </c>
      <c r="F70" s="1154">
        <v>30</v>
      </c>
    </row>
    <row r="71" spans="1:6" s="1105" customFormat="1" ht="48">
      <c r="A71" s="1154">
        <v>11</v>
      </c>
      <c r="B71" s="3481"/>
      <c r="C71" s="1068" t="s">
        <v>1523</v>
      </c>
      <c r="D71" s="1068" t="s">
        <v>1524</v>
      </c>
      <c r="E71" s="1139">
        <v>0.2</v>
      </c>
      <c r="F71" s="1154">
        <v>30</v>
      </c>
    </row>
    <row r="72" spans="1:6" s="1105" customFormat="1" ht="36">
      <c r="A72" s="1154">
        <v>12</v>
      </c>
      <c r="B72" s="3481"/>
      <c r="C72" s="1068" t="s">
        <v>1525</v>
      </c>
      <c r="D72" s="1068" t="s">
        <v>1526</v>
      </c>
      <c r="E72" s="1139">
        <v>0.5</v>
      </c>
      <c r="F72" s="1154">
        <v>80</v>
      </c>
    </row>
    <row r="73" spans="1:6" s="1105" customFormat="1" ht="24">
      <c r="A73" s="1154">
        <v>13</v>
      </c>
      <c r="B73" s="3481"/>
      <c r="C73" s="1068" t="s">
        <v>1527</v>
      </c>
      <c r="D73" s="1068" t="s">
        <v>1528</v>
      </c>
      <c r="E73" s="1139">
        <v>0.4</v>
      </c>
      <c r="F73" s="1154">
        <v>60</v>
      </c>
    </row>
    <row r="74" spans="1:6" s="1105" customFormat="1" ht="24">
      <c r="A74" s="1154">
        <v>14</v>
      </c>
      <c r="B74" s="3481"/>
      <c r="C74" s="1068" t="s">
        <v>1529</v>
      </c>
      <c r="D74" s="1068" t="s">
        <v>1530</v>
      </c>
      <c r="E74" s="1139">
        <v>0.2</v>
      </c>
      <c r="F74" s="1154">
        <v>30</v>
      </c>
    </row>
    <row r="75" spans="1:6" s="1105" customFormat="1" ht="24">
      <c r="A75" s="1154">
        <v>15</v>
      </c>
      <c r="B75" s="3481"/>
      <c r="C75" s="1068" t="s">
        <v>1531</v>
      </c>
      <c r="D75" s="1068" t="s">
        <v>1532</v>
      </c>
      <c r="E75" s="1139">
        <v>0.2</v>
      </c>
      <c r="F75" s="1154">
        <v>30</v>
      </c>
    </row>
    <row r="76" spans="1:6" s="1105" customFormat="1" ht="24">
      <c r="A76" s="1154">
        <v>16</v>
      </c>
      <c r="B76" s="3481" t="s">
        <v>1533</v>
      </c>
      <c r="C76" s="1068" t="s">
        <v>1534</v>
      </c>
      <c r="D76" s="1068" t="s">
        <v>1535</v>
      </c>
      <c r="E76" s="1139">
        <v>0.5</v>
      </c>
      <c r="F76" s="1154">
        <v>80</v>
      </c>
    </row>
    <row r="77" spans="1:6" s="1105" customFormat="1" ht="24">
      <c r="A77" s="1154">
        <v>17</v>
      </c>
      <c r="B77" s="3481"/>
      <c r="C77" s="1068" t="s">
        <v>1536</v>
      </c>
      <c r="D77" s="1068" t="s">
        <v>1537</v>
      </c>
      <c r="E77" s="1139">
        <v>0.5</v>
      </c>
      <c r="F77" s="1154">
        <v>80</v>
      </c>
    </row>
    <row r="78" spans="1:6" s="1105" customFormat="1" ht="24">
      <c r="A78" s="1154">
        <v>18</v>
      </c>
      <c r="B78" s="3481"/>
      <c r="C78" s="1068" t="s">
        <v>1538</v>
      </c>
      <c r="D78" s="1068" t="s">
        <v>1539</v>
      </c>
      <c r="E78" s="1139">
        <v>0.2</v>
      </c>
      <c r="F78" s="1154">
        <v>30</v>
      </c>
    </row>
    <row r="79" spans="1:6" s="1105" customFormat="1" ht="24">
      <c r="A79" s="1154">
        <v>19</v>
      </c>
      <c r="B79" s="3481"/>
      <c r="C79" s="1068" t="s">
        <v>1540</v>
      </c>
      <c r="D79" s="1068" t="s">
        <v>1541</v>
      </c>
      <c r="E79" s="1139">
        <v>0.5</v>
      </c>
      <c r="F79" s="1154">
        <v>80</v>
      </c>
    </row>
    <row r="80" spans="1:6" s="1105" customFormat="1" ht="36">
      <c r="A80" s="1154">
        <v>20</v>
      </c>
      <c r="B80" s="3481"/>
      <c r="C80" s="1068" t="s">
        <v>1542</v>
      </c>
      <c r="D80" s="1068" t="s">
        <v>1543</v>
      </c>
      <c r="E80" s="1139">
        <v>0.2</v>
      </c>
      <c r="F80" s="1154">
        <v>30</v>
      </c>
    </row>
    <row r="81" spans="1:6" s="1105" customFormat="1" ht="36">
      <c r="A81" s="1154">
        <v>21</v>
      </c>
      <c r="B81" s="3481"/>
      <c r="C81" s="1068" t="s">
        <v>1544</v>
      </c>
      <c r="D81" s="1068" t="s">
        <v>1545</v>
      </c>
      <c r="E81" s="1139">
        <v>0.2</v>
      </c>
      <c r="F81" s="1154">
        <v>30</v>
      </c>
    </row>
    <row r="82" spans="1:6" s="1105" customFormat="1" ht="48">
      <c r="A82" s="1154">
        <v>22</v>
      </c>
      <c r="B82" s="3481"/>
      <c r="C82" s="1068" t="s">
        <v>1546</v>
      </c>
      <c r="D82" s="1068" t="s">
        <v>1547</v>
      </c>
      <c r="E82" s="1139">
        <v>0.2</v>
      </c>
      <c r="F82" s="1154">
        <v>30</v>
      </c>
    </row>
    <row r="83" spans="1:6" s="1105" customFormat="1" ht="48">
      <c r="A83" s="1154">
        <v>23</v>
      </c>
      <c r="B83" s="3481"/>
      <c r="C83" s="1068" t="s">
        <v>1548</v>
      </c>
      <c r="D83" s="1068" t="s">
        <v>1549</v>
      </c>
      <c r="E83" s="1139">
        <v>0.2</v>
      </c>
      <c r="F83" s="1154">
        <v>30</v>
      </c>
    </row>
    <row r="84" spans="1:6" s="1105" customFormat="1" ht="36">
      <c r="A84" s="1154">
        <v>24</v>
      </c>
      <c r="B84" s="3481"/>
      <c r="C84" s="1068" t="s">
        <v>1550</v>
      </c>
      <c r="D84" s="1068" t="s">
        <v>1551</v>
      </c>
      <c r="E84" s="1139">
        <v>0.2</v>
      </c>
      <c r="F84" s="1154">
        <v>30</v>
      </c>
    </row>
    <row r="85" spans="1:6" s="1105" customFormat="1" ht="36">
      <c r="A85" s="1154">
        <v>25</v>
      </c>
      <c r="B85" s="3481"/>
      <c r="C85" s="1068" t="s">
        <v>1552</v>
      </c>
      <c r="D85" s="1068" t="s">
        <v>1553</v>
      </c>
      <c r="E85" s="1139">
        <v>0.5</v>
      </c>
      <c r="F85" s="1154">
        <v>80</v>
      </c>
    </row>
    <row r="86" spans="1:6" s="1105" customFormat="1" ht="36">
      <c r="A86" s="1154">
        <v>26</v>
      </c>
      <c r="B86" s="3481"/>
      <c r="C86" s="1068" t="s">
        <v>1554</v>
      </c>
      <c r="D86" s="1068" t="s">
        <v>1555</v>
      </c>
      <c r="E86" s="1139">
        <v>0.2</v>
      </c>
      <c r="F86" s="1154">
        <v>30</v>
      </c>
    </row>
    <row r="87" spans="1:6" s="1105" customFormat="1" ht="36">
      <c r="A87" s="1154">
        <v>27</v>
      </c>
      <c r="B87" s="3481"/>
      <c r="C87" s="1068" t="s">
        <v>1556</v>
      </c>
      <c r="D87" s="1068" t="s">
        <v>1557</v>
      </c>
      <c r="E87" s="1139">
        <v>0.2</v>
      </c>
      <c r="F87" s="1154">
        <v>30</v>
      </c>
    </row>
    <row r="88" spans="1:6" s="1105" customFormat="1" ht="36">
      <c r="A88" s="1154">
        <v>28</v>
      </c>
      <c r="B88" s="3481"/>
      <c r="C88" s="1068" t="s">
        <v>1558</v>
      </c>
      <c r="D88" s="1068" t="s">
        <v>1559</v>
      </c>
      <c r="E88" s="1139">
        <v>0.2</v>
      </c>
      <c r="F88" s="1154">
        <v>30</v>
      </c>
    </row>
    <row r="89" spans="1:6" s="1105" customFormat="1" ht="24">
      <c r="A89" s="1154">
        <v>29</v>
      </c>
      <c r="B89" s="3481"/>
      <c r="C89" s="1068" t="s">
        <v>1560</v>
      </c>
      <c r="D89" s="1068" t="s">
        <v>1561</v>
      </c>
      <c r="E89" s="1139">
        <v>0.2</v>
      </c>
      <c r="F89" s="1154">
        <v>30</v>
      </c>
    </row>
    <row r="90" spans="1:6" s="1105" customFormat="1" ht="24">
      <c r="A90" s="1154">
        <v>30</v>
      </c>
      <c r="B90" s="3481"/>
      <c r="C90" s="1068" t="s">
        <v>1562</v>
      </c>
      <c r="D90" s="1068" t="s">
        <v>1563</v>
      </c>
      <c r="E90" s="1139">
        <v>0.2</v>
      </c>
      <c r="F90" s="1154">
        <v>30</v>
      </c>
    </row>
    <row r="91" spans="1:6" s="1105" customFormat="1" ht="36">
      <c r="A91" s="1154">
        <v>31</v>
      </c>
      <c r="B91" s="3481"/>
      <c r="C91" s="1068" t="s">
        <v>1564</v>
      </c>
      <c r="D91" s="1068" t="s">
        <v>1565</v>
      </c>
      <c r="E91" s="1139">
        <v>0.2</v>
      </c>
      <c r="F91" s="1154">
        <v>30</v>
      </c>
    </row>
    <row r="92" spans="1:6" s="1105" customFormat="1" ht="24">
      <c r="A92" s="1154">
        <v>32</v>
      </c>
      <c r="B92" s="3481" t="s">
        <v>1566</v>
      </c>
      <c r="C92" s="1154" t="s">
        <v>1567</v>
      </c>
      <c r="D92" s="1068" t="s">
        <v>1568</v>
      </c>
      <c r="E92" s="1139">
        <v>0.2</v>
      </c>
      <c r="F92" s="1154">
        <v>30</v>
      </c>
    </row>
    <row r="93" spans="1:6" s="1105" customFormat="1" ht="36">
      <c r="A93" s="1154">
        <v>33</v>
      </c>
      <c r="B93" s="3481"/>
      <c r="C93" s="1154" t="s">
        <v>1569</v>
      </c>
      <c r="D93" s="1068" t="s">
        <v>1570</v>
      </c>
      <c r="E93" s="1139">
        <v>0.2</v>
      </c>
      <c r="F93" s="1154">
        <v>30</v>
      </c>
    </row>
    <row r="94" spans="1:6" s="1105" customFormat="1" ht="48">
      <c r="A94" s="1154">
        <v>34</v>
      </c>
      <c r="B94" s="3481"/>
      <c r="C94" s="1154" t="s">
        <v>1571</v>
      </c>
      <c r="D94" s="1068" t="s">
        <v>1572</v>
      </c>
      <c r="E94" s="1139">
        <v>0.2</v>
      </c>
      <c r="F94" s="1154">
        <v>30</v>
      </c>
    </row>
    <row r="95" spans="1:6" s="1105" customFormat="1" ht="36">
      <c r="A95" s="1154">
        <v>35</v>
      </c>
      <c r="B95" s="3481"/>
      <c r="C95" s="1154" t="s">
        <v>1573</v>
      </c>
      <c r="D95" s="1068" t="s">
        <v>1574</v>
      </c>
      <c r="E95" s="1139">
        <v>0.2</v>
      </c>
      <c r="F95" s="1154">
        <v>30</v>
      </c>
    </row>
    <row r="96" spans="1:6" s="1105" customFormat="1" ht="48">
      <c r="A96" s="1154">
        <v>36</v>
      </c>
      <c r="B96" s="3481"/>
      <c r="C96" s="1068" t="s">
        <v>1575</v>
      </c>
      <c r="D96" s="1068" t="s">
        <v>1576</v>
      </c>
      <c r="E96" s="1139">
        <v>0.2</v>
      </c>
      <c r="F96" s="1154">
        <v>30</v>
      </c>
    </row>
    <row r="97" spans="1:6" s="1105" customFormat="1" ht="36">
      <c r="A97" s="1154">
        <v>37</v>
      </c>
      <c r="B97" s="3481"/>
      <c r="C97" s="1154" t="s">
        <v>1577</v>
      </c>
      <c r="D97" s="1068" t="s">
        <v>1578</v>
      </c>
      <c r="E97" s="1139">
        <v>0.2</v>
      </c>
      <c r="F97" s="1154">
        <v>30</v>
      </c>
    </row>
    <row r="98" spans="1:6" s="1105" customFormat="1" ht="36">
      <c r="A98" s="1154">
        <v>38</v>
      </c>
      <c r="B98" s="3481"/>
      <c r="C98" s="1154" t="s">
        <v>1579</v>
      </c>
      <c r="D98" s="1068" t="s">
        <v>1580</v>
      </c>
      <c r="E98" s="1139">
        <v>0.2</v>
      </c>
      <c r="F98" s="1154">
        <v>30</v>
      </c>
    </row>
    <row r="99" spans="1:6" s="1105" customFormat="1" ht="36">
      <c r="A99" s="1154">
        <v>39</v>
      </c>
      <c r="B99" s="3481" t="s">
        <v>1581</v>
      </c>
      <c r="C99" s="1154" t="s">
        <v>1582</v>
      </c>
      <c r="D99" s="1068" t="s">
        <v>1583</v>
      </c>
      <c r="E99" s="1139">
        <v>0.3</v>
      </c>
      <c r="F99" s="1154">
        <v>50</v>
      </c>
    </row>
    <row r="100" spans="1:6" s="1105" customFormat="1" ht="24">
      <c r="A100" s="1154">
        <v>40</v>
      </c>
      <c r="B100" s="3481"/>
      <c r="C100" s="1154" t="s">
        <v>1584</v>
      </c>
      <c r="D100" s="1068" t="s">
        <v>1585</v>
      </c>
      <c r="E100" s="1139">
        <v>0.2</v>
      </c>
      <c r="F100" s="1154">
        <v>30</v>
      </c>
    </row>
    <row r="101" spans="1:6" s="1105" customFormat="1" ht="36">
      <c r="A101" s="1154">
        <v>41</v>
      </c>
      <c r="B101" s="348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81" t="s">
        <v>1596</v>
      </c>
      <c r="C105" s="1154" t="s">
        <v>1597</v>
      </c>
      <c r="D105" s="1068" t="s">
        <v>1598</v>
      </c>
      <c r="E105" s="1139">
        <v>0.2</v>
      </c>
      <c r="F105" s="1154">
        <v>30</v>
      </c>
    </row>
    <row r="106" spans="1:6" s="1105" customFormat="1" ht="36">
      <c r="A106" s="1154">
        <v>46</v>
      </c>
      <c r="B106" s="3481"/>
      <c r="C106" s="1154" t="s">
        <v>1599</v>
      </c>
      <c r="D106" s="1068" t="s">
        <v>1600</v>
      </c>
      <c r="E106" s="1139">
        <v>0.2</v>
      </c>
      <c r="F106" s="1154">
        <v>30</v>
      </c>
    </row>
    <row r="107" spans="1:6" s="1105" customFormat="1" ht="36">
      <c r="A107" s="1154">
        <v>47</v>
      </c>
      <c r="B107" s="3481" t="s">
        <v>1601</v>
      </c>
      <c r="C107" s="1154" t="s">
        <v>1602</v>
      </c>
      <c r="D107" s="1068" t="s">
        <v>1603</v>
      </c>
      <c r="E107" s="1139">
        <v>0.3</v>
      </c>
      <c r="F107" s="1154">
        <v>50</v>
      </c>
    </row>
    <row r="108" spans="1:6" s="1105" customFormat="1" ht="36">
      <c r="A108" s="1154">
        <v>48</v>
      </c>
      <c r="B108" s="348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81" t="s">
        <v>1612</v>
      </c>
      <c r="C111" s="1154" t="s">
        <v>1613</v>
      </c>
      <c r="D111" s="1068" t="s">
        <v>1614</v>
      </c>
      <c r="E111" s="1139">
        <v>0.2</v>
      </c>
      <c r="F111" s="1154">
        <v>30</v>
      </c>
    </row>
    <row r="112" spans="1:6" s="1105" customFormat="1" ht="24">
      <c r="A112" s="1154">
        <v>52</v>
      </c>
      <c r="B112" s="3481"/>
      <c r="C112" s="1154" t="s">
        <v>1615</v>
      </c>
      <c r="D112" s="1068" t="s">
        <v>1616</v>
      </c>
      <c r="E112" s="1139">
        <v>0.2</v>
      </c>
      <c r="F112" s="1154">
        <v>30</v>
      </c>
    </row>
    <row r="113" spans="1:14" s="1105" customFormat="1" ht="24">
      <c r="A113" s="1154">
        <v>53</v>
      </c>
      <c r="B113" s="348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81" t="s">
        <v>1625</v>
      </c>
      <c r="C116" s="1154" t="s">
        <v>1626</v>
      </c>
      <c r="D116" s="1068" t="s">
        <v>1627</v>
      </c>
      <c r="E116" s="1139">
        <v>0.2</v>
      </c>
      <c r="F116" s="1154">
        <v>30</v>
      </c>
    </row>
    <row r="117" spans="1:14" ht="36">
      <c r="A117" s="1154">
        <v>57</v>
      </c>
      <c r="B117" s="348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80" t="s">
        <v>1634</v>
      </c>
      <c r="B121" s="3480"/>
      <c r="C121" s="3480"/>
      <c r="D121" s="3480"/>
      <c r="E121" s="3480"/>
      <c r="F121" s="3480"/>
      <c r="G121" s="3480"/>
      <c r="H121" s="3480"/>
      <c r="I121" s="3480"/>
      <c r="J121" s="348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7" t="s">
        <v>1040</v>
      </c>
      <c r="B1" s="3537"/>
      <c r="C1" s="3537"/>
      <c r="D1" s="3537"/>
      <c r="E1" s="3537"/>
      <c r="F1" s="353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38" t="s">
        <v>1053</v>
      </c>
      <c r="B2" s="3538"/>
      <c r="C2" s="3538"/>
      <c r="D2" s="3538"/>
      <c r="E2" s="3538"/>
      <c r="F2" s="353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3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4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8570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41" t="s">
        <v>2082</v>
      </c>
      <c r="B1" s="354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1" sqref="E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2950</v>
      </c>
      <c r="B1" s="3108"/>
      <c r="C1" s="3108"/>
      <c r="D1" s="3108"/>
      <c r="E1" s="3108"/>
      <c r="F1" s="3108"/>
    </row>
    <row r="2" spans="1:6" ht="14.25">
      <c r="A2" s="3109" t="s">
        <v>2945</v>
      </c>
      <c r="B2" s="3110">
        <f ca="1">SUMIF(B7:B14,"&lt;&gt;#ref!",B7:B14)</f>
        <v>11848</v>
      </c>
      <c r="C2" s="3109" t="s">
        <v>2946</v>
      </c>
      <c r="D2" s="3108"/>
      <c r="E2" s="3108"/>
      <c r="F2" s="3108"/>
    </row>
    <row r="3" spans="1:6" ht="14.25">
      <c r="A3" s="3109" t="s">
        <v>2979</v>
      </c>
      <c r="B3" s="3110">
        <f ca="1">ROUND(B2*10000/E3,0)</f>
        <v>8571</v>
      </c>
      <c r="C3" s="3109" t="s">
        <v>2081</v>
      </c>
      <c r="D3" s="3109" t="s">
        <v>2947</v>
      </c>
      <c r="E3" s="3110">
        <f ca="1">SUMIF(E7:E14,"&lt;&gt;#ref!",E7:E14)</f>
        <v>13823.19</v>
      </c>
      <c r="F3" s="3108"/>
    </row>
    <row r="4" spans="1:6" ht="14.25">
      <c r="A4" s="3109" t="s">
        <v>2954</v>
      </c>
      <c r="B4" s="3110">
        <f ca="1">ROUND(B2*10000/E4,0)</f>
        <v>29140</v>
      </c>
      <c r="C4" s="3109" t="s">
        <v>2081</v>
      </c>
      <c r="D4" s="3109" t="s">
        <v>2955</v>
      </c>
      <c r="E4" s="3110">
        <f ca="1">SUMIF(F7:F14,"&lt;&gt;#ref!",F7:F14)</f>
        <v>4065.87</v>
      </c>
      <c r="F4" s="3108"/>
    </row>
    <row r="5" spans="1:6" ht="14.25">
      <c r="A5" s="3111"/>
      <c r="B5" s="1883"/>
      <c r="C5" s="1883"/>
      <c r="D5" s="1883"/>
      <c r="E5" s="1883"/>
      <c r="F5" s="3108"/>
    </row>
    <row r="6" spans="1:6" ht="28.5">
      <c r="A6" s="3112" t="s">
        <v>2951</v>
      </c>
      <c r="B6" s="3109" t="s">
        <v>2948</v>
      </c>
      <c r="C6" s="3110"/>
      <c r="D6" s="1883"/>
      <c r="E6" s="3109" t="s">
        <v>2949</v>
      </c>
      <c r="F6" s="3109" t="s">
        <v>2953</v>
      </c>
    </row>
    <row r="7" spans="1:6" ht="14.25">
      <c r="A7" s="260" t="s">
        <v>2952</v>
      </c>
      <c r="B7" s="3113">
        <f ca="1">SUMIF(INDIRECT("'"&amp;A7&amp;"'"&amp;"!A:A"),"总价",INDIRECT("'"&amp;A7&amp;"'"&amp;"!B:B"))</f>
        <v>11848</v>
      </c>
      <c r="C7" s="3109" t="s">
        <v>2946</v>
      </c>
      <c r="D7" s="1883"/>
      <c r="E7" s="3114">
        <f ca="1">SUMIF(INDIRECT("'"&amp;A7&amp;"'"&amp;"!C:C"),"建筑面积",INDIRECT("'"&amp;A7&amp;"'"&amp;"!D:D"))</f>
        <v>13823.19</v>
      </c>
      <c r="F7" s="3114">
        <f ca="1">SUMIF(INDIRECT("'"&amp;A7&amp;"'"&amp;"!E:E"),"土地面积",INDIRECT("'"&amp;A7&amp;"'"&amp;"!F:F"))</f>
        <v>4065.87</v>
      </c>
    </row>
    <row r="8" spans="1:6" ht="14.25">
      <c r="A8" s="260"/>
      <c r="B8" s="3113" t="e">
        <f t="shared" ref="B8:B14" ca="1" si="0">SUMIF(INDIRECT("'"&amp;A8&amp;"'"&amp;"!A:A"),"总价",INDIRECT("'"&amp;A8&amp;"'"&amp;"!B:B"))</f>
        <v>#REF!</v>
      </c>
      <c r="C8" s="3109" t="s">
        <v>2946</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2946</v>
      </c>
      <c r="D9" s="1883"/>
      <c r="E9" s="3114" t="e">
        <f t="shared" ca="1" si="1"/>
        <v>#REF!</v>
      </c>
      <c r="F9" s="3114" t="e">
        <f t="shared" ca="1" si="2"/>
        <v>#REF!</v>
      </c>
    </row>
    <row r="10" spans="1:6" ht="14.25">
      <c r="A10" s="260"/>
      <c r="B10" s="3113" t="e">
        <f t="shared" ca="1" si="0"/>
        <v>#REF!</v>
      </c>
      <c r="C10" s="3109" t="s">
        <v>2946</v>
      </c>
      <c r="D10" s="1883"/>
      <c r="E10" s="3114" t="e">
        <f t="shared" ca="1" si="1"/>
        <v>#REF!</v>
      </c>
      <c r="F10" s="3114" t="e">
        <f t="shared" ca="1" si="2"/>
        <v>#REF!</v>
      </c>
    </row>
    <row r="11" spans="1:6" ht="14.25">
      <c r="A11" s="260"/>
      <c r="B11" s="3113" t="e">
        <f t="shared" ca="1" si="0"/>
        <v>#REF!</v>
      </c>
      <c r="C11" s="3109" t="s">
        <v>2946</v>
      </c>
      <c r="D11" s="1883"/>
      <c r="E11" s="3114" t="e">
        <f t="shared" ca="1" si="1"/>
        <v>#REF!</v>
      </c>
      <c r="F11" s="3114" t="e">
        <f t="shared" ca="1" si="2"/>
        <v>#REF!</v>
      </c>
    </row>
    <row r="12" spans="1:6" ht="14.25">
      <c r="A12" s="260"/>
      <c r="B12" s="3113" t="e">
        <f t="shared" ca="1" si="0"/>
        <v>#REF!</v>
      </c>
      <c r="C12" s="3109" t="s">
        <v>2946</v>
      </c>
      <c r="D12" s="1883"/>
      <c r="E12" s="3114" t="e">
        <f t="shared" ca="1" si="1"/>
        <v>#REF!</v>
      </c>
      <c r="F12" s="3114" t="e">
        <f t="shared" ca="1" si="2"/>
        <v>#REF!</v>
      </c>
    </row>
    <row r="13" spans="1:6" ht="14.25">
      <c r="A13" s="260"/>
      <c r="B13" s="3113" t="e">
        <f t="shared" ca="1" si="0"/>
        <v>#REF!</v>
      </c>
      <c r="C13" s="3109" t="s">
        <v>2946</v>
      </c>
      <c r="D13" s="1883"/>
      <c r="E13" s="3114" t="e">
        <f t="shared" ca="1" si="1"/>
        <v>#REF!</v>
      </c>
      <c r="F13" s="3114" t="e">
        <f t="shared" ca="1" si="2"/>
        <v>#REF!</v>
      </c>
    </row>
    <row r="14" spans="1:6" ht="14.25">
      <c r="A14" s="3107"/>
      <c r="B14" s="3113" t="e">
        <f t="shared" ca="1" si="0"/>
        <v>#REF!</v>
      </c>
      <c r="C14" s="3109" t="s">
        <v>2946</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543" t="s">
        <v>2466</v>
      </c>
      <c r="C8" s="1827">
        <f ca="1">ROUND(F8*F10*F9*(1-F11)/10000,0)</f>
        <v>0</v>
      </c>
      <c r="D8" s="1824" t="s">
        <v>2537</v>
      </c>
      <c r="E8" s="61" t="s">
        <v>637</v>
      </c>
      <c r="F8" s="785">
        <f ca="1">INDIRECT("'数据-取费表'!u"&amp;$G$1)</f>
        <v>0</v>
      </c>
      <c r="G8" s="1593"/>
      <c r="H8" s="2506" t="s">
        <v>1825</v>
      </c>
      <c r="I8" s="3543" t="s">
        <v>2466</v>
      </c>
      <c r="J8" s="783">
        <f ca="1">ROUND(M8*M10*M9*(1-M11)/10000,0)</f>
        <v>0</v>
      </c>
      <c r="K8" s="341" t="s">
        <v>2537</v>
      </c>
      <c r="L8" s="784" t="s">
        <v>1739</v>
      </c>
      <c r="M8" s="785">
        <f ca="1">INDIRECT("'数据-取费表'!z"&amp;$G$1)</f>
        <v>0</v>
      </c>
    </row>
    <row r="9" spans="1:25" ht="18" customHeight="1">
      <c r="A9" s="2502"/>
      <c r="B9" s="3544"/>
      <c r="C9" s="1828"/>
      <c r="D9" s="1825"/>
      <c r="E9" s="61" t="s">
        <v>638</v>
      </c>
      <c r="F9" s="785">
        <f ca="1">IF(INDIRECT("'数据-取费表'!ah"&amp;$G$1)="",INDIRECT("'数据-取费表'!k"&amp;$G$1),INDIRECT("'数据-取费表'!ah"&amp;$G$1))</f>
        <v>0</v>
      </c>
      <c r="G9" s="1593"/>
      <c r="H9" s="2491"/>
      <c r="I9" s="3544"/>
      <c r="J9" s="788"/>
      <c r="K9" s="789"/>
      <c r="L9" s="784" t="s">
        <v>1740</v>
      </c>
      <c r="M9" s="785">
        <f ca="1">F9</f>
        <v>0</v>
      </c>
    </row>
    <row r="10" spans="1:25" ht="18" customHeight="1">
      <c r="A10" s="2495"/>
      <c r="B10" s="3545"/>
      <c r="C10" s="1828"/>
      <c r="D10" s="1825"/>
      <c r="E10" s="61" t="s">
        <v>639</v>
      </c>
      <c r="F10" s="785">
        <f ca="1">INDIRECT("'数据-取费表'!ai"&amp;$G$1)</f>
        <v>0</v>
      </c>
      <c r="G10" s="1593"/>
      <c r="H10" s="2491"/>
      <c r="I10" s="3545"/>
      <c r="J10" s="788"/>
      <c r="K10" s="789"/>
      <c r="L10" s="784" t="s">
        <v>1741</v>
      </c>
      <c r="M10" s="785">
        <f ca="1">INDIRECT("'数据-取费表'!ai"&amp;$G$1)</f>
        <v>0</v>
      </c>
    </row>
    <row r="11" spans="1:25" ht="18" customHeight="1">
      <c r="A11" s="786"/>
      <c r="B11" s="3546"/>
      <c r="C11" s="1828"/>
      <c r="D11" s="1825"/>
      <c r="E11" s="61" t="s">
        <v>640</v>
      </c>
      <c r="F11" s="794">
        <f ca="1">INDIRECT("'数据-取费表'!w"&amp;$G$1)</f>
        <v>0</v>
      </c>
      <c r="G11" s="1593"/>
      <c r="H11" s="2507"/>
      <c r="I11" s="3545"/>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2975</v>
      </c>
      <c r="E12" s="2500" t="s">
        <v>2467</v>
      </c>
      <c r="F12" s="2623"/>
      <c r="G12" s="1593"/>
      <c r="H12" s="2563" t="s">
        <v>1826</v>
      </c>
      <c r="I12" s="2568" t="s">
        <v>2462</v>
      </c>
      <c r="J12" s="783">
        <f ca="1">ROUND(IF(M12="押一",J8/12*M13,IF(M12="押二",J8/12*2*M13,IF(M12="押三",J8/12*3*M13,J13*M13))),0)</f>
        <v>0</v>
      </c>
      <c r="K12" s="2503" t="s">
        <v>2975</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0</v>
      </c>
      <c r="G36" s="2064"/>
      <c r="H36" s="2067"/>
      <c r="I36" s="3542"/>
      <c r="J36" s="2081"/>
      <c r="K36" s="2082"/>
      <c r="L36" s="2081"/>
      <c r="M36" s="2081"/>
    </row>
    <row r="37" spans="1:18" ht="18" customHeight="1">
      <c r="A37" s="815"/>
      <c r="B37" s="793"/>
      <c r="C37" s="69"/>
      <c r="D37" s="816"/>
      <c r="E37" s="784" t="s">
        <v>674</v>
      </c>
      <c r="F37" s="785">
        <f ca="1">INDIRECT("'数据-取费表'!r"&amp;$G$1)</f>
        <v>0</v>
      </c>
      <c r="G37" s="2064"/>
      <c r="H37" s="2067"/>
      <c r="I37" s="3542"/>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2963</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1" t="str">
        <f ca="1">IF(M48="住宅",0,IF(L49&gt;J52,L61,J61))</f>
        <v>0</v>
      </c>
      <c r="O47" s="2396" t="s">
        <v>2413</v>
      </c>
      <c r="P47" s="1593"/>
      <c r="Q47" s="1605"/>
      <c r="R47" s="1593"/>
    </row>
    <row r="48" spans="1:18" s="2061" customFormat="1" ht="18" customHeight="1" thickBot="1">
      <c r="A48" s="2086"/>
      <c r="C48" s="2089"/>
      <c r="D48" s="2090"/>
      <c r="E48" s="2090"/>
      <c r="F48" s="2091"/>
      <c r="G48" s="2092"/>
      <c r="I48" s="3151" t="s">
        <v>2347</v>
      </c>
      <c r="J48" s="2383"/>
      <c r="K48" s="3158" t="s">
        <v>2352</v>
      </c>
      <c r="L48" s="3162">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59"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0"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5">
        <f>SUMPRODUCT((I64:I66=J48)*(J63:L63=J49)*(J64:L66))</f>
        <v>0</v>
      </c>
      <c r="K51" s="3160" t="s">
        <v>2356</v>
      </c>
      <c r="L51" s="2386"/>
      <c r="O51" s="2403" t="s">
        <v>2386</v>
      </c>
      <c r="P51" s="2401" t="s">
        <v>2410</v>
      </c>
      <c r="Q51" s="2402">
        <f ca="1">C31</f>
        <v>0</v>
      </c>
      <c r="R51" s="2401" t="s">
        <v>2383</v>
      </c>
    </row>
    <row r="52" spans="1:18" s="2061" customFormat="1" ht="18" customHeight="1" thickBot="1">
      <c r="A52" s="2098"/>
      <c r="F52" s="2087"/>
      <c r="I52" s="3152" t="s">
        <v>2351</v>
      </c>
      <c r="J52" s="3156">
        <f>IF(J50="",J51,J50+J51-YEAR('数据-取费表'!B3))</f>
        <v>0</v>
      </c>
      <c r="K52" s="3129" t="s">
        <v>2357</v>
      </c>
      <c r="L52" s="3163">
        <f ca="1">ROUND(-PV(INDIRECT("'数据-取费表'!h"&amp;$G$1),L49,(C40-C14*J36),0),0)</f>
        <v>0</v>
      </c>
      <c r="O52" s="2403" t="s">
        <v>2387</v>
      </c>
      <c r="P52" s="2401" t="s">
        <v>2388</v>
      </c>
      <c r="Q52" s="2404" t="e">
        <f ca="1">J59</f>
        <v>#VALUE!</v>
      </c>
      <c r="R52" s="2405"/>
    </row>
    <row r="53" spans="1:18" s="2061" customFormat="1" ht="18" customHeight="1" thickBot="1">
      <c r="A53" s="2098"/>
      <c r="F53" s="2087"/>
      <c r="I53" s="3153" t="s">
        <v>2424</v>
      </c>
      <c r="J53" s="2387"/>
      <c r="K53" s="3153" t="s">
        <v>2423</v>
      </c>
      <c r="L53" s="2387"/>
      <c r="O53" s="2403" t="s">
        <v>2389</v>
      </c>
      <c r="P53" s="2401" t="s">
        <v>2390</v>
      </c>
      <c r="Q53" s="2404">
        <f>J53</f>
        <v>0</v>
      </c>
      <c r="R53" s="2405"/>
    </row>
    <row r="54" spans="1:18" s="2061" customFormat="1" ht="29.25" thickBot="1">
      <c r="A54" s="2098"/>
      <c r="I54" s="3154" t="s">
        <v>2980</v>
      </c>
      <c r="J54" s="3157">
        <f ca="1">IF(M48="住宅",MAX(J52,L49-'数据-取费表'!B20),MIN(J52,L49-'数据-取费表'!B20))</f>
        <v>-2</v>
      </c>
      <c r="K54" s="3547"/>
      <c r="L54" s="3548"/>
      <c r="O54" s="2403" t="s">
        <v>2391</v>
      </c>
      <c r="P54" s="2401" t="s">
        <v>2392</v>
      </c>
      <c r="Q54" s="2402">
        <f ca="1">J54</f>
        <v>-2</v>
      </c>
      <c r="R54" s="2401" t="s">
        <v>2393</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2394</v>
      </c>
      <c r="P55" s="2401" t="s">
        <v>2411</v>
      </c>
      <c r="Q55" s="2402">
        <f ca="1">Q49+Q50</f>
        <v>0</v>
      </c>
      <c r="R55" s="2405" t="s">
        <v>2395</v>
      </c>
    </row>
    <row r="56" spans="1:18" s="2061" customFormat="1" ht="16.5" thickBot="1">
      <c r="A56" s="2098"/>
      <c r="B56" s="2099"/>
      <c r="C56" s="2099"/>
      <c r="I56" s="3166" t="s">
        <v>2358</v>
      </c>
      <c r="J56" s="3104" t="e">
        <f ca="1">ROUND(IF(J48="钢混",J58/J51,1-(1-2%)*(J51-J58)/J51),3)</f>
        <v>#VALUE!</v>
      </c>
      <c r="K56" s="3167" t="s">
        <v>2359</v>
      </c>
      <c r="L56" s="2388"/>
      <c r="O56" s="2406" t="s">
        <v>2414</v>
      </c>
      <c r="P56" s="1593"/>
      <c r="Q56" s="1605"/>
      <c r="R56" s="1593"/>
    </row>
    <row r="57" spans="1:18" s="2061" customFormat="1" ht="43.5" thickBot="1">
      <c r="A57" s="2098"/>
      <c r="B57" s="2099"/>
      <c r="C57" s="2099"/>
      <c r="I57" s="3168" t="s">
        <v>2360</v>
      </c>
      <c r="J57" s="3178"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69" t="s">
        <v>2361</v>
      </c>
      <c r="J58" s="3170"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69"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69" t="s">
        <v>2363</v>
      </c>
      <c r="J60" s="3170"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1" t="s">
        <v>2364</v>
      </c>
      <c r="J61" s="3172" t="str">
        <f ca="1">IF(OR(M48="住宅",J52&lt;L49,J57="是"),"0",ROUND(J60/(1+J53)^J54,0))</f>
        <v>0</v>
      </c>
      <c r="K61" s="3173" t="s">
        <v>2369</v>
      </c>
      <c r="L61" s="3172"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4" t="s">
        <v>2370</v>
      </c>
      <c r="J63" s="3175" t="s">
        <v>2371</v>
      </c>
      <c r="K63" s="3175" t="s">
        <v>2372</v>
      </c>
      <c r="L63" s="3175" t="s">
        <v>2353</v>
      </c>
      <c r="M63" s="3176" t="s">
        <v>2943</v>
      </c>
      <c r="O63" s="2403" t="s">
        <v>2391</v>
      </c>
      <c r="P63" s="2401" t="s">
        <v>2399</v>
      </c>
      <c r="Q63" s="2402">
        <f ca="1">L60</f>
        <v>0</v>
      </c>
      <c r="R63" s="2405" t="s">
        <v>2400</v>
      </c>
    </row>
    <row r="64" spans="1:18" s="2061" customFormat="1" ht="15.75" thickBot="1">
      <c r="A64" s="2098"/>
      <c r="B64" s="2099"/>
      <c r="C64" s="2099"/>
      <c r="I64" s="3174" t="s">
        <v>2373</v>
      </c>
      <c r="J64" s="3175">
        <v>70</v>
      </c>
      <c r="K64" s="3175">
        <v>50</v>
      </c>
      <c r="L64" s="3175">
        <v>80</v>
      </c>
      <c r="M64" s="3177">
        <v>0.02</v>
      </c>
      <c r="O64" s="2400" t="s">
        <v>2394</v>
      </c>
      <c r="P64" s="2401" t="s">
        <v>2411</v>
      </c>
      <c r="Q64" s="2402" t="e">
        <f ca="1">Q58+Q59</f>
        <v>#DIV/0!</v>
      </c>
      <c r="R64" s="2405" t="s">
        <v>2395</v>
      </c>
    </row>
    <row r="65" spans="1:18" s="2061" customFormat="1" ht="16.5" thickBot="1">
      <c r="A65" s="2098"/>
      <c r="B65" s="2099"/>
      <c r="C65" s="2099"/>
      <c r="I65" s="3174" t="s">
        <v>2374</v>
      </c>
      <c r="J65" s="3175">
        <v>50</v>
      </c>
      <c r="K65" s="3175">
        <v>35</v>
      </c>
      <c r="L65" s="3175">
        <v>60</v>
      </c>
      <c r="M65" s="846">
        <v>0</v>
      </c>
      <c r="O65" s="2406" t="s">
        <v>2418</v>
      </c>
      <c r="P65" s="1593"/>
      <c r="Q65" s="1605"/>
      <c r="R65" s="1593"/>
    </row>
    <row r="66" spans="1:18" s="2061" customFormat="1" ht="15.75" thickBot="1">
      <c r="A66" s="2098"/>
      <c r="B66" s="2099"/>
      <c r="C66" s="2099"/>
      <c r="I66" s="3174" t="s">
        <v>2375</v>
      </c>
      <c r="J66" s="3175">
        <v>40</v>
      </c>
      <c r="K66" s="3175">
        <v>30</v>
      </c>
      <c r="L66" s="3175">
        <v>50</v>
      </c>
      <c r="M66" s="3177">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13823.19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2018年4月15日</v>
      </c>
    </row>
    <row r="12" spans="1:4" ht="18.75">
      <c r="A12" s="1799" t="s">
        <v>2028</v>
      </c>
    </row>
    <row r="13" spans="1:4" ht="18.75">
      <c r="A13" s="1793" t="s">
        <v>2942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根据《国有土地使用证》[]，估价对象（分摊）出让国有建设用地使用权面积为4065.87平方米。根据《建设工程规划许可证》[]、《出让合同》[]，估价对象规划建筑面积为13823.19平方米。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本次估价对象为出让国有建设用地使用权，《国有土地使用证》[]证载土地终止日期为办公2060年5月1日、地下车库2060年5月1日。截至估价期日，出让国有建设用地使用权剩余土地使用年限为。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G1" zoomScale="80" zoomScaleNormal="80" workbookViewId="0">
      <selection activeCell="L25" sqref="L25"/>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55" t="s">
        <v>2579</v>
      </c>
      <c r="C1" s="3555"/>
      <c r="D1" s="3555"/>
      <c r="E1" s="3555"/>
      <c r="F1" s="3555"/>
      <c r="G1" s="3554" t="s">
        <v>2580</v>
      </c>
      <c r="H1" s="3554"/>
      <c r="I1" s="3554"/>
      <c r="J1" s="3554"/>
      <c r="K1" s="3554"/>
      <c r="L1" s="3554"/>
      <c r="N1" s="3554" t="s">
        <v>2581</v>
      </c>
      <c r="O1" s="3554"/>
      <c r="P1" s="3554"/>
      <c r="Q1" s="3554"/>
      <c r="R1" s="2656"/>
      <c r="S1" s="3554" t="s">
        <v>2582</v>
      </c>
      <c r="T1" s="3554"/>
      <c r="U1" s="3554"/>
      <c r="V1" s="3554"/>
      <c r="X1" s="3553" t="s">
        <v>2642</v>
      </c>
      <c r="Y1" s="3554"/>
      <c r="Z1" s="3554"/>
      <c r="AA1" s="3554"/>
      <c r="AB1" s="3554"/>
      <c r="AD1" s="3553" t="s">
        <v>2646</v>
      </c>
      <c r="AE1" s="3554"/>
      <c r="AF1" s="3554"/>
      <c r="AG1" s="3554"/>
      <c r="AH1" s="3554"/>
    </row>
    <row r="2" spans="1:34" s="2758" customFormat="1" ht="14.25" thickBot="1">
      <c r="B2" s="2766" t="s">
        <v>2583</v>
      </c>
      <c r="C2" s="2766" t="s">
        <v>2644</v>
      </c>
      <c r="D2" s="2759" t="s">
        <v>1645</v>
      </c>
      <c r="E2" s="2759" t="s">
        <v>1952</v>
      </c>
      <c r="F2" s="2766" t="s">
        <v>2645</v>
      </c>
      <c r="G2" s="2762"/>
      <c r="H2" s="2761"/>
      <c r="I2" s="2766" t="s">
        <v>2957</v>
      </c>
      <c r="J2" s="2759" t="s">
        <v>2959</v>
      </c>
      <c r="K2" s="2759" t="s">
        <v>2960</v>
      </c>
      <c r="L2" s="2766" t="s">
        <v>2961</v>
      </c>
      <c r="N2" s="2766" t="s">
        <v>2583</v>
      </c>
      <c r="O2" s="2759" t="s">
        <v>2958</v>
      </c>
      <c r="P2" s="2759" t="s">
        <v>1952</v>
      </c>
      <c r="Q2" s="2766" t="s">
        <v>2645</v>
      </c>
      <c r="R2" s="2760"/>
      <c r="S2" s="2766" t="s">
        <v>2583</v>
      </c>
      <c r="T2" s="2759" t="s">
        <v>2958</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7" t="s">
        <v>2970</v>
      </c>
      <c r="B3" s="3138"/>
      <c r="C3" s="3138"/>
      <c r="D3" s="3139"/>
      <c r="E3" s="3139"/>
      <c r="F3" s="3138"/>
      <c r="G3" s="3140"/>
      <c r="H3" s="3141"/>
      <c r="I3" s="3146">
        <f>ROUND(AVERAGE($I8:$I23),2)</f>
        <v>2.4500000000000002</v>
      </c>
      <c r="J3" s="3146">
        <f>ROUND(AVERAGE($J8:$J23),2)</f>
        <v>1.65</v>
      </c>
      <c r="K3" s="3146">
        <f>ROUND(AVERAGE($K8:$K23),2)</f>
        <v>2.71</v>
      </c>
      <c r="L3" s="3146">
        <f>ROUND(AVERAGE($L8:$L23),2)</f>
        <v>1.39</v>
      </c>
      <c r="N3" s="3140"/>
      <c r="O3" s="3142"/>
      <c r="P3" s="3142"/>
      <c r="Q3" s="3142"/>
      <c r="R3" s="3142"/>
      <c r="S3" s="3140"/>
      <c r="T3" s="3142"/>
      <c r="U3" s="3142"/>
      <c r="V3" s="3142"/>
      <c r="W3" s="3145"/>
      <c r="X3" s="3143">
        <f>ROUND(SUMPRODUCT(PRODUCT(1+N3:N$22)),4)</f>
        <v>1.4517</v>
      </c>
      <c r="Y3" s="3143">
        <f>ROUND(SUMPRODUCT(PRODUCT(1+O3:O$22)),4)</f>
        <v>1.2928999999999999</v>
      </c>
      <c r="Z3" s="3143">
        <f t="shared" ref="Z3:Z20" si="0">Y3</f>
        <v>1.2928999999999999</v>
      </c>
      <c r="AA3" s="3143">
        <f>ROUND(SUMPRODUCT(PRODUCT(1+P3:P$22)),4)</f>
        <v>1.5068999999999999</v>
      </c>
      <c r="AB3" s="3143">
        <f>ROUND(SUMPRODUCT(PRODUCT(1+Q3:Q$22)),4)</f>
        <v>1.2557</v>
      </c>
      <c r="AD3" s="3144">
        <f>ROUND(AVERAGE(I3:I$23)/100,4)</f>
        <v>2.1600000000000001E-2</v>
      </c>
      <c r="AE3" s="3144">
        <f>ROUND(AVERAGE(J3:J$23)/100,4)</f>
        <v>1.4999999999999999E-2</v>
      </c>
      <c r="AF3" s="3144">
        <f t="shared" ref="AF3:AF21" si="1">AE3</f>
        <v>1.4999999999999999E-2</v>
      </c>
      <c r="AG3" s="3144">
        <f>ROUND(AVERAGE(K3:K$23)/100,4)</f>
        <v>2.3900000000000001E-2</v>
      </c>
      <c r="AH3" s="3144">
        <f>ROUND(AVERAGE(L3:L$23)/100,4)</f>
        <v>1.2800000000000001E-2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X4" s="2756"/>
      <c r="Y4" s="2756"/>
      <c r="Z4" s="2756"/>
      <c r="AA4" s="2756"/>
      <c r="AB4" s="2756"/>
      <c r="AD4" s="2676"/>
      <c r="AE4" s="2676"/>
      <c r="AF4" s="2676"/>
      <c r="AG4" s="2676"/>
      <c r="AH4" s="2676"/>
    </row>
    <row r="5" spans="1:34" s="3118" customFormat="1">
      <c r="A5" s="3116" t="s">
        <v>3005</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7">
        <v>3</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18" t="s">
        <v>2971</v>
      </c>
      <c r="X5" s="3121">
        <f>ROUND(SUMPRODUCT(PRODUCT(1+N5:N$23)),4)</f>
        <v>1.4947999999999999</v>
      </c>
      <c r="Y5" s="3121">
        <f>ROUND(SUMPRODUCT(PRODUCT(1+O5:O$23)),4)</f>
        <v>1.3230999999999999</v>
      </c>
      <c r="Z5" s="3121">
        <f t="shared" ref="Z5" si="10">Y5</f>
        <v>1.3230999999999999</v>
      </c>
      <c r="AA5" s="3121">
        <f>ROUND(SUMPRODUCT(PRODUCT(1+P5:P$23)),4)</f>
        <v>1.5564</v>
      </c>
      <c r="AB5" s="3121">
        <f>ROUND(SUMPRODUCT(PRODUCT(1+Q5:Q$23)),4)</f>
        <v>1.2726999999999999</v>
      </c>
      <c r="AD5" s="3122">
        <f>ROUND(AVERAGE(I5:I$23)/100,4)</f>
        <v>2.1499999999999998E-2</v>
      </c>
      <c r="AE5" s="3122">
        <f>ROUND(AVERAGE(J5:J$23)/100,4)</f>
        <v>1.49E-2</v>
      </c>
      <c r="AF5" s="3122">
        <f t="shared" ref="AF5" si="11">AE5</f>
        <v>1.49E-2</v>
      </c>
      <c r="AG5" s="3122">
        <f>ROUND(AVERAGE(K5:K$23)/100,4)</f>
        <v>2.3699999999999999E-2</v>
      </c>
      <c r="AH5" s="3122">
        <f>ROUND(AVERAGE(L5:L$23)/100,4)</f>
        <v>1.2800000000000001E-2</v>
      </c>
    </row>
    <row r="6" spans="1:34" s="2763" customFormat="1" ht="13.5" thickBot="1">
      <c r="A6" s="2657" t="s">
        <v>3004</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6"/>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2977</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6"/>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2968</v>
      </c>
      <c r="B8" s="3149">
        <v>439</v>
      </c>
      <c r="C8" s="3149">
        <v>327</v>
      </c>
      <c r="D8" s="3149">
        <f t="shared" si="23"/>
        <v>327</v>
      </c>
      <c r="E8" s="3149">
        <v>627</v>
      </c>
      <c r="F8" s="3150">
        <v>283</v>
      </c>
      <c r="G8" s="3134">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2972</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6"/>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5"/>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6"/>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552">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550"/>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550"/>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551"/>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549">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550"/>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550"/>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551"/>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549">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550"/>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550"/>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551"/>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556">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557"/>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557"/>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558"/>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549">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550"/>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550"/>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551"/>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549">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550">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550">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551">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549">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550">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550">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551">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549">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550">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550">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551">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549">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550">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550">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551">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549">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550">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550">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551">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549">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550">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550">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551">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549">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550">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550">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551">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549">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550">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550">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551">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549">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550">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550">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551">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549">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550">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550">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551">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2377</v>
      </c>
      <c r="F1" s="2390">
        <f ca="1">J53</f>
        <v>0</v>
      </c>
      <c r="G1" s="774">
        <f>MATCH(C1,'数据-取费表'!A6:A16,0)+5</f>
        <v>9</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543" t="s">
        <v>2466</v>
      </c>
      <c r="C6" s="783">
        <f ca="1">ROUND(F6*F8*F7*(1-F9)/10000,0)</f>
        <v>0</v>
      </c>
      <c r="D6" s="2499" t="s">
        <v>2465</v>
      </c>
      <c r="E6" s="784" t="s">
        <v>1739</v>
      </c>
      <c r="F6" s="785">
        <f ca="1">INDIRECT("'数据-取费表'!u"&amp;$G$1)</f>
        <v>0</v>
      </c>
      <c r="G6" s="1593"/>
      <c r="H6" s="2506" t="s">
        <v>2471</v>
      </c>
      <c r="I6" s="3543" t="s">
        <v>2466</v>
      </c>
      <c r="J6" s="783">
        <f ca="1">ROUND(M6*M8*M7*(1-M9)/10000,0)</f>
        <v>0</v>
      </c>
      <c r="K6" s="341" t="s">
        <v>1738</v>
      </c>
      <c r="L6" s="784" t="s">
        <v>1739</v>
      </c>
      <c r="M6" s="785">
        <f ca="1">INDIRECT("'数据-取费表'!z"&amp;$G$1)</f>
        <v>0</v>
      </c>
    </row>
    <row r="7" spans="1:33" ht="18" customHeight="1">
      <c r="A7" s="2502"/>
      <c r="B7" s="3544"/>
      <c r="C7" s="788"/>
      <c r="D7" s="789"/>
      <c r="E7" s="784" t="s">
        <v>1740</v>
      </c>
      <c r="F7" s="785">
        <f ca="1">IF(INDIRECT("'数据-取费表'!ah"&amp;$G$1)="",INDIRECT("'数据-取费表'!k"&amp;$G$1),INDIRECT("'数据-取费表'!ah"&amp;$G$1))</f>
        <v>0</v>
      </c>
      <c r="G7" s="1593"/>
      <c r="H7" s="2491"/>
      <c r="I7" s="3544"/>
      <c r="J7" s="788"/>
      <c r="K7" s="789"/>
      <c r="L7" s="784" t="s">
        <v>1740</v>
      </c>
      <c r="M7" s="785">
        <f ca="1">F7</f>
        <v>0</v>
      </c>
    </row>
    <row r="8" spans="1:33" ht="18" customHeight="1">
      <c r="A8" s="2495"/>
      <c r="B8" s="3545"/>
      <c r="C8" s="788"/>
      <c r="D8" s="789"/>
      <c r="E8" s="784" t="s">
        <v>1741</v>
      </c>
      <c r="F8" s="785">
        <f ca="1">INDIRECT("'数据-取费表'!ai"&amp;$G$1)</f>
        <v>0</v>
      </c>
      <c r="G8" s="1593"/>
      <c r="H8" s="2491"/>
      <c r="I8" s="3545"/>
      <c r="J8" s="788"/>
      <c r="K8" s="789"/>
      <c r="L8" s="784" t="s">
        <v>1741</v>
      </c>
      <c r="M8" s="785">
        <f ca="1">INDIRECT("'数据-取费表'!ai"&amp;$G$1)</f>
        <v>0</v>
      </c>
    </row>
    <row r="9" spans="1:33" ht="18" customHeight="1">
      <c r="A9" s="786"/>
      <c r="B9" s="3546"/>
      <c r="C9" s="788"/>
      <c r="D9" s="789"/>
      <c r="E9" s="784" t="s">
        <v>1742</v>
      </c>
      <c r="F9" s="794">
        <f ca="1">INDIRECT("'数据-取费表'!w"&amp;$G$1)</f>
        <v>0</v>
      </c>
      <c r="G9" s="1593"/>
      <c r="H9" s="2507"/>
      <c r="I9" s="3545"/>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2975</v>
      </c>
      <c r="E10" s="2500" t="s">
        <v>2467</v>
      </c>
      <c r="F10" s="2623"/>
      <c r="G10" s="1593"/>
      <c r="H10" s="2563" t="s">
        <v>2472</v>
      </c>
      <c r="I10" s="2568" t="s">
        <v>2462</v>
      </c>
      <c r="J10" s="783">
        <f ca="1">ROUND(IF(M10="押一",J6/12*M11,IF(M10="押二",J6/12*2*M11,IF(M10="押三",J6/12*3*M11,J11*M11))),0)</f>
        <v>0</v>
      </c>
      <c r="K10" s="2503" t="s">
        <v>2975</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0</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2965</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1"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1" t="s">
        <v>2347</v>
      </c>
      <c r="J47" s="2383"/>
      <c r="K47" s="3158" t="s">
        <v>2352</v>
      </c>
      <c r="L47" s="3162">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c r="K48" s="3159"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9" t="s">
        <v>2349</v>
      </c>
      <c r="J49" s="2385"/>
      <c r="K49" s="3160"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9" t="s">
        <v>2350</v>
      </c>
      <c r="J50" s="3155">
        <f>SUMPRODUCT((I63:I65=J47)*(J62:L62=J48)*(J63:L65))</f>
        <v>0</v>
      </c>
      <c r="K50" s="3160"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2" t="s">
        <v>2351</v>
      </c>
      <c r="J51" s="3156">
        <f>IF(J49="",J50,J49+J50-YEAR('数据-取费表'!B2))</f>
        <v>0</v>
      </c>
      <c r="K51" s="3129" t="s">
        <v>2357</v>
      </c>
      <c r="L51" s="3163">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2976</v>
      </c>
      <c r="E52" s="2500" t="s">
        <v>2467</v>
      </c>
      <c r="F52" s="2623"/>
      <c r="I52" s="3153" t="s">
        <v>2424</v>
      </c>
      <c r="J52" s="2387"/>
      <c r="K52" s="3153"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4" t="s">
        <v>2980</v>
      </c>
      <c r="J53" s="3157">
        <f ca="1">IF(M47="住宅",IF(D1="——",MAX(J51,L48),MAX(J51,L48-'数据-取费表'!B20)),IF(D1="——",MIN(J51,L48),MIN(J51,L48-'数据-取费表'!B20)))</f>
        <v>0</v>
      </c>
      <c r="K53" s="3559" t="s">
        <v>2967</v>
      </c>
      <c r="L53" s="3560"/>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6" t="s">
        <v>2358</v>
      </c>
      <c r="J55" s="3104" t="e">
        <f ca="1">ROUND(IF(J47="钢混",J57/J50,1-(1-2%)*(J50-J57)/J50),3)</f>
        <v>#DIV/0!</v>
      </c>
      <c r="K55" s="3167" t="s">
        <v>2359</v>
      </c>
      <c r="L55" s="2388"/>
      <c r="O55" s="2406" t="s">
        <v>2414</v>
      </c>
      <c r="P55" s="1593"/>
      <c r="Q55" s="1605"/>
      <c r="R55" s="1593"/>
    </row>
    <row r="56" spans="1:18" s="2061" customFormat="1" ht="42.75" customHeight="1" thickBot="1">
      <c r="A56" s="1651"/>
      <c r="B56" s="2233" t="s">
        <v>2305</v>
      </c>
      <c r="C56" s="53">
        <f ca="1">C29</f>
        <v>0</v>
      </c>
      <c r="D56" s="2641"/>
      <c r="E56" s="784"/>
      <c r="F56" s="809"/>
      <c r="I56" s="3168" t="s">
        <v>2360</v>
      </c>
      <c r="J56" s="3178"/>
      <c r="K56" s="3129"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69" t="s">
        <v>2361</v>
      </c>
      <c r="J57" s="3170">
        <f ca="1">IF(OR(M47="住宅",J51&lt;L48,J56="是"),"——",J51-L48)</f>
        <v>0</v>
      </c>
      <c r="K57" s="3129"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9" t="s">
        <v>2362</v>
      </c>
      <c r="J58" s="3105" t="e">
        <f ca="1">IF(J55&lt;0.4,0.4,J55)</f>
        <v>#DIV/0!</v>
      </c>
      <c r="K58" s="3129"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9" t="s">
        <v>2363</v>
      </c>
      <c r="J59" s="3170"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1" t="s">
        <v>2364</v>
      </c>
      <c r="J60" s="3172" t="e">
        <f ca="1">IF(OR(M47="住宅",J51&lt;L48,J56="是"),"0",ROUND(J59/(1+J52)^J53,0))</f>
        <v>#DIV/0!</v>
      </c>
      <c r="K60" s="3173" t="s">
        <v>2369</v>
      </c>
      <c r="L60" s="3172"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4" t="s">
        <v>2370</v>
      </c>
      <c r="J62" s="3175" t="s">
        <v>2371</v>
      </c>
      <c r="K62" s="3175" t="s">
        <v>2372</v>
      </c>
      <c r="L62" s="3175" t="s">
        <v>2353</v>
      </c>
      <c r="M62" s="3176" t="s">
        <v>2943</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4" t="s">
        <v>2373</v>
      </c>
      <c r="J63" s="3175">
        <v>70</v>
      </c>
      <c r="K63" s="3175">
        <v>50</v>
      </c>
      <c r="L63" s="3175">
        <v>80</v>
      </c>
      <c r="M63" s="3177">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4" t="s">
        <v>2374</v>
      </c>
      <c r="J64" s="3175">
        <v>50</v>
      </c>
      <c r="K64" s="3175">
        <v>35</v>
      </c>
      <c r="L64" s="3175">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4" t="s">
        <v>2375</v>
      </c>
      <c r="J65" s="3175">
        <v>40</v>
      </c>
      <c r="K65" s="3175">
        <v>30</v>
      </c>
      <c r="L65" s="3175">
        <v>50</v>
      </c>
      <c r="M65" s="3177">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1" t="s">
        <v>2474</v>
      </c>
      <c r="B1" s="3562"/>
      <c r="C1" s="3563"/>
      <c r="D1" s="3564">
        <f>SUM(I10,I15,I20,I21,I23)</f>
        <v>0</v>
      </c>
      <c r="E1" s="3564"/>
      <c r="F1" s="3564"/>
      <c r="G1" s="3564"/>
      <c r="H1" s="3564"/>
      <c r="I1" s="3565"/>
    </row>
    <row r="2" spans="1:9">
      <c r="A2" s="3566" t="s">
        <v>2475</v>
      </c>
      <c r="B2" s="3567" t="s">
        <v>2476</v>
      </c>
      <c r="C2" s="3567"/>
      <c r="D2" s="2509" t="s">
        <v>2477</v>
      </c>
      <c r="E2" s="2509" t="s">
        <v>2478</v>
      </c>
      <c r="F2" s="2509" t="s">
        <v>2479</v>
      </c>
      <c r="G2" s="2509" t="s">
        <v>2480</v>
      </c>
      <c r="H2" s="2509" t="s">
        <v>2481</v>
      </c>
      <c r="I2" s="2510" t="s">
        <v>2482</v>
      </c>
    </row>
    <row r="3" spans="1:9">
      <c r="A3" s="3566"/>
      <c r="B3" s="3567" t="s">
        <v>2483</v>
      </c>
      <c r="C3" s="3567"/>
      <c r="D3" s="2511"/>
      <c r="E3" s="2509"/>
      <c r="F3" s="2512"/>
      <c r="G3" s="2512"/>
      <c r="H3" s="2513"/>
      <c r="I3" s="2514">
        <f>ROUND(D3*E3*F3*G3*H3/10000,0)</f>
        <v>0</v>
      </c>
    </row>
    <row r="4" spans="1:9">
      <c r="A4" s="3566"/>
      <c r="B4" s="3567" t="s">
        <v>2484</v>
      </c>
      <c r="C4" s="3567"/>
      <c r="D4" s="2511"/>
      <c r="E4" s="2509"/>
      <c r="F4" s="2512"/>
      <c r="G4" s="2512"/>
      <c r="H4" s="2513"/>
      <c r="I4" s="2514">
        <f t="shared" ref="I4:I9" si="0">ROUND(D4*E4*F4*G4*H4/10000,0)</f>
        <v>0</v>
      </c>
    </row>
    <row r="5" spans="1:9">
      <c r="A5" s="3566"/>
      <c r="B5" s="3567" t="s">
        <v>2485</v>
      </c>
      <c r="C5" s="3567"/>
      <c r="D5" s="2511"/>
      <c r="E5" s="2509"/>
      <c r="F5" s="2512"/>
      <c r="G5" s="2512"/>
      <c r="H5" s="2513"/>
      <c r="I5" s="2514">
        <f t="shared" si="0"/>
        <v>0</v>
      </c>
    </row>
    <row r="6" spans="1:9">
      <c r="A6" s="3566"/>
      <c r="B6" s="3567" t="s">
        <v>2486</v>
      </c>
      <c r="C6" s="3567"/>
      <c r="D6" s="2511"/>
      <c r="E6" s="2509"/>
      <c r="F6" s="2512"/>
      <c r="G6" s="2512"/>
      <c r="H6" s="2513"/>
      <c r="I6" s="2514">
        <f t="shared" si="0"/>
        <v>0</v>
      </c>
    </row>
    <row r="7" spans="1:9">
      <c r="A7" s="3566"/>
      <c r="B7" s="3567" t="s">
        <v>2487</v>
      </c>
      <c r="C7" s="3567"/>
      <c r="D7" s="2511"/>
      <c r="E7" s="2509"/>
      <c r="F7" s="2512"/>
      <c r="G7" s="2512"/>
      <c r="H7" s="2513"/>
      <c r="I7" s="2514">
        <f t="shared" si="0"/>
        <v>0</v>
      </c>
    </row>
    <row r="8" spans="1:9">
      <c r="A8" s="3566"/>
      <c r="B8" s="3567" t="s">
        <v>2488</v>
      </c>
      <c r="C8" s="3567"/>
      <c r="D8" s="2511"/>
      <c r="E8" s="2509"/>
      <c r="F8" s="2512"/>
      <c r="G8" s="2512"/>
      <c r="H8" s="2513"/>
      <c r="I8" s="2514">
        <f t="shared" si="0"/>
        <v>0</v>
      </c>
    </row>
    <row r="9" spans="1:9">
      <c r="A9" s="3566"/>
      <c r="B9" s="3567" t="s">
        <v>2489</v>
      </c>
      <c r="C9" s="3567"/>
      <c r="D9" s="2511"/>
      <c r="E9" s="2509"/>
      <c r="F9" s="2512"/>
      <c r="G9" s="2512"/>
      <c r="H9" s="2513"/>
      <c r="I9" s="2514">
        <f t="shared" si="0"/>
        <v>0</v>
      </c>
    </row>
    <row r="10" spans="1:9">
      <c r="A10" s="3566"/>
      <c r="B10" s="3568" t="s">
        <v>2490</v>
      </c>
      <c r="C10" s="3568"/>
      <c r="D10" s="2515">
        <v>527</v>
      </c>
      <c r="E10" s="2515" t="e">
        <f>ROUND(D1*10000/D10/H9,0)</f>
        <v>#DIV/0!</v>
      </c>
      <c r="F10" s="2516"/>
      <c r="G10" s="2516"/>
      <c r="H10" s="2517"/>
      <c r="I10" s="2518">
        <f>SUM(I3:I9)</f>
        <v>0</v>
      </c>
    </row>
    <row r="11" spans="1:9" ht="14.25">
      <c r="A11" s="3566" t="s">
        <v>2491</v>
      </c>
      <c r="B11" s="3567" t="s">
        <v>2492</v>
      </c>
      <c r="C11" s="3567"/>
      <c r="D11" s="2511" t="s">
        <v>2493</v>
      </c>
      <c r="E11" s="2511" t="s">
        <v>2494</v>
      </c>
      <c r="F11" s="2512" t="s">
        <v>2495</v>
      </c>
      <c r="G11" s="2512" t="s">
        <v>2496</v>
      </c>
      <c r="H11" s="2519" t="s">
        <v>2497</v>
      </c>
      <c r="I11" s="2510" t="s">
        <v>2498</v>
      </c>
    </row>
    <row r="12" spans="1:9">
      <c r="A12" s="3566"/>
      <c r="B12" s="3567" t="s">
        <v>2499</v>
      </c>
      <c r="C12" s="3567"/>
      <c r="D12" s="2511"/>
      <c r="E12" s="2511"/>
      <c r="F12" s="2512"/>
      <c r="G12" s="2513"/>
      <c r="H12" s="2520"/>
      <c r="I12" s="2510">
        <f>ROUND(D12*E12*F12*G12/10000,0)</f>
        <v>0</v>
      </c>
    </row>
    <row r="13" spans="1:9">
      <c r="A13" s="3566"/>
      <c r="B13" s="3567" t="s">
        <v>2500</v>
      </c>
      <c r="C13" s="3567"/>
      <c r="D13" s="2511"/>
      <c r="E13" s="2511"/>
      <c r="F13" s="2512"/>
      <c r="G13" s="2513"/>
      <c r="H13" s="2520"/>
      <c r="I13" s="2510">
        <f>ROUND(D13*E13*F13*G13/10000,0)</f>
        <v>0</v>
      </c>
    </row>
    <row r="14" spans="1:9">
      <c r="A14" s="3566"/>
      <c r="B14" s="3567" t="s">
        <v>2501</v>
      </c>
      <c r="C14" s="3567"/>
      <c r="D14" s="2511"/>
      <c r="E14" s="2511"/>
      <c r="F14" s="2512"/>
      <c r="G14" s="2513"/>
      <c r="H14" s="2520"/>
      <c r="I14" s="2510">
        <f>ROUND(D14*E14*F14*G14/10000,0)</f>
        <v>0</v>
      </c>
    </row>
    <row r="15" spans="1:9">
      <c r="A15" s="3566"/>
      <c r="B15" s="3568" t="s">
        <v>2490</v>
      </c>
      <c r="C15" s="3568"/>
      <c r="D15" s="2515"/>
      <c r="E15" s="2515">
        <f>SUM(E12:E14)</f>
        <v>0</v>
      </c>
      <c r="F15" s="2516"/>
      <c r="G15" s="2513"/>
      <c r="H15" s="2520"/>
      <c r="I15" s="2521">
        <f>SUM(I12:I14)</f>
        <v>0</v>
      </c>
    </row>
    <row r="16" spans="1:9" ht="24">
      <c r="A16" s="3566" t="s">
        <v>2502</v>
      </c>
      <c r="B16" s="3567" t="s">
        <v>2503</v>
      </c>
      <c r="C16" s="3567"/>
      <c r="D16" s="2511" t="s">
        <v>2504</v>
      </c>
      <c r="E16" s="2522" t="s">
        <v>2505</v>
      </c>
      <c r="F16" s="2512" t="s">
        <v>2506</v>
      </c>
      <c r="G16" s="2513" t="s">
        <v>2496</v>
      </c>
      <c r="H16" s="2519" t="s">
        <v>2497</v>
      </c>
      <c r="I16" s="2510" t="s">
        <v>2498</v>
      </c>
    </row>
    <row r="17" spans="1:9" ht="14.25">
      <c r="A17" s="3566"/>
      <c r="B17" s="3567" t="s">
        <v>2507</v>
      </c>
      <c r="C17" s="3567"/>
      <c r="D17" s="2511"/>
      <c r="E17" s="2511"/>
      <c r="F17" s="2512"/>
      <c r="G17" s="2513"/>
      <c r="H17" s="2523"/>
      <c r="I17" s="2524">
        <f>ROUND(D17*E17*F17*G17/10000,0)</f>
        <v>0</v>
      </c>
    </row>
    <row r="18" spans="1:9" ht="14.25">
      <c r="A18" s="3566"/>
      <c r="B18" s="3567" t="s">
        <v>2508</v>
      </c>
      <c r="C18" s="3567"/>
      <c r="D18" s="2511"/>
      <c r="E18" s="2511"/>
      <c r="F18" s="2512"/>
      <c r="G18" s="2513"/>
      <c r="H18" s="2523"/>
      <c r="I18" s="2524">
        <f>ROUND(D18*E18*F18*G18/10000,0)</f>
        <v>0</v>
      </c>
    </row>
    <row r="19" spans="1:9" ht="14.25">
      <c r="A19" s="3566"/>
      <c r="B19" s="3567" t="s">
        <v>2509</v>
      </c>
      <c r="C19" s="3567"/>
      <c r="D19" s="2511"/>
      <c r="E19" s="2511"/>
      <c r="F19" s="2512"/>
      <c r="G19" s="2513"/>
      <c r="H19" s="2523"/>
      <c r="I19" s="2524">
        <f>ROUND(D19*E19*F19*G19/10000,0)</f>
        <v>0</v>
      </c>
    </row>
    <row r="20" spans="1:9">
      <c r="A20" s="3566"/>
      <c r="B20" s="3568" t="s">
        <v>2490</v>
      </c>
      <c r="C20" s="3568"/>
      <c r="D20" s="2515">
        <f>SUM(D17:D19)</f>
        <v>0</v>
      </c>
      <c r="E20" s="2515"/>
      <c r="F20" s="2516"/>
      <c r="G20" s="2513"/>
      <c r="H20" s="2520"/>
      <c r="I20" s="2521">
        <f>SUM(I17:I19)</f>
        <v>0</v>
      </c>
    </row>
    <row r="21" spans="1:9">
      <c r="A21" s="3566" t="s">
        <v>2510</v>
      </c>
      <c r="B21" s="3570"/>
      <c r="C21" s="3570"/>
      <c r="D21" s="3570"/>
      <c r="E21" s="3570"/>
      <c r="F21" s="3570"/>
      <c r="G21" s="3570"/>
      <c r="H21" s="2525">
        <v>0.1</v>
      </c>
      <c r="I21" s="2518">
        <f>ROUND(I10*H21,0)</f>
        <v>0</v>
      </c>
    </row>
    <row r="22" spans="1:9" ht="14.25">
      <c r="A22" s="3571" t="s">
        <v>2511</v>
      </c>
      <c r="B22" s="3572"/>
      <c r="C22" s="3573"/>
      <c r="D22" s="2526" t="s">
        <v>2512</v>
      </c>
      <c r="E22" s="2526" t="s">
        <v>2513</v>
      </c>
      <c r="F22" s="2527" t="s">
        <v>2514</v>
      </c>
      <c r="G22" s="2527" t="s">
        <v>2515</v>
      </c>
      <c r="H22" s="2519" t="s">
        <v>2516</v>
      </c>
      <c r="I22" s="2510" t="s">
        <v>2517</v>
      </c>
    </row>
    <row r="23" spans="1:9" ht="14.25" thickBot="1">
      <c r="A23" s="3574"/>
      <c r="B23" s="3575"/>
      <c r="C23" s="3576"/>
      <c r="D23" s="2528"/>
      <c r="E23" s="2528"/>
      <c r="F23" s="2528"/>
      <c r="G23" s="2529"/>
      <c r="H23" s="2530"/>
      <c r="I23" s="2531">
        <f>ROUND(E23*D23*F23*(1-G23)/10000,0)</f>
        <v>0</v>
      </c>
    </row>
    <row r="26" spans="1:9">
      <c r="A26" s="2532" t="s">
        <v>2518</v>
      </c>
      <c r="B26" s="2532"/>
      <c r="C26" s="2532"/>
      <c r="D26" s="2532"/>
      <c r="E26" s="3577">
        <f>C27-C30-C31-C32</f>
        <v>0</v>
      </c>
      <c r="F26" s="3577"/>
      <c r="G26" s="3577"/>
      <c r="H26" s="3046" t="s">
        <v>2844</v>
      </c>
    </row>
    <row r="27" spans="1:9">
      <c r="A27" s="2533">
        <v>1</v>
      </c>
      <c r="B27" s="2534" t="s">
        <v>2519</v>
      </c>
      <c r="C27" s="2534"/>
      <c r="D27" s="2534"/>
      <c r="E27" s="3578"/>
      <c r="F27" s="3578"/>
      <c r="G27" s="3578"/>
    </row>
    <row r="28" spans="1:9">
      <c r="A28" s="2535" t="s">
        <v>2520</v>
      </c>
      <c r="B28" s="2534" t="s">
        <v>2521</v>
      </c>
      <c r="C28" s="2534"/>
      <c r="D28" s="2534"/>
      <c r="E28" s="3578"/>
      <c r="F28" s="3578"/>
      <c r="G28" s="3578"/>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69"/>
      <c r="F32" s="3569"/>
      <c r="G32" s="3569"/>
    </row>
    <row r="33" spans="1:7" hidden="1">
      <c r="A33" s="3579" t="s">
        <v>2529</v>
      </c>
      <c r="B33" s="3580"/>
      <c r="C33" s="3580"/>
      <c r="D33" s="3581"/>
      <c r="E33" s="3577"/>
      <c r="F33" s="3577"/>
      <c r="G33" s="3577"/>
    </row>
    <row r="34" spans="1:7" hidden="1">
      <c r="A34" s="2537">
        <v>1</v>
      </c>
      <c r="B34" s="2534" t="s">
        <v>2530</v>
      </c>
      <c r="C34" s="2534"/>
      <c r="D34" s="2534"/>
      <c r="E34" s="3578"/>
      <c r="F34" s="3578"/>
      <c r="G34" s="3578"/>
    </row>
    <row r="35" spans="1:7" hidden="1">
      <c r="A35" s="2537">
        <v>2</v>
      </c>
      <c r="B35" s="2534" t="s">
        <v>2531</v>
      </c>
      <c r="C35" s="2534"/>
      <c r="D35" s="2534"/>
      <c r="E35" s="3578"/>
      <c r="F35" s="3578"/>
      <c r="G35" s="3578"/>
    </row>
    <row r="36" spans="1:7" hidden="1">
      <c r="A36" s="2537">
        <v>3</v>
      </c>
      <c r="B36" s="2534" t="s">
        <v>2532</v>
      </c>
      <c r="C36" s="2534"/>
      <c r="D36" s="2534"/>
      <c r="E36" s="3578"/>
      <c r="F36" s="3578"/>
      <c r="G36" s="3578"/>
    </row>
    <row r="37" spans="1:7" hidden="1">
      <c r="A37" s="2537">
        <v>4</v>
      </c>
      <c r="B37" s="2534" t="s">
        <v>2533</v>
      </c>
      <c r="C37" s="2534"/>
      <c r="D37" s="2534"/>
      <c r="E37" s="3578"/>
      <c r="F37" s="3578"/>
      <c r="G37" s="3578"/>
    </row>
    <row r="38" spans="1:7" hidden="1">
      <c r="A38" s="3579" t="s">
        <v>2534</v>
      </c>
      <c r="B38" s="3580"/>
      <c r="C38" s="3580"/>
      <c r="D38" s="3581"/>
      <c r="E38" s="3577"/>
      <c r="F38" s="3577"/>
      <c r="G38" s="35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179</v>
      </c>
      <c r="C2" s="2110"/>
      <c r="D2" s="2110"/>
      <c r="E2" s="2110"/>
      <c r="F2" s="2110"/>
      <c r="G2" s="2110"/>
    </row>
    <row r="3" spans="1:25" s="2061" customFormat="1" ht="18" customHeight="1">
      <c r="A3" s="1380" t="s">
        <v>1686</v>
      </c>
      <c r="B3" s="425">
        <f ca="1">ROUND(B2*10000/'数据-汇总表'!E3,0)</f>
        <v>129</v>
      </c>
      <c r="C3" s="2110"/>
      <c r="D3" s="2110"/>
      <c r="E3" s="2110"/>
      <c r="F3" s="2110"/>
      <c r="G3" s="2110"/>
    </row>
    <row r="4" spans="1:25" s="2061" customFormat="1" ht="18" customHeight="1">
      <c r="A4" s="426" t="s">
        <v>468</v>
      </c>
      <c r="B4" s="427">
        <f ca="1">ROUND(B2*10000/'数据-汇总表'!D3,0)</f>
        <v>440</v>
      </c>
      <c r="C4" s="2063"/>
      <c r="D4" s="2110"/>
      <c r="E4" s="2110"/>
      <c r="F4" s="2110"/>
      <c r="G4" s="2110"/>
    </row>
    <row r="5" spans="1:25" s="2061" customFormat="1" ht="18" customHeight="1" thickBot="1">
      <c r="A5" s="429"/>
      <c r="B5" s="430">
        <f ca="1">ROUND(B2/('数据-汇总表'!D3/666.67),0)</f>
        <v>29</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200</v>
      </c>
      <c r="D10" s="760">
        <f>'数据-汇总表'!E3</f>
        <v>13823.19</v>
      </c>
      <c r="E10" s="749">
        <f>'数据-取费表'!B31</f>
        <v>200</v>
      </c>
      <c r="F10" s="761"/>
      <c r="G10" s="759" t="s">
        <v>614</v>
      </c>
    </row>
    <row r="11" spans="1:25" s="2185" customFormat="1" ht="13.5" customHeight="1">
      <c r="A11" s="2471" t="s">
        <v>2443</v>
      </c>
      <c r="B11" s="752" t="s">
        <v>610</v>
      </c>
      <c r="C11" s="753">
        <f>'数据-取费表'!B29</f>
        <v>200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276</v>
      </c>
      <c r="D13" s="758">
        <f>'数据-汇总表'!E6</f>
        <v>13823.19</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36</v>
      </c>
      <c r="D18" s="762"/>
      <c r="E18" s="763"/>
      <c r="F18" s="761">
        <f>'数据-取费表'!Q16</f>
        <v>0.18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236</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236</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179</v>
      </c>
      <c r="D22" s="760"/>
      <c r="E22" s="749"/>
      <c r="F22" s="766">
        <f>'数据-取费表'!AP16</f>
        <v>0.76</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179</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94" t="s">
        <v>522</v>
      </c>
      <c r="D4" s="3495"/>
      <c r="E4" s="3528" t="s">
        <v>523</v>
      </c>
      <c r="F4" s="3529"/>
      <c r="G4" s="3494" t="s">
        <v>524</v>
      </c>
      <c r="H4" s="3495"/>
      <c r="I4" s="3494" t="s">
        <v>525</v>
      </c>
      <c r="J4" s="3495"/>
      <c r="K4" s="853" t="s">
        <v>526</v>
      </c>
      <c r="L4" s="2135"/>
      <c r="M4" s="2136"/>
      <c r="N4" s="2136"/>
      <c r="O4" s="2136"/>
      <c r="P4" s="3496" t="s">
        <v>527</v>
      </c>
      <c r="Q4" s="3497"/>
      <c r="R4" s="3502" t="s">
        <v>523</v>
      </c>
      <c r="S4" s="3503"/>
      <c r="T4" s="3502" t="s">
        <v>524</v>
      </c>
      <c r="U4" s="3503"/>
      <c r="V4" s="3489" t="s">
        <v>525</v>
      </c>
      <c r="W4" s="3489"/>
      <c r="X4" s="1568"/>
      <c r="Y4" s="3502" t="s">
        <v>527</v>
      </c>
      <c r="Z4" s="3503"/>
      <c r="AA4" s="3491" t="s">
        <v>523</v>
      </c>
      <c r="AB4" s="3491" t="s">
        <v>524</v>
      </c>
      <c r="AC4" s="3491" t="s">
        <v>525</v>
      </c>
    </row>
    <row r="5" spans="1:29" ht="15">
      <c r="A5" s="515"/>
      <c r="B5" s="516"/>
      <c r="C5" s="3510" t="s">
        <v>2930</v>
      </c>
      <c r="D5" s="3511"/>
      <c r="E5" s="3530" t="s">
        <v>2931</v>
      </c>
      <c r="F5" s="3531"/>
      <c r="G5" s="3510" t="s">
        <v>2932</v>
      </c>
      <c r="H5" s="3511"/>
      <c r="I5" s="3510" t="s">
        <v>2933</v>
      </c>
      <c r="J5" s="3511"/>
      <c r="K5" s="854"/>
      <c r="L5" s="2135"/>
      <c r="M5" s="2136"/>
      <c r="N5" s="2136"/>
      <c r="O5" s="2136"/>
      <c r="P5" s="3498"/>
      <c r="Q5" s="3499"/>
      <c r="R5" s="3504"/>
      <c r="S5" s="3505"/>
      <c r="T5" s="3504"/>
      <c r="U5" s="3505"/>
      <c r="V5" s="3489"/>
      <c r="W5" s="3489"/>
      <c r="X5" s="1568"/>
      <c r="Y5" s="3504"/>
      <c r="Z5" s="3505"/>
      <c r="AA5" s="3492"/>
      <c r="AB5" s="3492"/>
      <c r="AC5" s="3492"/>
    </row>
    <row r="6" spans="1:29" ht="15.75" thickBot="1">
      <c r="A6" s="517"/>
      <c r="B6" s="518"/>
      <c r="C6" s="3508" t="s">
        <v>2934</v>
      </c>
      <c r="D6" s="3509"/>
      <c r="E6" s="3526" t="s">
        <v>2934</v>
      </c>
      <c r="F6" s="3527"/>
      <c r="G6" s="3508" t="s">
        <v>2934</v>
      </c>
      <c r="H6" s="3509"/>
      <c r="I6" s="3508" t="s">
        <v>2934</v>
      </c>
      <c r="J6" s="3509"/>
      <c r="K6" s="854" t="s">
        <v>528</v>
      </c>
      <c r="L6" s="2135"/>
      <c r="M6" s="2136"/>
      <c r="N6" s="2136"/>
      <c r="O6" s="2136"/>
      <c r="P6" s="3500"/>
      <c r="Q6" s="3501"/>
      <c r="R6" s="3504"/>
      <c r="S6" s="3505"/>
      <c r="T6" s="3506"/>
      <c r="U6" s="3507"/>
      <c r="V6" s="3489"/>
      <c r="W6" s="3489"/>
      <c r="X6" s="1568"/>
      <c r="Y6" s="3506"/>
      <c r="Z6" s="3507"/>
      <c r="AA6" s="3493"/>
      <c r="AB6" s="3493"/>
      <c r="AC6" s="3493"/>
    </row>
    <row r="7" spans="1:29" s="1220" customFormat="1" ht="15.75" thickBot="1">
      <c r="A7" s="2914"/>
      <c r="B7" s="2921" t="s">
        <v>529</v>
      </c>
      <c r="C7" s="519">
        <f>'数据-取费表'!B2</f>
        <v>43205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519" t="s">
        <v>530</v>
      </c>
      <c r="Q7" s="3521"/>
      <c r="R7" s="1569" t="s">
        <v>13</v>
      </c>
      <c r="S7" s="1570">
        <f t="shared" ref="S7:S15" si="0">F7</f>
        <v>0</v>
      </c>
      <c r="T7" s="1569" t="s">
        <v>13</v>
      </c>
      <c r="U7" s="1570">
        <f t="shared" ref="U7:U15" si="1">H7</f>
        <v>0</v>
      </c>
      <c r="V7" s="1569" t="s">
        <v>13</v>
      </c>
      <c r="W7" s="1570">
        <f t="shared" ref="W7:W15" si="2">J7</f>
        <v>0</v>
      </c>
      <c r="X7" s="1571"/>
      <c r="Y7" s="3519" t="s">
        <v>530</v>
      </c>
      <c r="Z7" s="3520"/>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519" t="s">
        <v>533</v>
      </c>
      <c r="Q8" s="3520"/>
      <c r="R8" s="1569" t="s">
        <v>13</v>
      </c>
      <c r="S8" s="1570">
        <f t="shared" si="0"/>
        <v>0</v>
      </c>
      <c r="T8" s="1569" t="s">
        <v>13</v>
      </c>
      <c r="U8" s="1570">
        <f t="shared" si="1"/>
        <v>0</v>
      </c>
      <c r="V8" s="1569" t="s">
        <v>13</v>
      </c>
      <c r="W8" s="1570">
        <f t="shared" si="2"/>
        <v>0</v>
      </c>
      <c r="X8" s="1571"/>
      <c r="Y8" s="3519" t="s">
        <v>533</v>
      </c>
      <c r="Z8" s="3520"/>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88" t="s">
        <v>535</v>
      </c>
      <c r="Q9" s="1151" t="str">
        <f t="shared" ref="Q9:Q15" si="6">B9</f>
        <v>用途</v>
      </c>
      <c r="R9" s="1569" t="s">
        <v>8</v>
      </c>
      <c r="S9" s="1570">
        <f t="shared" si="0"/>
        <v>100</v>
      </c>
      <c r="T9" s="1569" t="s">
        <v>8</v>
      </c>
      <c r="U9" s="1570">
        <f t="shared" si="1"/>
        <v>100</v>
      </c>
      <c r="V9" s="1569" t="s">
        <v>8</v>
      </c>
      <c r="W9" s="1570">
        <f t="shared" si="2"/>
        <v>100</v>
      </c>
      <c r="X9" s="1571"/>
      <c r="Y9" s="341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88"/>
      <c r="Q10" s="1151" t="str">
        <f t="shared" si="6"/>
        <v>土地使用年限（年）</v>
      </c>
      <c r="R10" s="1569" t="s">
        <v>8</v>
      </c>
      <c r="S10" s="1570">
        <f t="shared" si="0"/>
        <v>100</v>
      </c>
      <c r="T10" s="1569" t="s">
        <v>8</v>
      </c>
      <c r="U10" s="1570">
        <f t="shared" si="1"/>
        <v>100</v>
      </c>
      <c r="V10" s="1569" t="s">
        <v>8</v>
      </c>
      <c r="W10" s="1570">
        <f t="shared" si="2"/>
        <v>100</v>
      </c>
      <c r="X10" s="1571"/>
      <c r="Y10" s="3416"/>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88"/>
      <c r="Q11" s="1151" t="str">
        <f t="shared" si="6"/>
        <v>容积率</v>
      </c>
      <c r="R11" s="1569" t="s">
        <v>11</v>
      </c>
      <c r="S11" s="1570" t="e">
        <f t="shared" si="0"/>
        <v>#N/A</v>
      </c>
      <c r="T11" s="1569" t="s">
        <v>11</v>
      </c>
      <c r="U11" s="1570" t="e">
        <f t="shared" si="1"/>
        <v>#N/A</v>
      </c>
      <c r="V11" s="1569" t="s">
        <v>11</v>
      </c>
      <c r="W11" s="1570" t="e">
        <f t="shared" si="2"/>
        <v>#N/A</v>
      </c>
      <c r="X11" s="1571"/>
      <c r="Y11" s="341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88"/>
      <c r="Q12" s="1151">
        <f t="shared" si="6"/>
        <v>111</v>
      </c>
      <c r="R12" s="1569" t="s">
        <v>11</v>
      </c>
      <c r="S12" s="1570">
        <f t="shared" si="0"/>
        <v>100</v>
      </c>
      <c r="T12" s="1569" t="s">
        <v>11</v>
      </c>
      <c r="U12" s="1570">
        <f t="shared" si="1"/>
        <v>100</v>
      </c>
      <c r="V12" s="1569" t="s">
        <v>11</v>
      </c>
      <c r="W12" s="1570">
        <f t="shared" si="2"/>
        <v>100</v>
      </c>
      <c r="X12" s="1571"/>
      <c r="Y12" s="3416"/>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88"/>
      <c r="Q13" s="1151">
        <f t="shared" si="6"/>
        <v>111</v>
      </c>
      <c r="R13" s="1569" t="s">
        <v>11</v>
      </c>
      <c r="S13" s="1570">
        <f t="shared" si="0"/>
        <v>100</v>
      </c>
      <c r="T13" s="1569" t="s">
        <v>11</v>
      </c>
      <c r="U13" s="1570">
        <f t="shared" si="1"/>
        <v>100</v>
      </c>
      <c r="V13" s="1569" t="s">
        <v>11</v>
      </c>
      <c r="W13" s="1570">
        <f t="shared" si="2"/>
        <v>100</v>
      </c>
      <c r="X13" s="1571"/>
      <c r="Y13" s="3416"/>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88"/>
      <c r="Q14" s="1151">
        <f t="shared" si="6"/>
        <v>111</v>
      </c>
      <c r="R14" s="1569" t="s">
        <v>11</v>
      </c>
      <c r="S14" s="1570">
        <f t="shared" si="0"/>
        <v>100</v>
      </c>
      <c r="T14" s="1569" t="s">
        <v>11</v>
      </c>
      <c r="U14" s="1570">
        <f t="shared" si="1"/>
        <v>100</v>
      </c>
      <c r="V14" s="1569" t="s">
        <v>11</v>
      </c>
      <c r="W14" s="1570">
        <f t="shared" si="2"/>
        <v>100</v>
      </c>
      <c r="X14" s="1571"/>
      <c r="Y14" s="3416"/>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522" t="s">
        <v>540</v>
      </c>
      <c r="Q15" s="1573" t="str">
        <f t="shared" si="6"/>
        <v>居住社区成熟度</v>
      </c>
      <c r="R15" s="1574" t="s">
        <v>11</v>
      </c>
      <c r="S15" s="1575">
        <f t="shared" si="0"/>
        <v>100</v>
      </c>
      <c r="T15" s="1574" t="s">
        <v>11</v>
      </c>
      <c r="U15" s="1575">
        <f t="shared" si="1"/>
        <v>100</v>
      </c>
      <c r="V15" s="1574" t="s">
        <v>11</v>
      </c>
      <c r="W15" s="1575">
        <f t="shared" si="2"/>
        <v>100</v>
      </c>
      <c r="X15" s="1568"/>
      <c r="Y15" s="3522"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523"/>
      <c r="Q16" s="1573"/>
      <c r="R16" s="1574"/>
      <c r="S16" s="1575"/>
      <c r="T16" s="1574"/>
      <c r="U16" s="1575"/>
      <c r="V16" s="1574"/>
      <c r="W16" s="1575"/>
      <c r="X16" s="1568"/>
      <c r="Y16" s="3523"/>
      <c r="Z16" s="1576"/>
      <c r="AA16" s="1577">
        <v>1</v>
      </c>
      <c r="AB16" s="1577">
        <v>1</v>
      </c>
      <c r="AC16" s="1577">
        <v>1</v>
      </c>
    </row>
    <row r="17" spans="1:29" ht="142.5">
      <c r="A17" s="532"/>
      <c r="B17" s="871" t="s">
        <v>296</v>
      </c>
      <c r="C17" s="872" t="str">
        <f>估价对象房地状况!C6</f>
        <v>估价对象紧邻城市次干道—欣旺北大街，周边有381路、兴13路等多条公交线路通过，距地铁大兴线（西红门站）约1.2公里，综合评价交通便捷度一般。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523"/>
      <c r="Q17" s="1573" t="str">
        <f>B17</f>
        <v>交通便捷度</v>
      </c>
      <c r="R17" s="1574" t="s">
        <v>11</v>
      </c>
      <c r="S17" s="1575">
        <f>F17</f>
        <v>100</v>
      </c>
      <c r="T17" s="1574" t="s">
        <v>11</v>
      </c>
      <c r="U17" s="1575">
        <f>H17</f>
        <v>100</v>
      </c>
      <c r="V17" s="1574" t="s">
        <v>11</v>
      </c>
      <c r="W17" s="1575">
        <f>J17</f>
        <v>100</v>
      </c>
      <c r="X17" s="1568"/>
      <c r="Y17" s="35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523"/>
      <c r="Q18" s="1573"/>
      <c r="R18" s="1574"/>
      <c r="S18" s="1575"/>
      <c r="T18" s="1574"/>
      <c r="U18" s="1575"/>
      <c r="V18" s="1574"/>
      <c r="W18" s="1575"/>
      <c r="X18" s="1568"/>
      <c r="Y18" s="3523"/>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523"/>
      <c r="Q19" s="1573" t="str">
        <f>B19</f>
        <v>公共配套设施</v>
      </c>
      <c r="R19" s="1574" t="s">
        <v>11</v>
      </c>
      <c r="S19" s="1575">
        <f>F19</f>
        <v>100</v>
      </c>
      <c r="T19" s="1574" t="s">
        <v>11</v>
      </c>
      <c r="U19" s="1575">
        <f>H19</f>
        <v>100</v>
      </c>
      <c r="V19" s="1574" t="s">
        <v>11</v>
      </c>
      <c r="W19" s="1575">
        <f>J19</f>
        <v>100</v>
      </c>
      <c r="X19" s="1568"/>
      <c r="Y19" s="352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523"/>
      <c r="Q20" s="1573"/>
      <c r="R20" s="1574"/>
      <c r="S20" s="1575"/>
      <c r="T20" s="1574"/>
      <c r="U20" s="1575"/>
      <c r="V20" s="1574"/>
      <c r="W20" s="1575"/>
      <c r="X20" s="1568"/>
      <c r="Y20" s="3523"/>
      <c r="Z20" s="1576"/>
      <c r="AA20" s="1577">
        <v>1</v>
      </c>
      <c r="AB20" s="1577">
        <v>1</v>
      </c>
      <c r="AC20" s="1577">
        <v>1</v>
      </c>
    </row>
    <row r="21" spans="1:29" ht="15">
      <c r="A21" s="532"/>
      <c r="B21" s="2595"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523"/>
      <c r="Q21" s="2581" t="str">
        <f>B21</f>
        <v>基础设施水平</v>
      </c>
      <c r="R21" s="1574" t="s">
        <v>11</v>
      </c>
      <c r="S21" s="1575">
        <f>F21</f>
        <v>100</v>
      </c>
      <c r="T21" s="1574" t="s">
        <v>11</v>
      </c>
      <c r="U21" s="1575">
        <f>H21</f>
        <v>100</v>
      </c>
      <c r="V21" s="1574" t="s">
        <v>11</v>
      </c>
      <c r="W21" s="1575">
        <f>J21</f>
        <v>100</v>
      </c>
      <c r="X21" s="2583"/>
      <c r="Y21" s="352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523"/>
      <c r="Q22" s="2581"/>
      <c r="R22" s="1574"/>
      <c r="S22" s="1575"/>
      <c r="T22" s="1574"/>
      <c r="U22" s="1575"/>
      <c r="V22" s="1574"/>
      <c r="W22" s="1575"/>
      <c r="X22" s="2583"/>
      <c r="Y22" s="3523"/>
      <c r="Z22" s="2582"/>
      <c r="AA22" s="1577">
        <v>1</v>
      </c>
      <c r="AB22" s="1577">
        <v>1</v>
      </c>
      <c r="AC22" s="1577">
        <v>1</v>
      </c>
    </row>
    <row r="23" spans="1:29" ht="114">
      <c r="A23" s="532"/>
      <c r="B23" s="871" t="s">
        <v>297</v>
      </c>
      <c r="C23" s="872" t="str">
        <f>估价对象房地状况!C9</f>
        <v>区域自然环境：西红门九龙口休闲公园、兴海公园等；人文环境：快乐392高尔夫俱乐部等；综合评价环境状况较好。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523"/>
      <c r="Q23" s="1573" t="str">
        <f>B23</f>
        <v>自然及人文环境</v>
      </c>
      <c r="R23" s="1574" t="s">
        <v>11</v>
      </c>
      <c r="S23" s="1575">
        <f>F23</f>
        <v>100</v>
      </c>
      <c r="T23" s="1574" t="s">
        <v>11</v>
      </c>
      <c r="U23" s="1575">
        <f>H23</f>
        <v>100</v>
      </c>
      <c r="V23" s="1574" t="s">
        <v>11</v>
      </c>
      <c r="W23" s="1575">
        <f>J23</f>
        <v>100</v>
      </c>
      <c r="X23" s="1568"/>
      <c r="Y23" s="352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523"/>
      <c r="Q24" s="1573"/>
      <c r="R24" s="1574"/>
      <c r="S24" s="1575"/>
      <c r="T24" s="1574"/>
      <c r="U24" s="1575"/>
      <c r="V24" s="1574"/>
      <c r="W24" s="1575"/>
      <c r="X24" s="1568"/>
      <c r="Y24" s="3523"/>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523"/>
      <c r="Q25" s="1573" t="str">
        <f t="shared" ref="Q25:Q46" si="11">B25</f>
        <v>楼层-1</v>
      </c>
      <c r="R25" s="1574" t="s">
        <v>11</v>
      </c>
      <c r="S25" s="1575">
        <f>F25</f>
        <v>100</v>
      </c>
      <c r="T25" s="1574" t="s">
        <v>11</v>
      </c>
      <c r="U25" s="1575">
        <f>H25</f>
        <v>100</v>
      </c>
      <c r="V25" s="1574" t="s">
        <v>11</v>
      </c>
      <c r="W25" s="1575">
        <f>J25</f>
        <v>100</v>
      </c>
      <c r="X25" s="1568"/>
      <c r="Y25" s="352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523"/>
      <c r="Q26" s="1573" t="str">
        <f t="shared" si="11"/>
        <v>朝向</v>
      </c>
      <c r="R26" s="1574" t="s">
        <v>11</v>
      </c>
      <c r="S26" s="1575">
        <f>F26</f>
        <v>100</v>
      </c>
      <c r="T26" s="1574" t="s">
        <v>11</v>
      </c>
      <c r="U26" s="1575">
        <f>H26</f>
        <v>100</v>
      </c>
      <c r="V26" s="1574" t="s">
        <v>11</v>
      </c>
      <c r="W26" s="1575">
        <f>J26</f>
        <v>100</v>
      </c>
      <c r="X26" s="1568"/>
      <c r="Y26" s="3523"/>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523"/>
      <c r="Q27" s="1151" t="str">
        <f t="shared" si="11"/>
        <v>道路级别</v>
      </c>
      <c r="R27" s="1569" t="s">
        <v>11</v>
      </c>
      <c r="S27" s="1570">
        <f>F27</f>
        <v>100</v>
      </c>
      <c r="T27" s="1569" t="s">
        <v>11</v>
      </c>
      <c r="U27" s="1570">
        <f>H27</f>
        <v>100</v>
      </c>
      <c r="V27" s="1569" t="s">
        <v>11</v>
      </c>
      <c r="W27" s="1570">
        <f>J27</f>
        <v>100</v>
      </c>
      <c r="X27" s="1571"/>
      <c r="Y27" s="352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523"/>
      <c r="Q28" s="1573">
        <f t="shared" si="11"/>
        <v>111</v>
      </c>
      <c r="R28" s="1574" t="s">
        <v>11</v>
      </c>
      <c r="S28" s="1575">
        <f t="shared" ref="S28:S46" si="12">F28</f>
        <v>100</v>
      </c>
      <c r="T28" s="1574" t="s">
        <v>11</v>
      </c>
      <c r="U28" s="1575">
        <f t="shared" ref="U28:U46" si="13">H28</f>
        <v>100</v>
      </c>
      <c r="V28" s="1574" t="s">
        <v>11</v>
      </c>
      <c r="W28" s="1575">
        <f t="shared" ref="W28:W46" si="14">J28</f>
        <v>100</v>
      </c>
      <c r="X28" s="1568"/>
      <c r="Y28" s="352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523"/>
      <c r="Q29" s="1573">
        <f t="shared" si="11"/>
        <v>111</v>
      </c>
      <c r="R29" s="1574" t="s">
        <v>11</v>
      </c>
      <c r="S29" s="1575">
        <f t="shared" si="12"/>
        <v>100</v>
      </c>
      <c r="T29" s="1574" t="s">
        <v>11</v>
      </c>
      <c r="U29" s="1575">
        <f t="shared" si="13"/>
        <v>100</v>
      </c>
      <c r="V29" s="1574" t="s">
        <v>11</v>
      </c>
      <c r="W29" s="1575">
        <f t="shared" si="14"/>
        <v>100</v>
      </c>
      <c r="X29" s="1568"/>
      <c r="Y29" s="35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523"/>
      <c r="Q30" s="1573">
        <f t="shared" si="11"/>
        <v>111</v>
      </c>
      <c r="R30" s="1574" t="s">
        <v>11</v>
      </c>
      <c r="S30" s="1575">
        <f t="shared" si="12"/>
        <v>100</v>
      </c>
      <c r="T30" s="1574" t="s">
        <v>11</v>
      </c>
      <c r="U30" s="1575">
        <f t="shared" si="13"/>
        <v>100</v>
      </c>
      <c r="V30" s="1574" t="s">
        <v>11</v>
      </c>
      <c r="W30" s="1575">
        <f t="shared" si="14"/>
        <v>100</v>
      </c>
      <c r="X30" s="1568"/>
      <c r="Y30" s="352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523"/>
      <c r="Q31" s="1573">
        <f t="shared" si="11"/>
        <v>111</v>
      </c>
      <c r="R31" s="1574" t="s">
        <v>11</v>
      </c>
      <c r="S31" s="1575">
        <f t="shared" si="12"/>
        <v>100</v>
      </c>
      <c r="T31" s="1574" t="s">
        <v>11</v>
      </c>
      <c r="U31" s="1575">
        <f t="shared" si="13"/>
        <v>100</v>
      </c>
      <c r="V31" s="1574" t="s">
        <v>11</v>
      </c>
      <c r="W31" s="1575">
        <f t="shared" si="14"/>
        <v>100</v>
      </c>
      <c r="X31" s="1568"/>
      <c r="Y31" s="3523"/>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524" t="s">
        <v>550</v>
      </c>
      <c r="Q32" s="1573" t="str">
        <f t="shared" si="11"/>
        <v>建筑类型</v>
      </c>
      <c r="R32" s="1574" t="s">
        <v>11</v>
      </c>
      <c r="S32" s="1575">
        <f t="shared" si="12"/>
        <v>100</v>
      </c>
      <c r="T32" s="1574" t="s">
        <v>11</v>
      </c>
      <c r="U32" s="1575">
        <f t="shared" si="13"/>
        <v>100</v>
      </c>
      <c r="V32" s="1574" t="s">
        <v>11</v>
      </c>
      <c r="W32" s="1575">
        <f t="shared" si="14"/>
        <v>100</v>
      </c>
      <c r="X32" s="1568"/>
      <c r="Y32" s="3525"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525"/>
      <c r="Q33" s="1606" t="str">
        <f t="shared" si="11"/>
        <v>项目建筑规模</v>
      </c>
      <c r="R33" s="1578" t="s">
        <v>11</v>
      </c>
      <c r="S33" s="1579" t="e">
        <f t="shared" si="12"/>
        <v>#N/A</v>
      </c>
      <c r="T33" s="1578" t="s">
        <v>11</v>
      </c>
      <c r="U33" s="1579" t="e">
        <f t="shared" si="13"/>
        <v>#N/A</v>
      </c>
      <c r="V33" s="1578" t="s">
        <v>11</v>
      </c>
      <c r="W33" s="1579" t="e">
        <f t="shared" si="14"/>
        <v>#N/A</v>
      </c>
      <c r="X33" s="1580"/>
      <c r="Y33" s="352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525"/>
      <c r="Q34" s="1573" t="str">
        <f t="shared" si="11"/>
        <v>建筑结构</v>
      </c>
      <c r="R34" s="1574" t="s">
        <v>11</v>
      </c>
      <c r="S34" s="1575">
        <f t="shared" si="12"/>
        <v>100</v>
      </c>
      <c r="T34" s="1574" t="s">
        <v>11</v>
      </c>
      <c r="U34" s="1575">
        <f t="shared" si="13"/>
        <v>100</v>
      </c>
      <c r="V34" s="1574" t="s">
        <v>11</v>
      </c>
      <c r="W34" s="1575">
        <f t="shared" si="14"/>
        <v>100</v>
      </c>
      <c r="X34" s="1568"/>
      <c r="Y34" s="3525"/>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525"/>
      <c r="Q35" s="1573" t="str">
        <f t="shared" si="11"/>
        <v>建筑品质</v>
      </c>
      <c r="R35" s="1574" t="s">
        <v>11</v>
      </c>
      <c r="S35" s="1575">
        <f t="shared" si="12"/>
        <v>100</v>
      </c>
      <c r="T35" s="1574" t="s">
        <v>11</v>
      </c>
      <c r="U35" s="1575">
        <f t="shared" si="13"/>
        <v>100</v>
      </c>
      <c r="V35" s="1574" t="s">
        <v>11</v>
      </c>
      <c r="W35" s="1575">
        <f t="shared" si="14"/>
        <v>100</v>
      </c>
      <c r="X35" s="1568"/>
      <c r="Y35" s="3525"/>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525"/>
      <c r="Q36" s="1573" t="str">
        <f t="shared" si="11"/>
        <v>公共部分装修</v>
      </c>
      <c r="R36" s="1574" t="s">
        <v>11</v>
      </c>
      <c r="S36" s="1575">
        <f t="shared" si="12"/>
        <v>100</v>
      </c>
      <c r="T36" s="1574" t="s">
        <v>11</v>
      </c>
      <c r="U36" s="1575">
        <f t="shared" si="13"/>
        <v>100</v>
      </c>
      <c r="V36" s="1574" t="s">
        <v>11</v>
      </c>
      <c r="W36" s="1575">
        <f t="shared" si="14"/>
        <v>100</v>
      </c>
      <c r="X36" s="1568"/>
      <c r="Y36" s="3525"/>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525"/>
      <c r="Q37" s="1151" t="str">
        <f t="shared" si="11"/>
        <v>成新度</v>
      </c>
      <c r="R37" s="1569" t="s">
        <v>11</v>
      </c>
      <c r="S37" s="1570" t="e">
        <f t="shared" si="12"/>
        <v>#N/A</v>
      </c>
      <c r="T37" s="1569" t="s">
        <v>11</v>
      </c>
      <c r="U37" s="1570" t="e">
        <f t="shared" si="13"/>
        <v>#N/A</v>
      </c>
      <c r="V37" s="1569" t="s">
        <v>11</v>
      </c>
      <c r="W37" s="1570" t="e">
        <f t="shared" si="14"/>
        <v>#N/A</v>
      </c>
      <c r="X37" s="1571"/>
      <c r="Y37" s="3525"/>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525" t="s">
        <v>550</v>
      </c>
      <c r="Q38" s="1573" t="str">
        <f t="shared" si="11"/>
        <v>物业管理</v>
      </c>
      <c r="R38" s="1574" t="s">
        <v>11</v>
      </c>
      <c r="S38" s="1575">
        <f t="shared" si="12"/>
        <v>100</v>
      </c>
      <c r="T38" s="1574" t="s">
        <v>11</v>
      </c>
      <c r="U38" s="1575">
        <f t="shared" si="13"/>
        <v>100</v>
      </c>
      <c r="V38" s="1574" t="s">
        <v>11</v>
      </c>
      <c r="W38" s="1575">
        <f t="shared" si="14"/>
        <v>100</v>
      </c>
      <c r="X38" s="1568"/>
      <c r="Y38" s="3525"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525"/>
      <c r="Q39" s="1573" t="str">
        <f t="shared" si="11"/>
        <v>市政基础设施</v>
      </c>
      <c r="R39" s="1574" t="s">
        <v>11</v>
      </c>
      <c r="S39" s="1575">
        <f t="shared" si="12"/>
        <v>100</v>
      </c>
      <c r="T39" s="1574" t="s">
        <v>11</v>
      </c>
      <c r="U39" s="1575">
        <f t="shared" si="13"/>
        <v>100</v>
      </c>
      <c r="V39" s="1574" t="s">
        <v>11</v>
      </c>
      <c r="W39" s="1575">
        <f t="shared" si="14"/>
        <v>100</v>
      </c>
      <c r="X39" s="1568"/>
      <c r="Y39" s="3525"/>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525"/>
      <c r="Q40" s="1573" t="str">
        <f t="shared" si="11"/>
        <v>房型</v>
      </c>
      <c r="R40" s="1574" t="s">
        <v>11</v>
      </c>
      <c r="S40" s="1575">
        <f t="shared" si="12"/>
        <v>100</v>
      </c>
      <c r="T40" s="1574" t="s">
        <v>11</v>
      </c>
      <c r="U40" s="1575">
        <f t="shared" si="13"/>
        <v>100</v>
      </c>
      <c r="V40" s="1574" t="s">
        <v>11</v>
      </c>
      <c r="W40" s="1575">
        <f t="shared" si="14"/>
        <v>100</v>
      </c>
      <c r="X40" s="1568"/>
      <c r="Y40" s="3525"/>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525"/>
      <c r="Q41" s="1606" t="str">
        <f t="shared" si="11"/>
        <v>单套/主力户型建筑面积</v>
      </c>
      <c r="R41" s="1578" t="s">
        <v>11</v>
      </c>
      <c r="S41" s="1579">
        <f t="shared" si="12"/>
        <v>100</v>
      </c>
      <c r="T41" s="1578" t="s">
        <v>11</v>
      </c>
      <c r="U41" s="1579">
        <f t="shared" si="13"/>
        <v>100</v>
      </c>
      <c r="V41" s="1578" t="s">
        <v>11</v>
      </c>
      <c r="W41" s="1579">
        <f t="shared" si="14"/>
        <v>100</v>
      </c>
      <c r="X41" s="1580"/>
      <c r="Y41" s="3525"/>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525"/>
      <c r="Q42" s="1573" t="str">
        <f t="shared" si="11"/>
        <v>内部装修</v>
      </c>
      <c r="R42" s="1574" t="s">
        <v>11</v>
      </c>
      <c r="S42" s="1575">
        <f t="shared" si="12"/>
        <v>100</v>
      </c>
      <c r="T42" s="1574" t="s">
        <v>11</v>
      </c>
      <c r="U42" s="1575">
        <f t="shared" si="13"/>
        <v>100</v>
      </c>
      <c r="V42" s="1574" t="s">
        <v>11</v>
      </c>
      <c r="W42" s="1575">
        <f t="shared" si="14"/>
        <v>100</v>
      </c>
      <c r="X42" s="1568"/>
      <c r="Y42" s="3525"/>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525"/>
      <c r="Q43" s="1573" t="str">
        <f t="shared" si="11"/>
        <v>内部装修维护情况</v>
      </c>
      <c r="R43" s="1574" t="s">
        <v>11</v>
      </c>
      <c r="S43" s="1575">
        <f t="shared" si="12"/>
        <v>100</v>
      </c>
      <c r="T43" s="1574" t="s">
        <v>11</v>
      </c>
      <c r="U43" s="1575">
        <f t="shared" si="13"/>
        <v>100</v>
      </c>
      <c r="V43" s="1574" t="s">
        <v>11</v>
      </c>
      <c r="W43" s="1575">
        <f t="shared" si="14"/>
        <v>100</v>
      </c>
      <c r="X43" s="1568"/>
      <c r="Y43" s="35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525"/>
      <c r="Q44" s="1151">
        <f t="shared" si="11"/>
        <v>111</v>
      </c>
      <c r="R44" s="1569" t="s">
        <v>11</v>
      </c>
      <c r="S44" s="1570">
        <f t="shared" si="12"/>
        <v>100</v>
      </c>
      <c r="T44" s="1569" t="s">
        <v>11</v>
      </c>
      <c r="U44" s="1570">
        <f t="shared" si="13"/>
        <v>100</v>
      </c>
      <c r="V44" s="1569" t="s">
        <v>11</v>
      </c>
      <c r="W44" s="1570">
        <f t="shared" si="14"/>
        <v>100</v>
      </c>
      <c r="X44" s="1571"/>
      <c r="Y44" s="35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525"/>
      <c r="Q45" s="1573">
        <f t="shared" si="11"/>
        <v>111</v>
      </c>
      <c r="R45" s="1574" t="s">
        <v>11</v>
      </c>
      <c r="S45" s="1575">
        <f t="shared" si="12"/>
        <v>100</v>
      </c>
      <c r="T45" s="1574" t="s">
        <v>11</v>
      </c>
      <c r="U45" s="1575">
        <f t="shared" si="13"/>
        <v>100</v>
      </c>
      <c r="V45" s="1574" t="s">
        <v>11</v>
      </c>
      <c r="W45" s="1575">
        <f t="shared" si="14"/>
        <v>100</v>
      </c>
      <c r="X45" s="1568"/>
      <c r="Y45" s="352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84"/>
      <c r="Q46" s="1573">
        <f t="shared" si="11"/>
        <v>111</v>
      </c>
      <c r="R46" s="1574" t="s">
        <v>10</v>
      </c>
      <c r="S46" s="1575">
        <f t="shared" si="12"/>
        <v>100</v>
      </c>
      <c r="T46" s="1574" t="s">
        <v>10</v>
      </c>
      <c r="U46" s="1575">
        <f t="shared" si="13"/>
        <v>100</v>
      </c>
      <c r="V46" s="1574" t="s">
        <v>10</v>
      </c>
      <c r="W46" s="1575">
        <f t="shared" si="14"/>
        <v>100</v>
      </c>
      <c r="X46" s="1568"/>
      <c r="Y46" s="3584"/>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88" t="str">
        <f>A47</f>
        <v>成交单价（元/平方米）</v>
      </c>
      <c r="Q47" s="3488"/>
      <c r="R47" s="3583">
        <f>E47</f>
        <v>0</v>
      </c>
      <c r="S47" s="3583"/>
      <c r="T47" s="3583">
        <f>G47</f>
        <v>0</v>
      </c>
      <c r="U47" s="3583"/>
      <c r="V47" s="3583">
        <f>I47</f>
        <v>0</v>
      </c>
      <c r="W47" s="3583"/>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488" t="str">
        <f>A48</f>
        <v>比较价格（元/平方米）</v>
      </c>
      <c r="Q48" s="3488"/>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85" t="str">
        <f>A49</f>
        <v>估价对象XX用房的比较价格（楼面单价，元/平方米）</v>
      </c>
      <c r="Q49" s="3486"/>
      <c r="R49" s="3582" t="e">
        <f>IF(F1="售价",ROUND(AVERAGE(R48:V48),0),ROUND(AVERAGE(R48:V48),1))</f>
        <v>#DIV/0!</v>
      </c>
      <c r="S49" s="3582"/>
      <c r="T49" s="3582"/>
      <c r="U49" s="3582"/>
      <c r="V49" s="3582"/>
      <c r="W49" s="358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2018-4</v>
      </c>
      <c r="D58" s="2806">
        <f>EDATE(C58,-1)</f>
        <v>43160</v>
      </c>
      <c r="E58" s="2806">
        <f t="shared" ref="E58:O58" si="16">EDATE(D58,-1)</f>
        <v>43132</v>
      </c>
      <c r="F58" s="2806">
        <f t="shared" si="16"/>
        <v>43101</v>
      </c>
      <c r="G58" s="2806">
        <f t="shared" si="16"/>
        <v>43070</v>
      </c>
      <c r="H58" s="2806">
        <f t="shared" si="16"/>
        <v>43040</v>
      </c>
      <c r="I58" s="2806">
        <f t="shared" si="16"/>
        <v>43009</v>
      </c>
      <c r="J58" s="2806">
        <f t="shared" si="16"/>
        <v>42979</v>
      </c>
      <c r="K58" s="2806">
        <f t="shared" si="16"/>
        <v>42948</v>
      </c>
      <c r="L58" s="2806">
        <f t="shared" si="16"/>
        <v>42917</v>
      </c>
      <c r="M58" s="2806">
        <f t="shared" si="16"/>
        <v>42887</v>
      </c>
      <c r="N58" s="2806">
        <f t="shared" si="16"/>
        <v>42856</v>
      </c>
      <c r="O58" s="2806">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94" t="s">
        <v>522</v>
      </c>
      <c r="D4" s="3495"/>
      <c r="E4" s="3528" t="s">
        <v>523</v>
      </c>
      <c r="F4" s="3529"/>
      <c r="G4" s="3494" t="s">
        <v>524</v>
      </c>
      <c r="H4" s="3495"/>
      <c r="I4" s="3494" t="s">
        <v>525</v>
      </c>
      <c r="J4" s="3495"/>
      <c r="K4" s="514" t="s">
        <v>526</v>
      </c>
      <c r="L4" s="2135"/>
      <c r="M4" s="2136"/>
      <c r="N4" s="2136"/>
      <c r="O4" s="2136"/>
      <c r="P4" s="3496" t="s">
        <v>527</v>
      </c>
      <c r="Q4" s="3497"/>
      <c r="R4" s="3502" t="s">
        <v>523</v>
      </c>
      <c r="S4" s="3503"/>
      <c r="T4" s="3502" t="s">
        <v>524</v>
      </c>
      <c r="U4" s="3503"/>
      <c r="V4" s="3489" t="s">
        <v>525</v>
      </c>
      <c r="W4" s="3489"/>
      <c r="X4" s="1568"/>
      <c r="Y4" s="3502" t="s">
        <v>527</v>
      </c>
      <c r="Z4" s="3503"/>
      <c r="AA4" s="3491" t="s">
        <v>523</v>
      </c>
      <c r="AB4" s="3489" t="s">
        <v>524</v>
      </c>
      <c r="AC4" s="3491" t="s">
        <v>525</v>
      </c>
    </row>
    <row r="5" spans="1:29" ht="15">
      <c r="A5" s="515"/>
      <c r="B5" s="516"/>
      <c r="C5" s="3510" t="s">
        <v>2930</v>
      </c>
      <c r="D5" s="3511"/>
      <c r="E5" s="3530" t="s">
        <v>2931</v>
      </c>
      <c r="F5" s="3531"/>
      <c r="G5" s="3510" t="s">
        <v>2932</v>
      </c>
      <c r="H5" s="3511"/>
      <c r="I5" s="3510" t="s">
        <v>2933</v>
      </c>
      <c r="J5" s="3511"/>
      <c r="K5" s="514"/>
      <c r="L5" s="2135"/>
      <c r="M5" s="2136"/>
      <c r="N5" s="2136"/>
      <c r="O5" s="2136"/>
      <c r="P5" s="3498"/>
      <c r="Q5" s="3499"/>
      <c r="R5" s="3504"/>
      <c r="S5" s="3505"/>
      <c r="T5" s="3504"/>
      <c r="U5" s="3505"/>
      <c r="V5" s="3489"/>
      <c r="W5" s="3489"/>
      <c r="X5" s="1568"/>
      <c r="Y5" s="3504"/>
      <c r="Z5" s="3505"/>
      <c r="AA5" s="3492"/>
      <c r="AB5" s="3489"/>
      <c r="AC5" s="3492"/>
    </row>
    <row r="6" spans="1:29" ht="15.75" thickBot="1">
      <c r="A6" s="517"/>
      <c r="B6" s="518"/>
      <c r="C6" s="3508" t="s">
        <v>2934</v>
      </c>
      <c r="D6" s="3509"/>
      <c r="E6" s="3526" t="s">
        <v>2934</v>
      </c>
      <c r="F6" s="3527"/>
      <c r="G6" s="3508" t="s">
        <v>2934</v>
      </c>
      <c r="H6" s="3509"/>
      <c r="I6" s="3508" t="s">
        <v>2934</v>
      </c>
      <c r="J6" s="3509"/>
      <c r="K6" s="514" t="s">
        <v>528</v>
      </c>
      <c r="L6" s="2135"/>
      <c r="M6" s="2136"/>
      <c r="N6" s="2136"/>
      <c r="O6" s="2136"/>
      <c r="P6" s="3500"/>
      <c r="Q6" s="3501"/>
      <c r="R6" s="3504"/>
      <c r="S6" s="3505"/>
      <c r="T6" s="3506"/>
      <c r="U6" s="3507"/>
      <c r="V6" s="3489"/>
      <c r="W6" s="3489"/>
      <c r="X6" s="1568"/>
      <c r="Y6" s="3506"/>
      <c r="Z6" s="3507"/>
      <c r="AA6" s="3493"/>
      <c r="AB6" s="3489"/>
      <c r="AC6" s="3493"/>
    </row>
    <row r="7" spans="1:29" s="1220" customFormat="1" ht="15.75" thickBot="1">
      <c r="A7" s="2914"/>
      <c r="B7" s="2921" t="s">
        <v>529</v>
      </c>
      <c r="C7" s="519">
        <f>'数据-取费表'!B2</f>
        <v>43205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519" t="s">
        <v>530</v>
      </c>
      <c r="Q7" s="3521"/>
      <c r="R7" s="1569" t="s">
        <v>8</v>
      </c>
      <c r="S7" s="1570">
        <f t="shared" ref="S7:S15" si="0">F7</f>
        <v>0</v>
      </c>
      <c r="T7" s="1569" t="s">
        <v>8</v>
      </c>
      <c r="U7" s="1570">
        <f t="shared" ref="U7:U15" si="1">H7</f>
        <v>0</v>
      </c>
      <c r="V7" s="1569" t="s">
        <v>8</v>
      </c>
      <c r="W7" s="1570">
        <f t="shared" ref="W7:W15" si="2">J7</f>
        <v>0</v>
      </c>
      <c r="X7" s="1571"/>
      <c r="Y7" s="3519" t="s">
        <v>530</v>
      </c>
      <c r="Z7" s="3520"/>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519" t="s">
        <v>533</v>
      </c>
      <c r="Q8" s="3520"/>
      <c r="R8" s="1569" t="s">
        <v>8</v>
      </c>
      <c r="S8" s="1570">
        <f t="shared" si="0"/>
        <v>0</v>
      </c>
      <c r="T8" s="1569" t="s">
        <v>8</v>
      </c>
      <c r="U8" s="1570">
        <f t="shared" si="1"/>
        <v>0</v>
      </c>
      <c r="V8" s="1569" t="s">
        <v>8</v>
      </c>
      <c r="W8" s="1570">
        <f t="shared" si="2"/>
        <v>0</v>
      </c>
      <c r="X8" s="1571"/>
      <c r="Y8" s="3519" t="s">
        <v>533</v>
      </c>
      <c r="Z8" s="3520"/>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88" t="s">
        <v>535</v>
      </c>
      <c r="Q9" s="1151" t="str">
        <f t="shared" ref="Q9:Q15" si="6">B9</f>
        <v>用途</v>
      </c>
      <c r="R9" s="1569" t="s">
        <v>8</v>
      </c>
      <c r="S9" s="1570">
        <f t="shared" si="0"/>
        <v>100</v>
      </c>
      <c r="T9" s="1569" t="s">
        <v>8</v>
      </c>
      <c r="U9" s="1570">
        <f t="shared" si="1"/>
        <v>100</v>
      </c>
      <c r="V9" s="1569" t="s">
        <v>8</v>
      </c>
      <c r="W9" s="1570">
        <f t="shared" si="2"/>
        <v>100</v>
      </c>
      <c r="X9" s="1571"/>
      <c r="Y9" s="341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88"/>
      <c r="Q10" s="1151" t="str">
        <f t="shared" si="6"/>
        <v>土地使用年限（年）</v>
      </c>
      <c r="R10" s="1569" t="s">
        <v>8</v>
      </c>
      <c r="S10" s="1570">
        <f t="shared" si="0"/>
        <v>100</v>
      </c>
      <c r="T10" s="1569" t="s">
        <v>8</v>
      </c>
      <c r="U10" s="1570">
        <f t="shared" si="1"/>
        <v>100</v>
      </c>
      <c r="V10" s="1569" t="s">
        <v>8</v>
      </c>
      <c r="W10" s="1570">
        <f t="shared" si="2"/>
        <v>100</v>
      </c>
      <c r="X10" s="1571"/>
      <c r="Y10" s="341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88"/>
      <c r="Q11" s="1151" t="str">
        <f t="shared" si="6"/>
        <v>容积率</v>
      </c>
      <c r="R11" s="1569" t="s">
        <v>8</v>
      </c>
      <c r="S11" s="1570" t="e">
        <f t="shared" si="0"/>
        <v>#N/A</v>
      </c>
      <c r="T11" s="1569" t="s">
        <v>8</v>
      </c>
      <c r="U11" s="1570" t="e">
        <f t="shared" si="1"/>
        <v>#N/A</v>
      </c>
      <c r="V11" s="1569" t="s">
        <v>8</v>
      </c>
      <c r="W11" s="1570" t="e">
        <f t="shared" si="2"/>
        <v>#N/A</v>
      </c>
      <c r="X11" s="1571"/>
      <c r="Y11" s="341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88"/>
      <c r="Q12" s="1151">
        <f t="shared" si="6"/>
        <v>111</v>
      </c>
      <c r="R12" s="1569" t="s">
        <v>8</v>
      </c>
      <c r="S12" s="1570">
        <f t="shared" si="0"/>
        <v>100</v>
      </c>
      <c r="T12" s="1569" t="s">
        <v>8</v>
      </c>
      <c r="U12" s="1570">
        <f t="shared" si="1"/>
        <v>100</v>
      </c>
      <c r="V12" s="1569" t="s">
        <v>8</v>
      </c>
      <c r="W12" s="1570">
        <f t="shared" si="2"/>
        <v>100</v>
      </c>
      <c r="X12" s="1571"/>
      <c r="Y12" s="3416"/>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88"/>
      <c r="Q13" s="1151">
        <f t="shared" si="6"/>
        <v>111</v>
      </c>
      <c r="R13" s="1569" t="s">
        <v>8</v>
      </c>
      <c r="S13" s="1570">
        <f t="shared" si="0"/>
        <v>100</v>
      </c>
      <c r="T13" s="1569" t="s">
        <v>8</v>
      </c>
      <c r="U13" s="1570">
        <f t="shared" si="1"/>
        <v>100</v>
      </c>
      <c r="V13" s="1569" t="s">
        <v>8</v>
      </c>
      <c r="W13" s="1570">
        <f t="shared" si="2"/>
        <v>100</v>
      </c>
      <c r="X13" s="1571"/>
      <c r="Y13" s="3416"/>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88"/>
      <c r="Q14" s="1151">
        <f t="shared" si="6"/>
        <v>111</v>
      </c>
      <c r="R14" s="1569" t="s">
        <v>8</v>
      </c>
      <c r="S14" s="1570">
        <f t="shared" si="0"/>
        <v>100</v>
      </c>
      <c r="T14" s="1569" t="s">
        <v>8</v>
      </c>
      <c r="U14" s="1570">
        <f t="shared" si="1"/>
        <v>100</v>
      </c>
      <c r="V14" s="1569" t="s">
        <v>8</v>
      </c>
      <c r="W14" s="1570">
        <f t="shared" si="2"/>
        <v>100</v>
      </c>
      <c r="X14" s="1571"/>
      <c r="Y14" s="3416"/>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522" t="s">
        <v>540</v>
      </c>
      <c r="Q15" s="1573" t="str">
        <f t="shared" si="6"/>
        <v>商业繁华度</v>
      </c>
      <c r="R15" s="1574" t="s">
        <v>8</v>
      </c>
      <c r="S15" s="1575">
        <f t="shared" si="0"/>
        <v>100</v>
      </c>
      <c r="T15" s="1574" t="s">
        <v>8</v>
      </c>
      <c r="U15" s="1575">
        <f t="shared" si="1"/>
        <v>100</v>
      </c>
      <c r="V15" s="1574" t="s">
        <v>8</v>
      </c>
      <c r="W15" s="1575">
        <f t="shared" si="2"/>
        <v>100</v>
      </c>
      <c r="X15" s="1568"/>
      <c r="Y15" s="3522"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23"/>
      <c r="Q16" s="1573"/>
      <c r="R16" s="1574"/>
      <c r="S16" s="1575"/>
      <c r="T16" s="1574"/>
      <c r="U16" s="1575"/>
      <c r="V16" s="1574"/>
      <c r="W16" s="1575"/>
      <c r="X16" s="1568"/>
      <c r="Y16" s="3523"/>
      <c r="Z16" s="1576"/>
      <c r="AA16" s="1577">
        <v>1</v>
      </c>
      <c r="AB16" s="1577">
        <v>1</v>
      </c>
      <c r="AC16" s="1577">
        <v>1</v>
      </c>
    </row>
    <row r="17" spans="1:29" ht="142.5">
      <c r="A17" s="532"/>
      <c r="B17" s="871" t="s">
        <v>296</v>
      </c>
      <c r="C17" s="872" t="str">
        <f>估价对象房地状况!C6</f>
        <v>估价对象紧邻城市次干道—欣旺北大街，周边有381路、兴13路等多条公交线路通过，距地铁大兴线（西红门站）约1.2公里，综合评价交通便捷度一般。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523"/>
      <c r="Q17" s="1573" t="str">
        <f>B17</f>
        <v>交通便捷度</v>
      </c>
      <c r="R17" s="1574" t="s">
        <v>8</v>
      </c>
      <c r="S17" s="1575">
        <f>F17</f>
        <v>100</v>
      </c>
      <c r="T17" s="1574" t="s">
        <v>8</v>
      </c>
      <c r="U17" s="1575">
        <f>H17</f>
        <v>100</v>
      </c>
      <c r="V17" s="1574" t="s">
        <v>8</v>
      </c>
      <c r="W17" s="1575">
        <f>J17</f>
        <v>100</v>
      </c>
      <c r="X17" s="1568"/>
      <c r="Y17" s="35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23"/>
      <c r="Q18" s="1573"/>
      <c r="R18" s="1574"/>
      <c r="S18" s="1575"/>
      <c r="T18" s="1574"/>
      <c r="U18" s="1575"/>
      <c r="V18" s="1574"/>
      <c r="W18" s="1575"/>
      <c r="X18" s="1568"/>
      <c r="Y18" s="3523"/>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523"/>
      <c r="Q19" s="1573" t="str">
        <f>B19</f>
        <v>公共配套设施</v>
      </c>
      <c r="R19" s="1574" t="s">
        <v>8</v>
      </c>
      <c r="S19" s="1575">
        <f>F19</f>
        <v>100</v>
      </c>
      <c r="T19" s="1574" t="s">
        <v>8</v>
      </c>
      <c r="U19" s="1575">
        <f>H19</f>
        <v>100</v>
      </c>
      <c r="V19" s="1574" t="s">
        <v>8</v>
      </c>
      <c r="W19" s="1575">
        <f>J19</f>
        <v>100</v>
      </c>
      <c r="X19" s="1568"/>
      <c r="Y19" s="352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523"/>
      <c r="Q20" s="1573"/>
      <c r="R20" s="1574"/>
      <c r="S20" s="1575"/>
      <c r="T20" s="1574"/>
      <c r="U20" s="1575"/>
      <c r="V20" s="1574"/>
      <c r="W20" s="1575"/>
      <c r="X20" s="1568"/>
      <c r="Y20" s="3523"/>
      <c r="Z20" s="1576"/>
      <c r="AA20" s="1577">
        <v>1</v>
      </c>
      <c r="AB20" s="1577">
        <v>1</v>
      </c>
      <c r="AC20" s="1577">
        <v>1</v>
      </c>
    </row>
    <row r="21" spans="1:29" ht="15">
      <c r="A21" s="532"/>
      <c r="B21" s="2595"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523"/>
      <c r="Q21" s="2581" t="str">
        <f>B21</f>
        <v>基础设施水平</v>
      </c>
      <c r="R21" s="1574" t="s">
        <v>8</v>
      </c>
      <c r="S21" s="1575">
        <f>F21</f>
        <v>100</v>
      </c>
      <c r="T21" s="1574" t="s">
        <v>8</v>
      </c>
      <c r="U21" s="1575">
        <f>H21</f>
        <v>100</v>
      </c>
      <c r="V21" s="1574" t="s">
        <v>8</v>
      </c>
      <c r="W21" s="1575">
        <f>J21</f>
        <v>100</v>
      </c>
      <c r="X21" s="2583"/>
      <c r="Y21" s="352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523"/>
      <c r="Q22" s="2581"/>
      <c r="R22" s="1574"/>
      <c r="S22" s="1575"/>
      <c r="T22" s="1574"/>
      <c r="U22" s="1575"/>
      <c r="V22" s="1574"/>
      <c r="W22" s="1575"/>
      <c r="X22" s="2583"/>
      <c r="Y22" s="3523"/>
      <c r="Z22" s="2582"/>
      <c r="AA22" s="1577">
        <v>1</v>
      </c>
      <c r="AB22" s="1577">
        <v>1</v>
      </c>
      <c r="AC22" s="1577">
        <v>1</v>
      </c>
    </row>
    <row r="23" spans="1:29" ht="114">
      <c r="A23" s="532"/>
      <c r="B23" s="871" t="s">
        <v>297</v>
      </c>
      <c r="C23" s="900" t="str">
        <f>估价对象房地状况!C9</f>
        <v>区域自然环境：西红门九龙口休闲公园、兴海公园等；人文环境：快乐392高尔夫俱乐部等；综合评价环境状况较好。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523"/>
      <c r="Q23" s="1573" t="str">
        <f>B23</f>
        <v>自然及人文环境</v>
      </c>
      <c r="R23" s="1574" t="s">
        <v>8</v>
      </c>
      <c r="S23" s="1575">
        <f>F23</f>
        <v>100</v>
      </c>
      <c r="T23" s="1574" t="s">
        <v>8</v>
      </c>
      <c r="U23" s="1575">
        <f>H23</f>
        <v>100</v>
      </c>
      <c r="V23" s="1574" t="s">
        <v>8</v>
      </c>
      <c r="W23" s="1575">
        <f>J23</f>
        <v>100</v>
      </c>
      <c r="X23" s="1568"/>
      <c r="Y23" s="352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523"/>
      <c r="Q24" s="1573"/>
      <c r="R24" s="1574"/>
      <c r="S24" s="1575"/>
      <c r="T24" s="1574"/>
      <c r="U24" s="1575"/>
      <c r="V24" s="1574"/>
      <c r="W24" s="1575"/>
      <c r="X24" s="1568"/>
      <c r="Y24" s="3523"/>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523"/>
      <c r="Q25" s="1573" t="str">
        <f t="shared" ref="Q25:Q46" si="11">B25</f>
        <v>临街状况</v>
      </c>
      <c r="R25" s="1574" t="s">
        <v>8</v>
      </c>
      <c r="S25" s="1575">
        <f>F25</f>
        <v>100</v>
      </c>
      <c r="T25" s="1574" t="s">
        <v>8</v>
      </c>
      <c r="U25" s="1575">
        <f>H25</f>
        <v>100</v>
      </c>
      <c r="V25" s="1574" t="s">
        <v>8</v>
      </c>
      <c r="W25" s="1575">
        <f>J25</f>
        <v>100</v>
      </c>
      <c r="X25" s="1568"/>
      <c r="Y25" s="3523"/>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523"/>
      <c r="Q26" s="1573" t="str">
        <f t="shared" si="11"/>
        <v>平面位置/可视性</v>
      </c>
      <c r="R26" s="1574" t="s">
        <v>8</v>
      </c>
      <c r="S26" s="1575">
        <f>F26</f>
        <v>100</v>
      </c>
      <c r="T26" s="1574" t="s">
        <v>8</v>
      </c>
      <c r="U26" s="1575">
        <f>H26</f>
        <v>100</v>
      </c>
      <c r="V26" s="1574" t="s">
        <v>8</v>
      </c>
      <c r="W26" s="1575">
        <f>J26</f>
        <v>100</v>
      </c>
      <c r="X26" s="1568"/>
      <c r="Y26" s="3523"/>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523"/>
      <c r="Q27" s="1151" t="str">
        <f t="shared" si="11"/>
        <v>人流量</v>
      </c>
      <c r="R27" s="1569" t="s">
        <v>8</v>
      </c>
      <c r="S27" s="1570">
        <f>F27</f>
        <v>100</v>
      </c>
      <c r="T27" s="1569" t="s">
        <v>8</v>
      </c>
      <c r="U27" s="1570">
        <f>H27</f>
        <v>100</v>
      </c>
      <c r="V27" s="1569" t="s">
        <v>8</v>
      </c>
      <c r="W27" s="1570">
        <f>J27</f>
        <v>100</v>
      </c>
      <c r="X27" s="1571"/>
      <c r="Y27" s="3523"/>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52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2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523"/>
      <c r="Q29" s="1573">
        <f t="shared" si="11"/>
        <v>111</v>
      </c>
      <c r="R29" s="1574" t="s">
        <v>8</v>
      </c>
      <c r="S29" s="1575">
        <f t="shared" si="12"/>
        <v>100</v>
      </c>
      <c r="T29" s="1574" t="s">
        <v>8</v>
      </c>
      <c r="U29" s="1575">
        <f t="shared" si="13"/>
        <v>100</v>
      </c>
      <c r="V29" s="1574" t="s">
        <v>8</v>
      </c>
      <c r="W29" s="1575">
        <f t="shared" si="14"/>
        <v>100</v>
      </c>
      <c r="X29" s="1568"/>
      <c r="Y29" s="35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523"/>
      <c r="Q30" s="1573">
        <f t="shared" si="11"/>
        <v>111</v>
      </c>
      <c r="R30" s="1574" t="s">
        <v>8</v>
      </c>
      <c r="S30" s="1575">
        <f t="shared" si="12"/>
        <v>100</v>
      </c>
      <c r="T30" s="1574" t="s">
        <v>8</v>
      </c>
      <c r="U30" s="1575">
        <f t="shared" si="13"/>
        <v>100</v>
      </c>
      <c r="V30" s="1574" t="s">
        <v>8</v>
      </c>
      <c r="W30" s="1575">
        <f t="shared" si="14"/>
        <v>100</v>
      </c>
      <c r="X30" s="1568"/>
      <c r="Y30" s="352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523"/>
      <c r="Q31" s="1573">
        <f t="shared" si="11"/>
        <v>111</v>
      </c>
      <c r="R31" s="1574" t="s">
        <v>8</v>
      </c>
      <c r="S31" s="1575">
        <f t="shared" si="12"/>
        <v>100</v>
      </c>
      <c r="T31" s="1574" t="s">
        <v>8</v>
      </c>
      <c r="U31" s="1575">
        <f t="shared" si="13"/>
        <v>100</v>
      </c>
      <c r="V31" s="1574" t="s">
        <v>8</v>
      </c>
      <c r="W31" s="1575">
        <f t="shared" si="14"/>
        <v>100</v>
      </c>
      <c r="X31" s="1568"/>
      <c r="Y31" s="3523"/>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524" t="s">
        <v>550</v>
      </c>
      <c r="Q32" s="1573" t="str">
        <f t="shared" si="11"/>
        <v>商业类型</v>
      </c>
      <c r="R32" s="1574" t="s">
        <v>8</v>
      </c>
      <c r="S32" s="1575">
        <f t="shared" si="12"/>
        <v>100</v>
      </c>
      <c r="T32" s="1574" t="s">
        <v>8</v>
      </c>
      <c r="U32" s="1575">
        <f t="shared" si="13"/>
        <v>100</v>
      </c>
      <c r="V32" s="1574" t="s">
        <v>8</v>
      </c>
      <c r="W32" s="1575">
        <f t="shared" si="14"/>
        <v>100</v>
      </c>
      <c r="X32" s="1568"/>
      <c r="Y32" s="3525"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525"/>
      <c r="Q33" s="1606" t="str">
        <f t="shared" si="11"/>
        <v>项目建筑规模</v>
      </c>
      <c r="R33" s="1578" t="s">
        <v>8</v>
      </c>
      <c r="S33" s="1579" t="e">
        <f t="shared" si="12"/>
        <v>#N/A</v>
      </c>
      <c r="T33" s="1578" t="s">
        <v>8</v>
      </c>
      <c r="U33" s="1579" t="e">
        <f t="shared" si="13"/>
        <v>#N/A</v>
      </c>
      <c r="V33" s="1578" t="s">
        <v>8</v>
      </c>
      <c r="W33" s="1579" t="e">
        <f t="shared" si="14"/>
        <v>#N/A</v>
      </c>
      <c r="X33" s="1580"/>
      <c r="Y33" s="352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525"/>
      <c r="Q34" s="1573" t="str">
        <f t="shared" si="11"/>
        <v>建筑结构</v>
      </c>
      <c r="R34" s="1574" t="s">
        <v>8</v>
      </c>
      <c r="S34" s="1575">
        <f t="shared" si="12"/>
        <v>100</v>
      </c>
      <c r="T34" s="1574" t="s">
        <v>8</v>
      </c>
      <c r="U34" s="1575">
        <f t="shared" si="13"/>
        <v>100</v>
      </c>
      <c r="V34" s="1574" t="s">
        <v>8</v>
      </c>
      <c r="W34" s="1575">
        <f t="shared" si="14"/>
        <v>100</v>
      </c>
      <c r="X34" s="1568"/>
      <c r="Y34" s="3525"/>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525"/>
      <c r="Q35" s="1573" t="str">
        <f t="shared" si="11"/>
        <v>公共部分装修</v>
      </c>
      <c r="R35" s="1574" t="s">
        <v>8</v>
      </c>
      <c r="S35" s="1575">
        <f t="shared" si="12"/>
        <v>100</v>
      </c>
      <c r="T35" s="1574" t="s">
        <v>8</v>
      </c>
      <c r="U35" s="1575">
        <f t="shared" si="13"/>
        <v>100</v>
      </c>
      <c r="V35" s="1574" t="s">
        <v>8</v>
      </c>
      <c r="W35" s="1575">
        <f t="shared" si="14"/>
        <v>100</v>
      </c>
      <c r="X35" s="1568"/>
      <c r="Y35" s="3525"/>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525"/>
      <c r="Q36" s="1573" t="str">
        <f t="shared" si="11"/>
        <v>成新度</v>
      </c>
      <c r="R36" s="1574" t="s">
        <v>8</v>
      </c>
      <c r="S36" s="1575" t="e">
        <f t="shared" si="12"/>
        <v>#N/A</v>
      </c>
      <c r="T36" s="1574" t="s">
        <v>8</v>
      </c>
      <c r="U36" s="1575" t="e">
        <f t="shared" si="13"/>
        <v>#N/A</v>
      </c>
      <c r="V36" s="1574" t="s">
        <v>8</v>
      </c>
      <c r="W36" s="1575" t="e">
        <f t="shared" si="14"/>
        <v>#N/A</v>
      </c>
      <c r="X36" s="1568"/>
      <c r="Y36" s="3525"/>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525"/>
      <c r="Q37" s="1151" t="str">
        <f t="shared" si="11"/>
        <v>市政基础设施</v>
      </c>
      <c r="R37" s="1569" t="s">
        <v>8</v>
      </c>
      <c r="S37" s="1570">
        <f t="shared" si="12"/>
        <v>100</v>
      </c>
      <c r="T37" s="1569" t="s">
        <v>8</v>
      </c>
      <c r="U37" s="1570">
        <f t="shared" si="13"/>
        <v>100</v>
      </c>
      <c r="V37" s="1569" t="s">
        <v>8</v>
      </c>
      <c r="W37" s="1570">
        <f t="shared" si="14"/>
        <v>100</v>
      </c>
      <c r="X37" s="1571"/>
      <c r="Y37" s="3525"/>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525" t="s">
        <v>766</v>
      </c>
      <c r="Q38" s="1573" t="str">
        <f t="shared" si="11"/>
        <v>业态</v>
      </c>
      <c r="R38" s="1574" t="s">
        <v>8</v>
      </c>
      <c r="S38" s="1575">
        <f t="shared" si="12"/>
        <v>100</v>
      </c>
      <c r="T38" s="1574" t="s">
        <v>8</v>
      </c>
      <c r="U38" s="1575">
        <f t="shared" si="13"/>
        <v>100</v>
      </c>
      <c r="V38" s="1574" t="s">
        <v>8</v>
      </c>
      <c r="W38" s="1575">
        <f t="shared" si="14"/>
        <v>100</v>
      </c>
      <c r="X38" s="1568"/>
      <c r="Y38" s="3525"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25"/>
      <c r="Q39" s="1573" t="str">
        <f t="shared" si="11"/>
        <v>层高</v>
      </c>
      <c r="R39" s="1574" t="s">
        <v>8</v>
      </c>
      <c r="S39" s="1575">
        <f t="shared" si="12"/>
        <v>100</v>
      </c>
      <c r="T39" s="1574" t="s">
        <v>8</v>
      </c>
      <c r="U39" s="1575">
        <f t="shared" si="13"/>
        <v>100</v>
      </c>
      <c r="V39" s="1574" t="s">
        <v>8</v>
      </c>
      <c r="W39" s="1575">
        <f t="shared" si="14"/>
        <v>100</v>
      </c>
      <c r="X39" s="1568"/>
      <c r="Y39" s="352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525"/>
      <c r="Q40" s="1573" t="str">
        <f t="shared" si="11"/>
        <v>单套建筑面积</v>
      </c>
      <c r="R40" s="1574" t="s">
        <v>8</v>
      </c>
      <c r="S40" s="1575">
        <f t="shared" si="12"/>
        <v>100</v>
      </c>
      <c r="T40" s="1574" t="s">
        <v>8</v>
      </c>
      <c r="U40" s="1575">
        <f t="shared" si="13"/>
        <v>100</v>
      </c>
      <c r="V40" s="1574" t="s">
        <v>8</v>
      </c>
      <c r="W40" s="1575">
        <f t="shared" si="14"/>
        <v>100</v>
      </c>
      <c r="X40" s="1568"/>
      <c r="Y40" s="3525"/>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525"/>
      <c r="Q41" s="1606" t="str">
        <f t="shared" si="11"/>
        <v>进深比</v>
      </c>
      <c r="R41" s="1578" t="s">
        <v>8</v>
      </c>
      <c r="S41" s="1579">
        <f t="shared" si="12"/>
        <v>100</v>
      </c>
      <c r="T41" s="1578" t="s">
        <v>8</v>
      </c>
      <c r="U41" s="1579">
        <f t="shared" si="13"/>
        <v>100</v>
      </c>
      <c r="V41" s="1578" t="s">
        <v>8</v>
      </c>
      <c r="W41" s="1579">
        <f t="shared" si="14"/>
        <v>100</v>
      </c>
      <c r="X41" s="1580"/>
      <c r="Y41" s="3525"/>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525"/>
      <c r="Q42" s="1573" t="str">
        <f t="shared" si="11"/>
        <v>内部装修</v>
      </c>
      <c r="R42" s="1574" t="s">
        <v>8</v>
      </c>
      <c r="S42" s="1575">
        <f t="shared" si="12"/>
        <v>100</v>
      </c>
      <c r="T42" s="1574" t="s">
        <v>8</v>
      </c>
      <c r="U42" s="1575">
        <f t="shared" si="13"/>
        <v>100</v>
      </c>
      <c r="V42" s="1574" t="s">
        <v>8</v>
      </c>
      <c r="W42" s="1575">
        <f t="shared" si="14"/>
        <v>100</v>
      </c>
      <c r="X42" s="1568"/>
      <c r="Y42" s="3525"/>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525"/>
      <c r="Q43" s="1573" t="str">
        <f t="shared" si="11"/>
        <v>内部装修维护情况</v>
      </c>
      <c r="R43" s="1574" t="s">
        <v>8</v>
      </c>
      <c r="S43" s="1575">
        <f t="shared" si="12"/>
        <v>100</v>
      </c>
      <c r="T43" s="1574" t="s">
        <v>8</v>
      </c>
      <c r="U43" s="1575">
        <f t="shared" si="13"/>
        <v>100</v>
      </c>
      <c r="V43" s="1574" t="s">
        <v>8</v>
      </c>
      <c r="W43" s="1575">
        <f t="shared" si="14"/>
        <v>100</v>
      </c>
      <c r="X43" s="1568"/>
      <c r="Y43" s="35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525"/>
      <c r="Q44" s="1151">
        <f t="shared" si="11"/>
        <v>111</v>
      </c>
      <c r="R44" s="1569" t="s">
        <v>8</v>
      </c>
      <c r="S44" s="1570">
        <f t="shared" si="12"/>
        <v>100</v>
      </c>
      <c r="T44" s="1569" t="s">
        <v>8</v>
      </c>
      <c r="U44" s="1570">
        <f t="shared" si="13"/>
        <v>100</v>
      </c>
      <c r="V44" s="1569" t="s">
        <v>8</v>
      </c>
      <c r="W44" s="1570">
        <f t="shared" si="14"/>
        <v>100</v>
      </c>
      <c r="X44" s="1571"/>
      <c r="Y44" s="35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525"/>
      <c r="Q45" s="1573">
        <f t="shared" si="11"/>
        <v>111</v>
      </c>
      <c r="R45" s="1574" t="s">
        <v>8</v>
      </c>
      <c r="S45" s="1575">
        <f t="shared" si="12"/>
        <v>100</v>
      </c>
      <c r="T45" s="1574" t="s">
        <v>8</v>
      </c>
      <c r="U45" s="1575">
        <f t="shared" si="13"/>
        <v>100</v>
      </c>
      <c r="V45" s="1574" t="s">
        <v>8</v>
      </c>
      <c r="W45" s="1575">
        <f t="shared" si="14"/>
        <v>100</v>
      </c>
      <c r="X45" s="1568"/>
      <c r="Y45" s="352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84"/>
      <c r="Q46" s="1573">
        <f t="shared" si="11"/>
        <v>111</v>
      </c>
      <c r="R46" s="1574" t="s">
        <v>8</v>
      </c>
      <c r="S46" s="1575">
        <f t="shared" si="12"/>
        <v>100</v>
      </c>
      <c r="T46" s="1574" t="s">
        <v>8</v>
      </c>
      <c r="U46" s="1575">
        <f t="shared" si="13"/>
        <v>100</v>
      </c>
      <c r="V46" s="1574" t="s">
        <v>8</v>
      </c>
      <c r="W46" s="1575">
        <f t="shared" si="14"/>
        <v>100</v>
      </c>
      <c r="X46" s="1568"/>
      <c r="Y46" s="3584"/>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88" t="str">
        <f>A47</f>
        <v>成交单价（元/平方米）</v>
      </c>
      <c r="Q47" s="3488"/>
      <c r="R47" s="3583">
        <f>E47</f>
        <v>0</v>
      </c>
      <c r="S47" s="3583"/>
      <c r="T47" s="3583">
        <f>G47</f>
        <v>0</v>
      </c>
      <c r="U47" s="3583"/>
      <c r="V47" s="3583">
        <f>I47</f>
        <v>0</v>
      </c>
      <c r="W47" s="3583"/>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88" t="str">
        <f>A48</f>
        <v>比较价格（元/平方米）</v>
      </c>
      <c r="Q48" s="3488"/>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85" t="str">
        <f>A49</f>
        <v>估价对象XX用房的比较价格（楼面单价，元/平方米）</v>
      </c>
      <c r="Q49" s="3486"/>
      <c r="R49" s="3582" t="e">
        <f>IF(F1="售价",ROUND(AVERAGE(R48:V48),0),ROUND(AVERAGE(R48:V48),1))</f>
        <v>#DIV/0!</v>
      </c>
      <c r="S49" s="3582"/>
      <c r="T49" s="3582"/>
      <c r="U49" s="3582"/>
      <c r="V49" s="3582"/>
      <c r="W49" s="358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2018-4</v>
      </c>
      <c r="D58" s="2806">
        <f>EDATE(C58,-1)</f>
        <v>43160</v>
      </c>
      <c r="E58" s="2806">
        <f t="shared" ref="E58:O58" si="16">EDATE(D58,-1)</f>
        <v>43132</v>
      </c>
      <c r="F58" s="2806">
        <f t="shared" si="16"/>
        <v>43101</v>
      </c>
      <c r="G58" s="2806">
        <f t="shared" si="16"/>
        <v>43070</v>
      </c>
      <c r="H58" s="2806">
        <f t="shared" si="16"/>
        <v>43040</v>
      </c>
      <c r="I58" s="2806">
        <f t="shared" si="16"/>
        <v>43009</v>
      </c>
      <c r="J58" s="2806">
        <f t="shared" si="16"/>
        <v>42979</v>
      </c>
      <c r="K58" s="2806">
        <f t="shared" si="16"/>
        <v>42948</v>
      </c>
      <c r="L58" s="2806">
        <f t="shared" si="16"/>
        <v>42917</v>
      </c>
      <c r="M58" s="2806">
        <f t="shared" si="16"/>
        <v>42887</v>
      </c>
      <c r="N58" s="2806">
        <f t="shared" si="16"/>
        <v>42856</v>
      </c>
      <c r="O58" s="2806">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H45" sqref="H4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1678</v>
      </c>
      <c r="E1" s="506"/>
      <c r="F1" s="2809" t="s">
        <v>3059</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32599</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28697</v>
      </c>
      <c r="C3" s="852" t="s">
        <v>722</v>
      </c>
      <c r="D3" s="851">
        <f>SUMIF('数据-汇总表'!$C19:$C33,D1,'数据-汇总表'!$E19:$E33)</f>
        <v>11359.86</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94" t="s">
        <v>522</v>
      </c>
      <c r="D4" s="3495"/>
      <c r="E4" s="3528" t="s">
        <v>523</v>
      </c>
      <c r="F4" s="3529"/>
      <c r="G4" s="3494" t="s">
        <v>524</v>
      </c>
      <c r="H4" s="3495"/>
      <c r="I4" s="3494" t="s">
        <v>525</v>
      </c>
      <c r="J4" s="3495"/>
      <c r="K4" s="514" t="s">
        <v>526</v>
      </c>
      <c r="L4" s="2135"/>
      <c r="M4" s="2136"/>
      <c r="N4" s="2136"/>
      <c r="O4" s="2136"/>
      <c r="P4" s="3586" t="s">
        <v>527</v>
      </c>
      <c r="Q4" s="3497"/>
      <c r="R4" s="3502" t="s">
        <v>523</v>
      </c>
      <c r="S4" s="3503"/>
      <c r="T4" s="3502" t="s">
        <v>524</v>
      </c>
      <c r="U4" s="3503"/>
      <c r="V4" s="3489" t="s">
        <v>525</v>
      </c>
      <c r="W4" s="3489"/>
      <c r="X4" s="1568"/>
      <c r="Y4" s="3502" t="s">
        <v>527</v>
      </c>
      <c r="Z4" s="3503"/>
      <c r="AA4" s="3491" t="s">
        <v>523</v>
      </c>
      <c r="AB4" s="3491" t="s">
        <v>524</v>
      </c>
      <c r="AC4" s="3491" t="s">
        <v>525</v>
      </c>
    </row>
    <row r="5" spans="1:29" ht="15">
      <c r="A5" s="515"/>
      <c r="B5" s="516"/>
      <c r="C5" s="3590" t="s">
        <v>3061</v>
      </c>
      <c r="D5" s="3511"/>
      <c r="E5" s="3590" t="s">
        <v>3120</v>
      </c>
      <c r="F5" s="3511"/>
      <c r="G5" s="3590" t="s">
        <v>3120</v>
      </c>
      <c r="H5" s="3511"/>
      <c r="I5" s="3590" t="s">
        <v>3119</v>
      </c>
      <c r="J5" s="3511"/>
      <c r="K5" s="514"/>
      <c r="L5" s="2135"/>
      <c r="M5" s="2136"/>
      <c r="N5" s="2136"/>
      <c r="O5" s="2136"/>
      <c r="P5" s="3587"/>
      <c r="Q5" s="3499"/>
      <c r="R5" s="3504"/>
      <c r="S5" s="3505"/>
      <c r="T5" s="3504"/>
      <c r="U5" s="3505"/>
      <c r="V5" s="3489"/>
      <c r="W5" s="3489"/>
      <c r="X5" s="1568"/>
      <c r="Y5" s="3504"/>
      <c r="Z5" s="3505"/>
      <c r="AA5" s="3492"/>
      <c r="AB5" s="3492"/>
      <c r="AC5" s="3492"/>
    </row>
    <row r="6" spans="1:29" ht="15.75" thickBot="1">
      <c r="A6" s="517"/>
      <c r="B6" s="518"/>
      <c r="C6" s="3589" t="s">
        <v>3060</v>
      </c>
      <c r="D6" s="3509"/>
      <c r="E6" s="3591" t="s">
        <v>3121</v>
      </c>
      <c r="F6" s="3527"/>
      <c r="G6" s="3591" t="s">
        <v>3121</v>
      </c>
      <c r="H6" s="3527"/>
      <c r="I6" s="3589" t="s">
        <v>3122</v>
      </c>
      <c r="J6" s="3509"/>
      <c r="K6" s="514" t="s">
        <v>528</v>
      </c>
      <c r="L6" s="2135"/>
      <c r="M6" s="2136"/>
      <c r="N6" s="2136"/>
      <c r="O6" s="2136"/>
      <c r="P6" s="3588"/>
      <c r="Q6" s="3501"/>
      <c r="R6" s="3504"/>
      <c r="S6" s="3505"/>
      <c r="T6" s="3506"/>
      <c r="U6" s="3507"/>
      <c r="V6" s="3489"/>
      <c r="W6" s="3489"/>
      <c r="X6" s="1568"/>
      <c r="Y6" s="3506"/>
      <c r="Z6" s="3507"/>
      <c r="AA6" s="3493"/>
      <c r="AB6" s="3493"/>
      <c r="AC6" s="3493"/>
    </row>
    <row r="7" spans="1:29" s="1220" customFormat="1" ht="15.75" thickBot="1">
      <c r="A7" s="2914"/>
      <c r="B7" s="2921" t="s">
        <v>529</v>
      </c>
      <c r="C7" s="519">
        <f>'数据-取费表'!B2</f>
        <v>43205</v>
      </c>
      <c r="D7" s="520">
        <v>100</v>
      </c>
      <c r="E7" s="521">
        <v>43131</v>
      </c>
      <c r="F7" s="522">
        <f>SUMIF(59:59,YEAR(E7)&amp;"-"&amp;MONTH(E7),60:60)</f>
        <v>97</v>
      </c>
      <c r="G7" s="521">
        <v>43160</v>
      </c>
      <c r="H7" s="520">
        <f>SUMIF(59:59,YEAR(G7)&amp;"-"&amp;MONTH(G7),60:60)</f>
        <v>99</v>
      </c>
      <c r="I7" s="521">
        <v>43004</v>
      </c>
      <c r="J7" s="520">
        <f>SUMIF(59:59,YEAR(I7)&amp;"-"&amp;MONTH(I7),60:60)</f>
        <v>93</v>
      </c>
      <c r="K7" s="524"/>
      <c r="L7" s="2137"/>
      <c r="M7" s="2138"/>
      <c r="N7" s="2138"/>
      <c r="O7" s="2138"/>
      <c r="P7" s="3521" t="s">
        <v>530</v>
      </c>
      <c r="Q7" s="3521"/>
      <c r="R7" s="1569" t="s">
        <v>8</v>
      </c>
      <c r="S7" s="1570">
        <f t="shared" ref="S7:S15" si="0">F7</f>
        <v>97</v>
      </c>
      <c r="T7" s="1569" t="s">
        <v>8</v>
      </c>
      <c r="U7" s="1570">
        <f t="shared" ref="U7:U15" si="1">H7</f>
        <v>99</v>
      </c>
      <c r="V7" s="1569" t="s">
        <v>8</v>
      </c>
      <c r="W7" s="1570">
        <f t="shared" ref="W7:W15" si="2">J7</f>
        <v>93</v>
      </c>
      <c r="X7" s="1571"/>
      <c r="Y7" s="3519" t="s">
        <v>530</v>
      </c>
      <c r="Z7" s="3520"/>
      <c r="AA7" s="1572">
        <f>D7/F7</f>
        <v>1.0309278350515463</v>
      </c>
      <c r="AB7" s="1572">
        <f>D7/H7</f>
        <v>1.0101010101010102</v>
      </c>
      <c r="AC7" s="1572">
        <f>D7/J7</f>
        <v>1.075268817204301</v>
      </c>
    </row>
    <row r="8" spans="1:29" s="1220" customFormat="1" ht="15.75" thickBot="1">
      <c r="A8" s="2915"/>
      <c r="B8" s="2922" t="s">
        <v>531</v>
      </c>
      <c r="C8" s="525" t="s">
        <v>576</v>
      </c>
      <c r="D8" s="520">
        <v>100</v>
      </c>
      <c r="E8" s="525" t="s">
        <v>3088</v>
      </c>
      <c r="F8" s="522">
        <f>SUMIF(62:62,E8,63:63)-SUMIF(62:62,C8,63:63)+100</f>
        <v>100</v>
      </c>
      <c r="G8" s="525" t="s">
        <v>3088</v>
      </c>
      <c r="H8" s="520">
        <f>SUMIF(62:62,G8,63:63)-SUMIF(62:62,C8,63:63)+100</f>
        <v>100</v>
      </c>
      <c r="I8" s="525" t="s">
        <v>3088</v>
      </c>
      <c r="J8" s="520">
        <f>SUMIF(62:62,I8,63:63)-SUMIF(62:62,C8,63:63)+100</f>
        <v>100</v>
      </c>
      <c r="K8" s="524"/>
      <c r="L8" s="2137"/>
      <c r="M8" s="2138"/>
      <c r="N8" s="2138"/>
      <c r="O8" s="2138"/>
      <c r="P8" s="3521" t="s">
        <v>533</v>
      </c>
      <c r="Q8" s="3520"/>
      <c r="R8" s="1569" t="s">
        <v>8</v>
      </c>
      <c r="S8" s="1570">
        <f t="shared" si="0"/>
        <v>100</v>
      </c>
      <c r="T8" s="1569" t="s">
        <v>8</v>
      </c>
      <c r="U8" s="1570">
        <f t="shared" si="1"/>
        <v>100</v>
      </c>
      <c r="V8" s="1569" t="s">
        <v>8</v>
      </c>
      <c r="W8" s="1570">
        <f t="shared" si="2"/>
        <v>100</v>
      </c>
      <c r="X8" s="1571"/>
      <c r="Y8" s="3519" t="s">
        <v>533</v>
      </c>
      <c r="Z8" s="3520"/>
      <c r="AA8" s="1572">
        <f t="shared" ref="AA8:AA47" si="3">D8/F8</f>
        <v>1</v>
      </c>
      <c r="AB8" s="1572">
        <f t="shared" ref="AB8:AB47" si="4">D8/H8</f>
        <v>1</v>
      </c>
      <c r="AC8" s="1572">
        <f t="shared" ref="AC8:AC47" si="5">D8/J8</f>
        <v>1</v>
      </c>
    </row>
    <row r="9" spans="1:29" s="1220" customFormat="1" ht="15">
      <c r="A9" s="2916"/>
      <c r="B9" s="2923" t="s">
        <v>2759</v>
      </c>
      <c r="C9" s="3218" t="s">
        <v>3087</v>
      </c>
      <c r="D9" s="254">
        <v>100</v>
      </c>
      <c r="E9" s="860" t="s">
        <v>1678</v>
      </c>
      <c r="F9" s="254">
        <f>SUMIF(64:64,E9,65:65)-SUMIF(64:64,C9,65:65)+100</f>
        <v>100</v>
      </c>
      <c r="G9" s="858" t="s">
        <v>1678</v>
      </c>
      <c r="H9" s="254">
        <f>SUMIF(64:64,G9,65:65)-SUMIF(64:64,C9,65:65)+100</f>
        <v>100</v>
      </c>
      <c r="I9" s="858" t="s">
        <v>1678</v>
      </c>
      <c r="J9" s="254">
        <f>SUMIF(64:64,I9,65:65)-SUMIF(64:64,C9,65:65)+100</f>
        <v>100</v>
      </c>
      <c r="K9" s="524"/>
      <c r="L9" s="2137"/>
      <c r="M9" s="2138"/>
      <c r="N9" s="2138"/>
      <c r="O9" s="2138"/>
      <c r="P9" s="3488" t="s">
        <v>535</v>
      </c>
      <c r="Q9" s="1151" t="str">
        <f t="shared" ref="Q9:Q15" si="6">B9</f>
        <v>用途</v>
      </c>
      <c r="R9" s="1569" t="s">
        <v>8</v>
      </c>
      <c r="S9" s="1570">
        <f t="shared" si="0"/>
        <v>100</v>
      </c>
      <c r="T9" s="1569" t="s">
        <v>8</v>
      </c>
      <c r="U9" s="1570">
        <f t="shared" si="1"/>
        <v>100</v>
      </c>
      <c r="V9" s="1569" t="s">
        <v>8</v>
      </c>
      <c r="W9" s="1570">
        <f t="shared" si="2"/>
        <v>100</v>
      </c>
      <c r="X9" s="1571"/>
      <c r="Y9" s="3416" t="s">
        <v>536</v>
      </c>
      <c r="Z9" s="1150" t="str">
        <f t="shared" ref="Z9:Z15" si="7">Q9</f>
        <v>用途</v>
      </c>
      <c r="AA9" s="1572">
        <f t="shared" si="3"/>
        <v>1</v>
      </c>
      <c r="AB9" s="1572">
        <f t="shared" si="4"/>
        <v>1</v>
      </c>
      <c r="AC9" s="1572">
        <f t="shared" si="5"/>
        <v>1</v>
      </c>
    </row>
    <row r="10" spans="1:29" s="1338" customFormat="1" ht="27.75" thickBot="1">
      <c r="A10" s="2917"/>
      <c r="B10" s="2922" t="s">
        <v>2760</v>
      </c>
      <c r="C10" s="861" t="s">
        <v>3089</v>
      </c>
      <c r="D10" s="255">
        <v>100</v>
      </c>
      <c r="E10" s="861" t="s">
        <v>3089</v>
      </c>
      <c r="F10" s="255">
        <f>SUMIF(66:66,E10,67:67)-SUMIF(66:66,C10,67:67)+100</f>
        <v>100</v>
      </c>
      <c r="G10" s="862" t="s">
        <v>3089</v>
      </c>
      <c r="H10" s="255">
        <f>SUMIF(66:66,G10,67:67)-SUMIF(66:66,C10,67:67)+100</f>
        <v>100</v>
      </c>
      <c r="I10" s="861" t="s">
        <v>3089</v>
      </c>
      <c r="J10" s="255">
        <f>SUMIF(66:66,I10,67:67)-SUMIF(66:66,C10,67:67)+100</f>
        <v>100</v>
      </c>
      <c r="K10" s="584">
        <v>1</v>
      </c>
      <c r="L10" s="2140"/>
      <c r="M10" s="2180"/>
      <c r="N10" s="2180"/>
      <c r="O10" s="2180"/>
      <c r="P10" s="3488"/>
      <c r="Q10" s="1151" t="str">
        <f t="shared" si="6"/>
        <v>土地使用年限（年）</v>
      </c>
      <c r="R10" s="1569" t="s">
        <v>8</v>
      </c>
      <c r="S10" s="1570">
        <f t="shared" si="0"/>
        <v>100</v>
      </c>
      <c r="T10" s="1569" t="s">
        <v>8</v>
      </c>
      <c r="U10" s="1570">
        <f t="shared" si="1"/>
        <v>100</v>
      </c>
      <c r="V10" s="1569" t="s">
        <v>8</v>
      </c>
      <c r="W10" s="1570">
        <f t="shared" si="2"/>
        <v>100</v>
      </c>
      <c r="X10" s="1571"/>
      <c r="Y10" s="3416"/>
      <c r="Z10" s="1150" t="str">
        <f t="shared" si="7"/>
        <v>土地使用年限（年）</v>
      </c>
      <c r="AA10" s="1572">
        <f t="shared" si="3"/>
        <v>1</v>
      </c>
      <c r="AB10" s="1572">
        <f t="shared" si="4"/>
        <v>1</v>
      </c>
      <c r="AC10" s="1572">
        <f t="shared" si="5"/>
        <v>1</v>
      </c>
    </row>
    <row r="11" spans="1:29" ht="15.75" hidden="1" thickBot="1">
      <c r="A11" s="2918"/>
      <c r="B11" s="2922" t="s">
        <v>2761</v>
      </c>
      <c r="C11" s="533">
        <v>0</v>
      </c>
      <c r="D11" s="255">
        <v>100</v>
      </c>
      <c r="E11" s="533">
        <v>0</v>
      </c>
      <c r="F11" s="255">
        <f>LOOKUP(E11,69:69,70:70)-LOOKUP(C11,69:69,70:70)+100</f>
        <v>100</v>
      </c>
      <c r="G11" s="534">
        <v>0</v>
      </c>
      <c r="H11" s="255">
        <f>LOOKUP(G11,69:69,70:70)-LOOKUP(C11,69:69,70:70)+100</f>
        <v>100</v>
      </c>
      <c r="I11" s="533">
        <v>0</v>
      </c>
      <c r="J11" s="255">
        <f>LOOKUP(I11,69:69,70:70)-LOOKUP(C11,69:69,70:70)+100</f>
        <v>100</v>
      </c>
      <c r="K11" s="584">
        <v>1</v>
      </c>
      <c r="L11" s="2142"/>
      <c r="M11" s="2136"/>
      <c r="N11" s="2136"/>
      <c r="O11" s="2136"/>
      <c r="P11" s="3488"/>
      <c r="Q11" s="1151" t="str">
        <f t="shared" si="6"/>
        <v>容积率</v>
      </c>
      <c r="R11" s="1569" t="s">
        <v>8</v>
      </c>
      <c r="S11" s="1570">
        <f t="shared" si="0"/>
        <v>100</v>
      </c>
      <c r="T11" s="1569" t="s">
        <v>8</v>
      </c>
      <c r="U11" s="1570">
        <f t="shared" si="1"/>
        <v>100</v>
      </c>
      <c r="V11" s="1569" t="s">
        <v>8</v>
      </c>
      <c r="W11" s="1570">
        <f t="shared" si="2"/>
        <v>100</v>
      </c>
      <c r="X11" s="1571"/>
      <c r="Y11" s="3416"/>
      <c r="Z11" s="1150" t="str">
        <f t="shared" si="7"/>
        <v>容积率</v>
      </c>
      <c r="AA11" s="1572">
        <f t="shared" si="3"/>
        <v>1</v>
      </c>
      <c r="AB11" s="1572">
        <f t="shared" si="4"/>
        <v>1</v>
      </c>
      <c r="AC11" s="1572">
        <f t="shared" si="5"/>
        <v>1</v>
      </c>
    </row>
    <row r="12" spans="1:29" s="1220" customFormat="1" ht="15" hidden="1">
      <c r="A12" s="2919"/>
      <c r="B12" s="2925">
        <v>111</v>
      </c>
      <c r="C12" s="528"/>
      <c r="D12" s="538">
        <v>100</v>
      </c>
      <c r="E12" s="528"/>
      <c r="F12" s="255">
        <f>SUMIF(71:71,E12,72:72)-SUMIF(71:71,C12,72:72)+100</f>
        <v>100</v>
      </c>
      <c r="G12" s="3217"/>
      <c r="H12" s="255">
        <f>SUMIF(71:71,G15,72:72)-SUMIF(71:71,C12,72:72)+100</f>
        <v>100</v>
      </c>
      <c r="I12" s="528"/>
      <c r="J12" s="255">
        <f>SUMIF(71:71,I12,72:72)-SUMIF(71:71,C12,72:72)+100</f>
        <v>100</v>
      </c>
      <c r="K12" s="581"/>
      <c r="L12" s="2137"/>
      <c r="M12" s="2138"/>
      <c r="N12" s="2138"/>
      <c r="O12" s="2138"/>
      <c r="P12" s="3488"/>
      <c r="Q12" s="1151">
        <f t="shared" si="6"/>
        <v>111</v>
      </c>
      <c r="R12" s="1569" t="s">
        <v>8</v>
      </c>
      <c r="S12" s="1570">
        <f t="shared" si="0"/>
        <v>100</v>
      </c>
      <c r="T12" s="1569" t="s">
        <v>8</v>
      </c>
      <c r="U12" s="1570">
        <f t="shared" si="1"/>
        <v>100</v>
      </c>
      <c r="V12" s="1569" t="s">
        <v>8</v>
      </c>
      <c r="W12" s="1570">
        <f t="shared" si="2"/>
        <v>100</v>
      </c>
      <c r="X12" s="1571"/>
      <c r="Y12" s="3416"/>
      <c r="Z12" s="1150">
        <f t="shared" si="7"/>
        <v>111</v>
      </c>
      <c r="AA12" s="1572">
        <f>D12/F12</f>
        <v>1</v>
      </c>
      <c r="AB12" s="1572">
        <f>D12/H12</f>
        <v>1</v>
      </c>
      <c r="AC12" s="1572">
        <f>D12/J12</f>
        <v>1</v>
      </c>
    </row>
    <row r="13" spans="1:29" ht="15" hidden="1">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88"/>
      <c r="Q13" s="1151">
        <f t="shared" si="6"/>
        <v>111</v>
      </c>
      <c r="R13" s="1569" t="s">
        <v>8</v>
      </c>
      <c r="S13" s="1570">
        <f t="shared" si="0"/>
        <v>100</v>
      </c>
      <c r="T13" s="1569" t="s">
        <v>8</v>
      </c>
      <c r="U13" s="1570">
        <f t="shared" si="1"/>
        <v>100</v>
      </c>
      <c r="V13" s="1569" t="s">
        <v>8</v>
      </c>
      <c r="W13" s="1570">
        <f t="shared" si="2"/>
        <v>100</v>
      </c>
      <c r="X13" s="1571"/>
      <c r="Y13" s="3416"/>
      <c r="Z13" s="1150">
        <f t="shared" si="7"/>
        <v>111</v>
      </c>
      <c r="AA13" s="1572">
        <f t="shared" si="3"/>
        <v>1</v>
      </c>
      <c r="AB13" s="1572">
        <f t="shared" si="4"/>
        <v>1</v>
      </c>
      <c r="AC13" s="1572">
        <f t="shared" si="5"/>
        <v>1</v>
      </c>
    </row>
    <row r="14" spans="1:29" ht="15.75" hidden="1"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88"/>
      <c r="Q14" s="1151">
        <f t="shared" si="6"/>
        <v>111</v>
      </c>
      <c r="R14" s="1569" t="s">
        <v>8</v>
      </c>
      <c r="S14" s="1570">
        <f t="shared" si="0"/>
        <v>100</v>
      </c>
      <c r="T14" s="1569" t="s">
        <v>8</v>
      </c>
      <c r="U14" s="1570">
        <f t="shared" si="1"/>
        <v>100</v>
      </c>
      <c r="V14" s="1569" t="s">
        <v>8</v>
      </c>
      <c r="W14" s="1570">
        <f t="shared" si="2"/>
        <v>100</v>
      </c>
      <c r="X14" s="1571"/>
      <c r="Y14" s="3416"/>
      <c r="Z14" s="1150">
        <f t="shared" si="7"/>
        <v>111</v>
      </c>
      <c r="AA14" s="1572">
        <f t="shared" si="3"/>
        <v>1</v>
      </c>
      <c r="AB14" s="1572">
        <f t="shared" si="4"/>
        <v>1</v>
      </c>
      <c r="AC14" s="1572">
        <f t="shared" si="5"/>
        <v>1</v>
      </c>
    </row>
    <row r="15" spans="1:29" ht="71.25">
      <c r="A15" s="2912" t="s">
        <v>2757</v>
      </c>
      <c r="B15" s="547" t="s">
        <v>542</v>
      </c>
      <c r="C15" s="548" t="str">
        <f>估价对象房地状况!C5</f>
        <v>估价对象周边主要以居住为主，办公楼项目较少，办公集聚程度一般。</v>
      </c>
      <c r="D15" s="549">
        <v>100</v>
      </c>
      <c r="E15" s="552"/>
      <c r="F15" s="549">
        <f>SUMIF(77:77,E16,78:78)-SUMIF(77:77,C16,78:78)+100</f>
        <v>102</v>
      </c>
      <c r="G15" s="910"/>
      <c r="H15" s="549">
        <f>SUMIF(77:77,G16,78:78)-SUMIF(77:77,C16,78:78)+100</f>
        <v>102</v>
      </c>
      <c r="I15" s="550"/>
      <c r="J15" s="549">
        <f>SUMIF(77:77,I16,78:78)-SUMIF(77:77,C16,78:78)+100</f>
        <v>102</v>
      </c>
      <c r="K15" s="898">
        <v>2</v>
      </c>
      <c r="L15" s="2144"/>
      <c r="M15" s="2136"/>
      <c r="N15" s="2136"/>
      <c r="O15" s="2136"/>
      <c r="P15" s="3522" t="s">
        <v>540</v>
      </c>
      <c r="Q15" s="1573" t="str">
        <f t="shared" si="6"/>
        <v>办公集聚程度</v>
      </c>
      <c r="R15" s="1574" t="s">
        <v>8</v>
      </c>
      <c r="S15" s="1575">
        <f t="shared" si="0"/>
        <v>102</v>
      </c>
      <c r="T15" s="1574" t="s">
        <v>8</v>
      </c>
      <c r="U15" s="1575">
        <f t="shared" si="1"/>
        <v>102</v>
      </c>
      <c r="V15" s="1574" t="s">
        <v>8</v>
      </c>
      <c r="W15" s="1575">
        <f t="shared" si="2"/>
        <v>102</v>
      </c>
      <c r="X15" s="1568"/>
      <c r="Y15" s="3522" t="s">
        <v>540</v>
      </c>
      <c r="Z15" s="1576" t="str">
        <f t="shared" si="7"/>
        <v>办公集聚程度</v>
      </c>
      <c r="AA15" s="1577">
        <f t="shared" si="3"/>
        <v>0.98039215686274506</v>
      </c>
      <c r="AB15" s="1577">
        <f t="shared" si="4"/>
        <v>0.98039215686274506</v>
      </c>
      <c r="AC15" s="1577">
        <f t="shared" si="5"/>
        <v>0.98039215686274506</v>
      </c>
    </row>
    <row r="16" spans="1:29" ht="15">
      <c r="A16" s="532"/>
      <c r="B16" s="553"/>
      <c r="C16" s="554" t="s">
        <v>3057</v>
      </c>
      <c r="D16" s="555"/>
      <c r="E16" s="576" t="s">
        <v>3058</v>
      </c>
      <c r="F16" s="555"/>
      <c r="G16" s="554" t="s">
        <v>3058</v>
      </c>
      <c r="H16" s="559"/>
      <c r="I16" s="576" t="s">
        <v>3058</v>
      </c>
      <c r="J16" s="555"/>
      <c r="K16" s="899"/>
      <c r="L16" s="2144"/>
      <c r="M16" s="2136"/>
      <c r="N16" s="2136"/>
      <c r="O16" s="2136"/>
      <c r="P16" s="3523"/>
      <c r="Q16" s="1573"/>
      <c r="R16" s="1574"/>
      <c r="S16" s="1575"/>
      <c r="T16" s="1574"/>
      <c r="U16" s="1575"/>
      <c r="V16" s="1574"/>
      <c r="W16" s="1575"/>
      <c r="X16" s="1568"/>
      <c r="Y16" s="3523"/>
      <c r="Z16" s="1576"/>
      <c r="AA16" s="1577">
        <v>1</v>
      </c>
      <c r="AB16" s="1577">
        <v>1</v>
      </c>
      <c r="AC16" s="1577">
        <v>1</v>
      </c>
    </row>
    <row r="17" spans="1:29" ht="147" customHeight="1">
      <c r="A17" s="532"/>
      <c r="B17" s="560" t="s">
        <v>296</v>
      </c>
      <c r="C17" s="573" t="str">
        <f>估价对象房地状况!C6</f>
        <v>估价对象紧邻城市次干道—欣旺北大街，周边有381路、兴13路等多条公交线路通过，距地铁大兴线（西红门站）约1.2公里，综合评价交通便捷度一般。</v>
      </c>
      <c r="D17" s="559">
        <v>100</v>
      </c>
      <c r="E17" s="564"/>
      <c r="F17" s="559">
        <f>SUMIF(79:79,E18,80:80)-SUMIF(79:79,C18,80:80)+100</f>
        <v>100</v>
      </c>
      <c r="G17" s="562"/>
      <c r="H17" s="565">
        <f>SUMIF(79:79,G18,80:80)-SUMIF(79:79,C18,80:80)+100</f>
        <v>100</v>
      </c>
      <c r="I17" s="562"/>
      <c r="J17" s="565">
        <f>SUMIF(79:79,I18,80:80)-SUMIF(79:79,C18,80:80)+100</f>
        <v>100</v>
      </c>
      <c r="K17" s="898">
        <v>2</v>
      </c>
      <c r="L17" s="2144"/>
      <c r="M17" s="2136"/>
      <c r="N17" s="2136"/>
      <c r="O17" s="2136"/>
      <c r="P17" s="3523"/>
      <c r="Q17" s="1573" t="str">
        <f>B17</f>
        <v>交通便捷度</v>
      </c>
      <c r="R17" s="1574" t="s">
        <v>8</v>
      </c>
      <c r="S17" s="1575">
        <f>F17</f>
        <v>100</v>
      </c>
      <c r="T17" s="1574" t="s">
        <v>8</v>
      </c>
      <c r="U17" s="1575">
        <f>H17</f>
        <v>100</v>
      </c>
      <c r="V17" s="1574" t="s">
        <v>8</v>
      </c>
      <c r="W17" s="1575">
        <f>J17</f>
        <v>100</v>
      </c>
      <c r="X17" s="1568"/>
      <c r="Y17" s="3523"/>
      <c r="Z17" s="1576" t="str">
        <f>Q17</f>
        <v>交通便捷度</v>
      </c>
      <c r="AA17" s="1577">
        <f t="shared" si="3"/>
        <v>1</v>
      </c>
      <c r="AB17" s="1577">
        <f t="shared" si="4"/>
        <v>1</v>
      </c>
      <c r="AC17" s="1577">
        <f t="shared" si="5"/>
        <v>1</v>
      </c>
    </row>
    <row r="18" spans="1:29" ht="15">
      <c r="A18" s="532"/>
      <c r="B18" s="566"/>
      <c r="C18" s="567" t="s">
        <v>3057</v>
      </c>
      <c r="D18" s="559"/>
      <c r="E18" s="569" t="s">
        <v>3057</v>
      </c>
      <c r="F18" s="559"/>
      <c r="G18" s="568" t="s">
        <v>3057</v>
      </c>
      <c r="H18" s="555"/>
      <c r="I18" s="568" t="s">
        <v>3057</v>
      </c>
      <c r="J18" s="555"/>
      <c r="K18" s="899"/>
      <c r="L18" s="2144"/>
      <c r="M18" s="2136"/>
      <c r="N18" s="2136"/>
      <c r="O18" s="2136"/>
      <c r="P18" s="3523"/>
      <c r="Q18" s="1573"/>
      <c r="R18" s="1574"/>
      <c r="S18" s="1575"/>
      <c r="T18" s="1574"/>
      <c r="U18" s="1575"/>
      <c r="V18" s="1574"/>
      <c r="W18" s="1575"/>
      <c r="X18" s="1568"/>
      <c r="Y18" s="3523"/>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v>2</v>
      </c>
      <c r="L19" s="2144"/>
      <c r="M19" s="2136"/>
      <c r="N19" s="2136"/>
      <c r="O19" s="2136"/>
      <c r="P19" s="3523"/>
      <c r="Q19" s="1573" t="str">
        <f>B19</f>
        <v>公共配套设施</v>
      </c>
      <c r="R19" s="1574" t="s">
        <v>8</v>
      </c>
      <c r="S19" s="1575">
        <f>F19</f>
        <v>100</v>
      </c>
      <c r="T19" s="1574" t="s">
        <v>8</v>
      </c>
      <c r="U19" s="1575">
        <f>H19</f>
        <v>100</v>
      </c>
      <c r="V19" s="1574" t="s">
        <v>8</v>
      </c>
      <c r="W19" s="1575">
        <f>J19</f>
        <v>100</v>
      </c>
      <c r="X19" s="1568"/>
      <c r="Y19" s="3523"/>
      <c r="Z19" s="1576" t="str">
        <f>Q19</f>
        <v>公共配套设施</v>
      </c>
      <c r="AA19" s="1577">
        <f t="shared" si="3"/>
        <v>1</v>
      </c>
      <c r="AB19" s="1577">
        <f t="shared" si="4"/>
        <v>1</v>
      </c>
      <c r="AC19" s="1577">
        <f t="shared" si="5"/>
        <v>1</v>
      </c>
    </row>
    <row r="20" spans="1:29" ht="15">
      <c r="A20" s="532"/>
      <c r="B20" s="566"/>
      <c r="C20" s="554" t="s">
        <v>3057</v>
      </c>
      <c r="D20" s="555"/>
      <c r="E20" s="558" t="s">
        <v>3057</v>
      </c>
      <c r="F20" s="555"/>
      <c r="G20" s="556" t="s">
        <v>3057</v>
      </c>
      <c r="H20" s="555"/>
      <c r="I20" s="556" t="s">
        <v>3057</v>
      </c>
      <c r="J20" s="555"/>
      <c r="K20" s="899"/>
      <c r="L20" s="2144"/>
      <c r="M20" s="2136"/>
      <c r="N20" s="2136"/>
      <c r="O20" s="2136"/>
      <c r="P20" s="3523"/>
      <c r="Q20" s="1573"/>
      <c r="R20" s="1574"/>
      <c r="S20" s="1575"/>
      <c r="T20" s="1574"/>
      <c r="U20" s="1575"/>
      <c r="V20" s="1574"/>
      <c r="W20" s="1575"/>
      <c r="X20" s="1568"/>
      <c r="Y20" s="3523"/>
      <c r="Z20" s="1576"/>
      <c r="AA20" s="1577">
        <v>1</v>
      </c>
      <c r="AB20" s="1577">
        <v>1</v>
      </c>
      <c r="AC20" s="1577">
        <v>1</v>
      </c>
    </row>
    <row r="21" spans="1:29" ht="15">
      <c r="A21" s="532"/>
      <c r="B21" s="2593" t="s">
        <v>2561</v>
      </c>
      <c r="C21" s="573" t="str">
        <f>估价对象房地状况!C8</f>
        <v>七通</v>
      </c>
      <c r="D21" s="565">
        <v>100</v>
      </c>
      <c r="E21" s="3224" t="s">
        <v>3128</v>
      </c>
      <c r="F21" s="565">
        <f>SUMIF(83:83,E22,84:84)-SUMIF(83:83,C22,84:84)+100</f>
        <v>100</v>
      </c>
      <c r="G21" s="3224" t="s">
        <v>3128</v>
      </c>
      <c r="H21" s="565">
        <f>SUMIF(83:83,G22,84:84)-SUMIF(83:83,C22,84:84)+100</f>
        <v>100</v>
      </c>
      <c r="I21" s="3224" t="s">
        <v>3128</v>
      </c>
      <c r="J21" s="565">
        <f>SUMIF(83:83,I22,84:84)-SUMIF(83:83,C22,84:84)+100</f>
        <v>100</v>
      </c>
      <c r="K21" s="898">
        <v>1</v>
      </c>
      <c r="L21" s="2144"/>
      <c r="M21" s="2136"/>
      <c r="N21" s="2136"/>
      <c r="O21" s="2136"/>
      <c r="P21" s="3523"/>
      <c r="Q21" s="2581" t="str">
        <f>B21</f>
        <v>基础设施水平</v>
      </c>
      <c r="R21" s="1574" t="s">
        <v>8</v>
      </c>
      <c r="S21" s="1575">
        <f>F21</f>
        <v>100</v>
      </c>
      <c r="T21" s="1574" t="s">
        <v>8</v>
      </c>
      <c r="U21" s="1575">
        <f>H21</f>
        <v>100</v>
      </c>
      <c r="V21" s="1574" t="s">
        <v>8</v>
      </c>
      <c r="W21" s="1575">
        <f>J21</f>
        <v>100</v>
      </c>
      <c r="X21" s="2583"/>
      <c r="Y21" s="3523"/>
      <c r="Z21" s="2582" t="str">
        <f>Q21</f>
        <v>基础设施水平</v>
      </c>
      <c r="AA21" s="1577">
        <f t="shared" ref="AA21" si="8">D21/F21</f>
        <v>1</v>
      </c>
      <c r="AB21" s="1577">
        <f t="shared" ref="AB21" si="9">D21/H21</f>
        <v>1</v>
      </c>
      <c r="AC21" s="1577">
        <f t="shared" ref="AC21" si="10">D21/J21</f>
        <v>1</v>
      </c>
    </row>
    <row r="22" spans="1:29" ht="15">
      <c r="A22" s="532"/>
      <c r="B22" s="578"/>
      <c r="C22" s="567" t="s">
        <v>3126</v>
      </c>
      <c r="D22" s="555"/>
      <c r="E22" s="576" t="s">
        <v>3126</v>
      </c>
      <c r="F22" s="555"/>
      <c r="G22" s="554" t="s">
        <v>3126</v>
      </c>
      <c r="H22" s="555"/>
      <c r="I22" s="554" t="s">
        <v>3126</v>
      </c>
      <c r="J22" s="555"/>
      <c r="K22" s="2604"/>
      <c r="L22" s="2144"/>
      <c r="M22" s="2136"/>
      <c r="N22" s="2136"/>
      <c r="O22" s="2136"/>
      <c r="P22" s="3523"/>
      <c r="Q22" s="2581"/>
      <c r="R22" s="1574"/>
      <c r="S22" s="1575"/>
      <c r="T22" s="1574"/>
      <c r="U22" s="1575"/>
      <c r="V22" s="1574"/>
      <c r="W22" s="1575"/>
      <c r="X22" s="2583"/>
      <c r="Y22" s="3523"/>
      <c r="Z22" s="2582"/>
      <c r="AA22" s="1577">
        <v>1</v>
      </c>
      <c r="AB22" s="1577">
        <v>1</v>
      </c>
      <c r="AC22" s="1577">
        <v>1</v>
      </c>
    </row>
    <row r="23" spans="1:29" ht="108.75" customHeight="1">
      <c r="A23" s="532"/>
      <c r="B23" s="560" t="s">
        <v>778</v>
      </c>
      <c r="C23" s="573" t="str">
        <f>估价对象房地状况!C9</f>
        <v>区域自然环境：西红门九龙口休闲公园、兴海公园等；人文环境：快乐392高尔夫俱乐部等；综合评价环境状况较好。</v>
      </c>
      <c r="D23" s="559">
        <v>100</v>
      </c>
      <c r="E23" s="564"/>
      <c r="F23" s="559">
        <f>SUMIF(85:85,E24,86:86)-SUMIF(85:85,C24,86:86)+100</f>
        <v>100</v>
      </c>
      <c r="G23" s="562"/>
      <c r="H23" s="559">
        <f>SUMIF(85:85,G24,86:86)-SUMIF(85:85,C24,86:86)+100</f>
        <v>100</v>
      </c>
      <c r="I23" s="562"/>
      <c r="J23" s="559">
        <f>SUMIF(85:85,I24,86:86)-SUMIF(85:85,C24,86:86)+100</f>
        <v>100</v>
      </c>
      <c r="K23" s="898">
        <v>2</v>
      </c>
      <c r="L23" s="2144"/>
      <c r="M23" s="2136"/>
      <c r="N23" s="2136"/>
      <c r="O23" s="2136"/>
      <c r="P23" s="3523"/>
      <c r="Q23" s="1573" t="str">
        <f>B23</f>
        <v>环境质量</v>
      </c>
      <c r="R23" s="1574" t="s">
        <v>8</v>
      </c>
      <c r="S23" s="1575">
        <f>F23</f>
        <v>100</v>
      </c>
      <c r="T23" s="1574" t="s">
        <v>8</v>
      </c>
      <c r="U23" s="1575">
        <f>H23</f>
        <v>100</v>
      </c>
      <c r="V23" s="1574" t="s">
        <v>8</v>
      </c>
      <c r="W23" s="1575">
        <f>J23</f>
        <v>100</v>
      </c>
      <c r="X23" s="1568"/>
      <c r="Y23" s="3523"/>
      <c r="Z23" s="1576" t="str">
        <f>Q23</f>
        <v>环境质量</v>
      </c>
      <c r="AA23" s="1577">
        <f t="shared" si="3"/>
        <v>1</v>
      </c>
      <c r="AB23" s="1577">
        <f t="shared" si="4"/>
        <v>1</v>
      </c>
      <c r="AC23" s="1577">
        <f t="shared" si="5"/>
        <v>1</v>
      </c>
    </row>
    <row r="24" spans="1:29" ht="15">
      <c r="A24" s="532"/>
      <c r="B24" s="578"/>
      <c r="C24" s="554" t="s">
        <v>3058</v>
      </c>
      <c r="D24" s="555"/>
      <c r="E24" s="558" t="s">
        <v>3058</v>
      </c>
      <c r="F24" s="555"/>
      <c r="G24" s="556" t="s">
        <v>3058</v>
      </c>
      <c r="H24" s="555"/>
      <c r="I24" s="556" t="s">
        <v>3058</v>
      </c>
      <c r="J24" s="555"/>
      <c r="K24" s="899"/>
      <c r="L24" s="2144"/>
      <c r="M24" s="2136"/>
      <c r="N24" s="2136"/>
      <c r="O24" s="2136"/>
      <c r="P24" s="3523"/>
      <c r="Q24" s="1573"/>
      <c r="R24" s="1574"/>
      <c r="S24" s="1575"/>
      <c r="T24" s="1574"/>
      <c r="U24" s="1575"/>
      <c r="V24" s="1574"/>
      <c r="W24" s="1575"/>
      <c r="X24" s="1568"/>
      <c r="Y24" s="3523"/>
      <c r="Z24" s="1576"/>
      <c r="AA24" s="1577">
        <v>1</v>
      </c>
      <c r="AB24" s="1577">
        <v>1</v>
      </c>
      <c r="AC24" s="1577">
        <v>1</v>
      </c>
    </row>
    <row r="25" spans="1:29" ht="27.75">
      <c r="A25" s="515"/>
      <c r="B25" s="560" t="s">
        <v>548</v>
      </c>
      <c r="C25" s="3219" t="s">
        <v>3097</v>
      </c>
      <c r="D25" s="540">
        <v>100</v>
      </c>
      <c r="E25" s="3219" t="s">
        <v>3123</v>
      </c>
      <c r="F25" s="540">
        <f>SUMIF(87:87,E26,88:88)-SUMIF(87:87,C26,88:88)+100</f>
        <v>99</v>
      </c>
      <c r="G25" s="3219" t="s">
        <v>3123</v>
      </c>
      <c r="H25" s="540">
        <f>SUMIF(87:87,G26,88:88)-SUMIF(87:87,C26,88:88)+100</f>
        <v>99</v>
      </c>
      <c r="I25" s="3219" t="s">
        <v>3123</v>
      </c>
      <c r="J25" s="540">
        <f>SUMIF(87:87,I26,88:88)-SUMIF(87:87,C26,88:88)+100</f>
        <v>99</v>
      </c>
      <c r="K25" s="898">
        <v>1</v>
      </c>
      <c r="L25" s="2144"/>
      <c r="M25" s="2136"/>
      <c r="N25" s="2136"/>
      <c r="O25" s="2136"/>
      <c r="P25" s="3523"/>
      <c r="Q25" s="1573" t="str">
        <f>B25</f>
        <v>毗邻道路的类型与等级</v>
      </c>
      <c r="R25" s="1574" t="s">
        <v>8</v>
      </c>
      <c r="S25" s="1575">
        <f>F25</f>
        <v>99</v>
      </c>
      <c r="T25" s="1574" t="s">
        <v>8</v>
      </c>
      <c r="U25" s="1575">
        <f>H25</f>
        <v>99</v>
      </c>
      <c r="V25" s="1574" t="s">
        <v>8</v>
      </c>
      <c r="W25" s="1575">
        <f>J25</f>
        <v>99</v>
      </c>
      <c r="X25" s="1568"/>
      <c r="Y25" s="3523"/>
      <c r="Z25" s="1576" t="str">
        <f>Q25</f>
        <v>毗邻道路的类型与等级</v>
      </c>
      <c r="AA25" s="1577">
        <f t="shared" si="3"/>
        <v>1.0101010101010102</v>
      </c>
      <c r="AB25" s="1577">
        <f t="shared" si="4"/>
        <v>1.0101010101010102</v>
      </c>
      <c r="AC25" s="1577">
        <f t="shared" si="5"/>
        <v>1.0101010101010102</v>
      </c>
    </row>
    <row r="26" spans="1:29" ht="29.25" thickBot="1">
      <c r="A26" s="515"/>
      <c r="B26" s="566"/>
      <c r="C26" s="580" t="s">
        <v>3096</v>
      </c>
      <c r="D26" s="540"/>
      <c r="E26" s="583" t="s">
        <v>3124</v>
      </c>
      <c r="F26" s="540"/>
      <c r="G26" s="580" t="s">
        <v>3124</v>
      </c>
      <c r="H26" s="540"/>
      <c r="I26" s="583" t="s">
        <v>3124</v>
      </c>
      <c r="J26" s="540"/>
      <c r="K26" s="899"/>
      <c r="L26" s="2144"/>
      <c r="M26" s="2136"/>
      <c r="N26" s="2136"/>
      <c r="O26" s="2136"/>
      <c r="P26" s="3523"/>
      <c r="Q26" s="1573"/>
      <c r="R26" s="1574"/>
      <c r="S26" s="1575"/>
      <c r="T26" s="1574"/>
      <c r="U26" s="1575"/>
      <c r="V26" s="1574"/>
      <c r="W26" s="1575"/>
      <c r="X26" s="1568"/>
      <c r="Y26" s="3523"/>
      <c r="Z26" s="1576"/>
      <c r="AA26" s="1577">
        <v>1</v>
      </c>
      <c r="AB26" s="1577">
        <v>1</v>
      </c>
      <c r="AC26" s="1577">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523"/>
      <c r="Q27" s="1573" t="str">
        <f t="shared" ref="Q27:Q47" si="11">B27</f>
        <v>楼层</v>
      </c>
      <c r="R27" s="1574" t="s">
        <v>8</v>
      </c>
      <c r="S27" s="1575">
        <f>F27</f>
        <v>100</v>
      </c>
      <c r="T27" s="1574" t="s">
        <v>8</v>
      </c>
      <c r="U27" s="1575">
        <f>H27</f>
        <v>100</v>
      </c>
      <c r="V27" s="1574" t="s">
        <v>8</v>
      </c>
      <c r="W27" s="1575">
        <f>J27</f>
        <v>100</v>
      </c>
      <c r="X27" s="1568"/>
      <c r="Y27" s="3523"/>
      <c r="Z27" s="1576" t="str">
        <f>Q27</f>
        <v>楼层</v>
      </c>
      <c r="AA27" s="1577">
        <f t="shared" si="3"/>
        <v>1</v>
      </c>
      <c r="AB27" s="1577">
        <f t="shared" si="4"/>
        <v>1</v>
      </c>
      <c r="AC27" s="1577">
        <f t="shared" si="5"/>
        <v>1</v>
      </c>
    </row>
    <row r="28" spans="1:29" s="1220"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523"/>
      <c r="Q28" s="1151" t="str">
        <f t="shared" si="11"/>
        <v>朝向</v>
      </c>
      <c r="R28" s="1569" t="s">
        <v>8</v>
      </c>
      <c r="S28" s="1570">
        <f>F28</f>
        <v>100</v>
      </c>
      <c r="T28" s="1569" t="s">
        <v>8</v>
      </c>
      <c r="U28" s="1570">
        <f>H28</f>
        <v>100</v>
      </c>
      <c r="V28" s="1569" t="s">
        <v>8</v>
      </c>
      <c r="W28" s="1570">
        <f>J28</f>
        <v>100</v>
      </c>
      <c r="X28" s="1571"/>
      <c r="Y28" s="3523"/>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523"/>
      <c r="Q29" s="1573">
        <f t="shared" si="11"/>
        <v>111</v>
      </c>
      <c r="R29" s="1574" t="s">
        <v>8</v>
      </c>
      <c r="S29" s="1575">
        <f t="shared" ref="S29:S47" si="12">F29</f>
        <v>100</v>
      </c>
      <c r="T29" s="1574" t="s">
        <v>8</v>
      </c>
      <c r="U29" s="1575">
        <f t="shared" ref="U29:U47" si="13">H29</f>
        <v>100</v>
      </c>
      <c r="V29" s="1574" t="s">
        <v>8</v>
      </c>
      <c r="W29" s="1575">
        <f t="shared" ref="W29:W47" si="14">J29</f>
        <v>100</v>
      </c>
      <c r="X29" s="1568"/>
      <c r="Y29" s="3523"/>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523"/>
      <c r="Q30" s="1573">
        <f t="shared" si="11"/>
        <v>111</v>
      </c>
      <c r="R30" s="1574" t="s">
        <v>8</v>
      </c>
      <c r="S30" s="1575">
        <f t="shared" si="12"/>
        <v>100</v>
      </c>
      <c r="T30" s="1574" t="s">
        <v>8</v>
      </c>
      <c r="U30" s="1575">
        <f t="shared" si="13"/>
        <v>100</v>
      </c>
      <c r="V30" s="1574" t="s">
        <v>8</v>
      </c>
      <c r="W30" s="1575">
        <f t="shared" si="14"/>
        <v>100</v>
      </c>
      <c r="X30" s="1568"/>
      <c r="Y30" s="3523"/>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523"/>
      <c r="Q31" s="1573">
        <f t="shared" si="11"/>
        <v>111</v>
      </c>
      <c r="R31" s="1574" t="s">
        <v>8</v>
      </c>
      <c r="S31" s="1575">
        <f t="shared" si="12"/>
        <v>100</v>
      </c>
      <c r="T31" s="1574" t="s">
        <v>8</v>
      </c>
      <c r="U31" s="1575">
        <f t="shared" si="13"/>
        <v>100</v>
      </c>
      <c r="V31" s="1574" t="s">
        <v>8</v>
      </c>
      <c r="W31" s="1575">
        <f t="shared" si="14"/>
        <v>100</v>
      </c>
      <c r="X31" s="1568"/>
      <c r="Y31" s="3523"/>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523"/>
      <c r="Q32" s="1573">
        <f t="shared" si="11"/>
        <v>111</v>
      </c>
      <c r="R32" s="1574" t="s">
        <v>8</v>
      </c>
      <c r="S32" s="1575">
        <f t="shared" si="12"/>
        <v>100</v>
      </c>
      <c r="T32" s="1574" t="s">
        <v>8</v>
      </c>
      <c r="U32" s="1575">
        <f t="shared" si="13"/>
        <v>100</v>
      </c>
      <c r="V32" s="1574" t="s">
        <v>8</v>
      </c>
      <c r="W32" s="1575">
        <f t="shared" si="14"/>
        <v>100</v>
      </c>
      <c r="X32" s="1568"/>
      <c r="Y32" s="3523"/>
      <c r="Z32" s="1576">
        <f t="shared" si="15"/>
        <v>111</v>
      </c>
      <c r="AA32" s="1577">
        <f t="shared" si="3"/>
        <v>1</v>
      </c>
      <c r="AB32" s="1577">
        <f t="shared" si="4"/>
        <v>1</v>
      </c>
      <c r="AC32" s="1577">
        <f t="shared" si="5"/>
        <v>1</v>
      </c>
    </row>
    <row r="33" spans="1:29" ht="15">
      <c r="A33" s="2909" t="s">
        <v>2758</v>
      </c>
      <c r="B33" s="172" t="s">
        <v>780</v>
      </c>
      <c r="C33" s="916" t="s">
        <v>3100</v>
      </c>
      <c r="D33" s="597">
        <v>100</v>
      </c>
      <c r="E33" s="916" t="s">
        <v>3100</v>
      </c>
      <c r="F33" s="575">
        <f>SUMIF(101:101,E33,102:102)-SUMIF(101:101,C33,102:102)+100</f>
        <v>100</v>
      </c>
      <c r="G33" s="916" t="s">
        <v>3100</v>
      </c>
      <c r="H33" s="540">
        <f>SUMIF(101:101,G33,102:102)-SUMIF(101:101,C33,102:102)+100</f>
        <v>100</v>
      </c>
      <c r="I33" s="916" t="s">
        <v>3100</v>
      </c>
      <c r="J33" s="597">
        <f>SUMIF(101:101,I33,102:102)-SUMIF(101:101,C33,102:102)+100</f>
        <v>100</v>
      </c>
      <c r="K33" s="584">
        <v>1</v>
      </c>
      <c r="L33" s="2144"/>
      <c r="M33" s="2136"/>
      <c r="N33" s="2136"/>
      <c r="O33" s="2136"/>
      <c r="P33" s="3524" t="s">
        <v>550</v>
      </c>
      <c r="Q33" s="1573" t="str">
        <f t="shared" si="11"/>
        <v>建筑类型</v>
      </c>
      <c r="R33" s="1574" t="s">
        <v>8</v>
      </c>
      <c r="S33" s="1575">
        <f t="shared" si="12"/>
        <v>100</v>
      </c>
      <c r="T33" s="1574" t="s">
        <v>8</v>
      </c>
      <c r="U33" s="1575">
        <f t="shared" si="13"/>
        <v>100</v>
      </c>
      <c r="V33" s="1574" t="s">
        <v>8</v>
      </c>
      <c r="W33" s="1575">
        <f t="shared" si="14"/>
        <v>100</v>
      </c>
      <c r="X33" s="1568"/>
      <c r="Y33" s="3525" t="s">
        <v>550</v>
      </c>
      <c r="Z33" s="1576" t="str">
        <f t="shared" si="15"/>
        <v>建筑类型</v>
      </c>
      <c r="AA33" s="1577">
        <f t="shared" si="3"/>
        <v>1</v>
      </c>
      <c r="AB33" s="1577">
        <f t="shared" si="4"/>
        <v>1</v>
      </c>
      <c r="AC33" s="1577">
        <f t="shared" si="5"/>
        <v>1</v>
      </c>
    </row>
    <row r="34" spans="1:29" s="1339" customFormat="1" ht="15">
      <c r="A34" s="603"/>
      <c r="B34" s="527" t="s">
        <v>726</v>
      </c>
      <c r="C34" s="880">
        <f>'数据-基础表'!B3</f>
        <v>13823.19</v>
      </c>
      <c r="D34" s="255">
        <v>100</v>
      </c>
      <c r="E34" s="880">
        <v>147</v>
      </c>
      <c r="F34" s="863">
        <f>LOOKUP(E34,104:104,105:105)-LOOKUP(C34,104:104,105:105)+100</f>
        <v>104</v>
      </c>
      <c r="G34" s="533">
        <v>170</v>
      </c>
      <c r="H34" s="255">
        <f>LOOKUP(G34,104:104,105:105)-LOOKUP(C34,104:104,105:105)+100</f>
        <v>104</v>
      </c>
      <c r="I34" s="533">
        <v>226</v>
      </c>
      <c r="J34" s="255">
        <f>LOOKUP(I34,104:104,105:105)-LOOKUP(C34,104:104,105:105)+100</f>
        <v>104</v>
      </c>
      <c r="K34" s="581"/>
      <c r="L34" s="2142"/>
      <c r="M34" s="2173"/>
      <c r="N34" s="2173"/>
      <c r="O34" s="2173"/>
      <c r="P34" s="3525"/>
      <c r="Q34" s="1606" t="str">
        <f t="shared" si="11"/>
        <v>项目建筑规模</v>
      </c>
      <c r="R34" s="1578" t="s">
        <v>8</v>
      </c>
      <c r="S34" s="1579">
        <f t="shared" si="12"/>
        <v>104</v>
      </c>
      <c r="T34" s="1578" t="s">
        <v>8</v>
      </c>
      <c r="U34" s="1579">
        <f t="shared" si="13"/>
        <v>104</v>
      </c>
      <c r="V34" s="1578" t="s">
        <v>8</v>
      </c>
      <c r="W34" s="1579">
        <f t="shared" si="14"/>
        <v>104</v>
      </c>
      <c r="X34" s="1580"/>
      <c r="Y34" s="3525"/>
      <c r="Z34" s="1581" t="str">
        <f t="shared" si="15"/>
        <v>项目建筑规模</v>
      </c>
      <c r="AA34" s="1577">
        <f t="shared" si="3"/>
        <v>0.96153846153846156</v>
      </c>
      <c r="AB34" s="1577">
        <f t="shared" si="4"/>
        <v>0.96153846153846156</v>
      </c>
      <c r="AC34" s="1577">
        <f t="shared" si="5"/>
        <v>0.96153846153846156</v>
      </c>
    </row>
    <row r="35" spans="1:29" ht="15">
      <c r="A35" s="594"/>
      <c r="B35" s="527" t="s">
        <v>727</v>
      </c>
      <c r="C35" s="574" t="s">
        <v>3104</v>
      </c>
      <c r="D35" s="540">
        <v>100</v>
      </c>
      <c r="E35" s="574" t="s">
        <v>3104</v>
      </c>
      <c r="F35" s="575">
        <f>SUMIF(106:106,E35,107:107)-SUMIF(106:106,C35,107:107)+100</f>
        <v>100</v>
      </c>
      <c r="G35" s="574" t="s">
        <v>3104</v>
      </c>
      <c r="H35" s="540">
        <f>SUMIF(106:106,G35,107:107)-SUMIF(106:106,C35,107:107)+100</f>
        <v>100</v>
      </c>
      <c r="I35" s="574" t="s">
        <v>3104</v>
      </c>
      <c r="J35" s="540">
        <f>SUMIF(106:106,I35,107:107)-SUMIF(106:106,C35,107:107)+100</f>
        <v>100</v>
      </c>
      <c r="K35" s="584">
        <v>1</v>
      </c>
      <c r="L35" s="2144"/>
      <c r="M35" s="2136"/>
      <c r="N35" s="2136"/>
      <c r="O35" s="2136"/>
      <c r="P35" s="3525"/>
      <c r="Q35" s="1573" t="str">
        <f t="shared" si="11"/>
        <v>建筑结构</v>
      </c>
      <c r="R35" s="1574" t="s">
        <v>8</v>
      </c>
      <c r="S35" s="1575">
        <f t="shared" si="12"/>
        <v>100</v>
      </c>
      <c r="T35" s="1574" t="s">
        <v>8</v>
      </c>
      <c r="U35" s="1575">
        <f t="shared" si="13"/>
        <v>100</v>
      </c>
      <c r="V35" s="1574" t="s">
        <v>8</v>
      </c>
      <c r="W35" s="1575">
        <f t="shared" si="14"/>
        <v>100</v>
      </c>
      <c r="X35" s="1568"/>
      <c r="Y35" s="3525"/>
      <c r="Z35" s="1576" t="str">
        <f t="shared" si="15"/>
        <v>建筑结构</v>
      </c>
      <c r="AA35" s="1577">
        <f t="shared" si="3"/>
        <v>1</v>
      </c>
      <c r="AB35" s="1577">
        <f t="shared" si="4"/>
        <v>1</v>
      </c>
      <c r="AC35" s="1577">
        <f t="shared" si="5"/>
        <v>1</v>
      </c>
    </row>
    <row r="36" spans="1:29" ht="15">
      <c r="A36" s="594"/>
      <c r="B36" s="527" t="s">
        <v>763</v>
      </c>
      <c r="C36" s="574" t="s">
        <v>3108</v>
      </c>
      <c r="D36" s="540">
        <v>100</v>
      </c>
      <c r="E36" s="574" t="s">
        <v>3108</v>
      </c>
      <c r="F36" s="575">
        <f>SUMIF(108:108,E36,109:109)-SUMIF(108:108,C36,109:109)+100</f>
        <v>100</v>
      </c>
      <c r="G36" s="574" t="s">
        <v>3108</v>
      </c>
      <c r="H36" s="540">
        <f>SUMIF(108:108,G36,109:109)-SUMIF(108:108,C36,109:109)+100</f>
        <v>100</v>
      </c>
      <c r="I36" s="574" t="s">
        <v>3108</v>
      </c>
      <c r="J36" s="540">
        <f>SUMIF(108:108,I36,109:109)-SUMIF(108:108,C36,109:109)+100</f>
        <v>100</v>
      </c>
      <c r="K36" s="584">
        <v>1</v>
      </c>
      <c r="L36" s="2144"/>
      <c r="M36" s="2136"/>
      <c r="N36" s="2136"/>
      <c r="O36" s="2136"/>
      <c r="P36" s="3525"/>
      <c r="Q36" s="1573" t="str">
        <f t="shared" si="11"/>
        <v>公共部分装修</v>
      </c>
      <c r="R36" s="1574" t="s">
        <v>8</v>
      </c>
      <c r="S36" s="1575">
        <f t="shared" si="12"/>
        <v>100</v>
      </c>
      <c r="T36" s="1574" t="s">
        <v>8</v>
      </c>
      <c r="U36" s="1575">
        <f t="shared" si="13"/>
        <v>100</v>
      </c>
      <c r="V36" s="1574" t="s">
        <v>8</v>
      </c>
      <c r="W36" s="1575">
        <f t="shared" si="14"/>
        <v>100</v>
      </c>
      <c r="X36" s="1568"/>
      <c r="Y36" s="3525"/>
      <c r="Z36" s="1576" t="str">
        <f t="shared" si="15"/>
        <v>公共部分装修</v>
      </c>
      <c r="AA36" s="1577">
        <f t="shared" si="3"/>
        <v>1</v>
      </c>
      <c r="AB36" s="1577">
        <f t="shared" si="4"/>
        <v>1</v>
      </c>
      <c r="AC36" s="1577">
        <f t="shared" si="5"/>
        <v>1</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4"/>
      <c r="M37" s="2136"/>
      <c r="N37" s="2136"/>
      <c r="O37" s="2136"/>
      <c r="P37" s="3525"/>
      <c r="Q37" s="1573" t="str">
        <f t="shared" si="11"/>
        <v>成新度</v>
      </c>
      <c r="R37" s="1574" t="s">
        <v>8</v>
      </c>
      <c r="S37" s="1575">
        <f t="shared" si="12"/>
        <v>100</v>
      </c>
      <c r="T37" s="1574" t="s">
        <v>8</v>
      </c>
      <c r="U37" s="1575">
        <f t="shared" si="13"/>
        <v>100</v>
      </c>
      <c r="V37" s="1574" t="s">
        <v>8</v>
      </c>
      <c r="W37" s="1575">
        <f t="shared" si="14"/>
        <v>100</v>
      </c>
      <c r="X37" s="1568"/>
      <c r="Y37" s="3525"/>
      <c r="Z37" s="1576" t="str">
        <f t="shared" si="15"/>
        <v>成新度</v>
      </c>
      <c r="AA37" s="1577">
        <f t="shared" si="3"/>
        <v>1</v>
      </c>
      <c r="AB37" s="1577">
        <f t="shared" si="4"/>
        <v>1</v>
      </c>
      <c r="AC37" s="1577">
        <f t="shared" si="5"/>
        <v>1</v>
      </c>
    </row>
    <row r="38" spans="1:29" s="1220"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525"/>
      <c r="Q38" s="1151" t="str">
        <f t="shared" si="11"/>
        <v>写字楼等级</v>
      </c>
      <c r="R38" s="1569" t="s">
        <v>8</v>
      </c>
      <c r="S38" s="1570">
        <f t="shared" si="12"/>
        <v>100</v>
      </c>
      <c r="T38" s="1569" t="s">
        <v>8</v>
      </c>
      <c r="U38" s="1570">
        <f t="shared" si="13"/>
        <v>100</v>
      </c>
      <c r="V38" s="1569" t="s">
        <v>8</v>
      </c>
      <c r="W38" s="1570">
        <f t="shared" si="14"/>
        <v>100</v>
      </c>
      <c r="X38" s="1571"/>
      <c r="Y38" s="3525"/>
      <c r="Z38" s="1150" t="str">
        <f t="shared" si="15"/>
        <v>写字楼等级</v>
      </c>
      <c r="AA38" s="1572">
        <f t="shared" si="3"/>
        <v>1</v>
      </c>
      <c r="AB38" s="1572">
        <f t="shared" si="4"/>
        <v>1</v>
      </c>
      <c r="AC38" s="1572">
        <f t="shared" si="5"/>
        <v>1</v>
      </c>
    </row>
    <row r="39" spans="1:29" ht="15">
      <c r="A39" s="594"/>
      <c r="B39" s="527" t="s">
        <v>782</v>
      </c>
      <c r="C39" s="574" t="s">
        <v>3118</v>
      </c>
      <c r="D39" s="540">
        <v>100</v>
      </c>
      <c r="E39" s="574" t="s">
        <v>3118</v>
      </c>
      <c r="F39" s="575">
        <f>SUMIF(115:115,E39,116:116)-SUMIF(115:115,C39,116:116)+100</f>
        <v>100</v>
      </c>
      <c r="G39" s="574" t="s">
        <v>3118</v>
      </c>
      <c r="H39" s="540">
        <f>SUMIF(115:115,G39,116:116)-SUMIF(115:115,C39,116:116)+100</f>
        <v>100</v>
      </c>
      <c r="I39" s="574" t="s">
        <v>3118</v>
      </c>
      <c r="J39" s="540">
        <f>SUMIF(115:115,I39,116:116)-SUMIF(115:115,C39,116:116)+100</f>
        <v>100</v>
      </c>
      <c r="K39" s="584">
        <v>1</v>
      </c>
      <c r="L39" s="2144"/>
      <c r="M39" s="2136"/>
      <c r="N39" s="2136"/>
      <c r="O39" s="2136"/>
      <c r="P39" s="3525" t="s">
        <v>550</v>
      </c>
      <c r="Q39" s="1573" t="str">
        <f t="shared" si="11"/>
        <v>物业管理</v>
      </c>
      <c r="R39" s="1574" t="s">
        <v>8</v>
      </c>
      <c r="S39" s="1575">
        <f t="shared" si="12"/>
        <v>100</v>
      </c>
      <c r="T39" s="1574" t="s">
        <v>8</v>
      </c>
      <c r="U39" s="1575">
        <f t="shared" si="13"/>
        <v>100</v>
      </c>
      <c r="V39" s="1574" t="s">
        <v>8</v>
      </c>
      <c r="W39" s="1575">
        <f t="shared" si="14"/>
        <v>100</v>
      </c>
      <c r="X39" s="1568"/>
      <c r="Y39" s="3525" t="s">
        <v>550</v>
      </c>
      <c r="Z39" s="1576" t="str">
        <f t="shared" si="15"/>
        <v>物业管理</v>
      </c>
      <c r="AA39" s="1577">
        <f t="shared" si="3"/>
        <v>1</v>
      </c>
      <c r="AB39" s="1577">
        <f t="shared" si="4"/>
        <v>1</v>
      </c>
      <c r="AC39" s="1577">
        <f t="shared" si="5"/>
        <v>1</v>
      </c>
    </row>
    <row r="40" spans="1:29" ht="15">
      <c r="A40" s="594"/>
      <c r="B40" s="1897" t="s">
        <v>2568</v>
      </c>
      <c r="C40" s="574" t="s">
        <v>3092</v>
      </c>
      <c r="D40" s="540">
        <v>100</v>
      </c>
      <c r="E40" s="574" t="s">
        <v>3092</v>
      </c>
      <c r="F40" s="575">
        <f>SUMIF(117:117,E40,118:118)-SUMIF(117:117,C40,118:118)+100</f>
        <v>100</v>
      </c>
      <c r="G40" s="574" t="s">
        <v>3092</v>
      </c>
      <c r="H40" s="540">
        <f>SUMIF(117:117,G40,118:118)-SUMIF(117:117,C40,118:118)+100</f>
        <v>100</v>
      </c>
      <c r="I40" s="574" t="s">
        <v>3092</v>
      </c>
      <c r="J40" s="540">
        <f>SUMIF(117:117,I40,118:118)-SUMIF(117:117,C40,118:118)+100</f>
        <v>100</v>
      </c>
      <c r="K40" s="584">
        <v>1</v>
      </c>
      <c r="L40" s="2144"/>
      <c r="M40" s="2136"/>
      <c r="N40" s="2136"/>
      <c r="O40" s="2136"/>
      <c r="P40" s="3525"/>
      <c r="Q40" s="1573" t="str">
        <f t="shared" si="11"/>
        <v>市政基础设施</v>
      </c>
      <c r="R40" s="1574" t="s">
        <v>8</v>
      </c>
      <c r="S40" s="1575">
        <f t="shared" si="12"/>
        <v>100</v>
      </c>
      <c r="T40" s="1574" t="s">
        <v>8</v>
      </c>
      <c r="U40" s="1575">
        <f t="shared" si="13"/>
        <v>100</v>
      </c>
      <c r="V40" s="1574" t="s">
        <v>8</v>
      </c>
      <c r="W40" s="1575">
        <f t="shared" si="14"/>
        <v>100</v>
      </c>
      <c r="X40" s="1568"/>
      <c r="Y40" s="3525"/>
      <c r="Z40" s="1576" t="str">
        <f t="shared" si="15"/>
        <v>市政基础设施</v>
      </c>
      <c r="AA40" s="1577">
        <f t="shared" si="3"/>
        <v>1</v>
      </c>
      <c r="AB40" s="1577">
        <f t="shared" si="4"/>
        <v>1</v>
      </c>
      <c r="AC40" s="1577">
        <f t="shared" si="5"/>
        <v>1</v>
      </c>
    </row>
    <row r="41" spans="1:29" ht="15" hidden="1">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525"/>
      <c r="Q41" s="1573" t="str">
        <f t="shared" si="11"/>
        <v>层高</v>
      </c>
      <c r="R41" s="1574" t="s">
        <v>8</v>
      </c>
      <c r="S41" s="1575">
        <f t="shared" si="12"/>
        <v>100</v>
      </c>
      <c r="T41" s="1574" t="s">
        <v>8</v>
      </c>
      <c r="U41" s="1575">
        <f t="shared" si="13"/>
        <v>100</v>
      </c>
      <c r="V41" s="1574" t="s">
        <v>8</v>
      </c>
      <c r="W41" s="1575">
        <f t="shared" si="14"/>
        <v>100</v>
      </c>
      <c r="X41" s="1568"/>
      <c r="Y41" s="3525"/>
      <c r="Z41" s="1576" t="str">
        <f t="shared" si="15"/>
        <v>层高</v>
      </c>
      <c r="AA41" s="1577">
        <f t="shared" si="3"/>
        <v>1</v>
      </c>
      <c r="AB41" s="1577">
        <f t="shared" si="4"/>
        <v>1</v>
      </c>
      <c r="AC41" s="1577">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525"/>
      <c r="Q42" s="1606" t="str">
        <f t="shared" si="11"/>
        <v>单套建筑面积</v>
      </c>
      <c r="R42" s="1578" t="s">
        <v>8</v>
      </c>
      <c r="S42" s="1579">
        <f t="shared" si="12"/>
        <v>100</v>
      </c>
      <c r="T42" s="1578" t="s">
        <v>8</v>
      </c>
      <c r="U42" s="1579">
        <f t="shared" si="13"/>
        <v>100</v>
      </c>
      <c r="V42" s="1578" t="s">
        <v>8</v>
      </c>
      <c r="W42" s="1579">
        <f t="shared" si="14"/>
        <v>100</v>
      </c>
      <c r="X42" s="1580"/>
      <c r="Y42" s="3525"/>
      <c r="Z42" s="1581" t="str">
        <f t="shared" si="15"/>
        <v>单套建筑面积</v>
      </c>
      <c r="AA42" s="1577">
        <f t="shared" si="3"/>
        <v>1</v>
      </c>
      <c r="AB42" s="1577">
        <f t="shared" si="4"/>
        <v>1</v>
      </c>
      <c r="AC42" s="1577">
        <f t="shared" si="5"/>
        <v>1</v>
      </c>
    </row>
    <row r="43" spans="1:29" ht="15">
      <c r="A43" s="594"/>
      <c r="B43" s="527" t="s">
        <v>770</v>
      </c>
      <c r="C43" s="574" t="s">
        <v>3108</v>
      </c>
      <c r="D43" s="540">
        <v>100</v>
      </c>
      <c r="E43" s="574" t="s">
        <v>3108</v>
      </c>
      <c r="F43" s="575">
        <f>SUMIF(123:123,E43,124:124)-SUMIF(123:123,C43,124:124)+100</f>
        <v>100</v>
      </c>
      <c r="G43" s="574" t="s">
        <v>3108</v>
      </c>
      <c r="H43" s="540">
        <f>SUMIF(123:123,G43,124:124)-SUMIF(123:123,C43,124:124)+100</f>
        <v>100</v>
      </c>
      <c r="I43" s="574" t="s">
        <v>3108</v>
      </c>
      <c r="J43" s="540">
        <f>SUMIF(123:123,I43,124:124)-SUMIF(123:123,C43,124:124)+100</f>
        <v>100</v>
      </c>
      <c r="K43" s="584">
        <v>1</v>
      </c>
      <c r="L43" s="2144"/>
      <c r="M43" s="2136"/>
      <c r="N43" s="2136"/>
      <c r="O43" s="2136"/>
      <c r="P43" s="3525"/>
      <c r="Q43" s="1573" t="str">
        <f t="shared" si="11"/>
        <v>内部装修</v>
      </c>
      <c r="R43" s="1574" t="s">
        <v>8</v>
      </c>
      <c r="S43" s="1575">
        <f t="shared" si="12"/>
        <v>100</v>
      </c>
      <c r="T43" s="1574" t="s">
        <v>8</v>
      </c>
      <c r="U43" s="1575">
        <f t="shared" si="13"/>
        <v>100</v>
      </c>
      <c r="V43" s="1574" t="s">
        <v>8</v>
      </c>
      <c r="W43" s="1575">
        <f t="shared" si="14"/>
        <v>100</v>
      </c>
      <c r="X43" s="1568"/>
      <c r="Y43" s="3525"/>
      <c r="Z43" s="1576" t="str">
        <f t="shared" si="15"/>
        <v>内部装修</v>
      </c>
      <c r="AA43" s="1577">
        <f t="shared" si="3"/>
        <v>1</v>
      </c>
      <c r="AB43" s="1577">
        <f t="shared" si="4"/>
        <v>1</v>
      </c>
      <c r="AC43" s="1577">
        <f t="shared" si="5"/>
        <v>1</v>
      </c>
    </row>
    <row r="44" spans="1:29" ht="27">
      <c r="A44" s="594"/>
      <c r="B44" s="527" t="s">
        <v>735</v>
      </c>
      <c r="C44" s="574" t="s">
        <v>3058</v>
      </c>
      <c r="D44" s="540">
        <v>100</v>
      </c>
      <c r="E44" s="574" t="s">
        <v>3058</v>
      </c>
      <c r="F44" s="575">
        <f>SUMIF(125:125,E44,126:126)-SUMIF(125:125,C44,126:126)+100</f>
        <v>100</v>
      </c>
      <c r="G44" s="574" t="s">
        <v>3058</v>
      </c>
      <c r="H44" s="540">
        <f>SUMIF(125:125,G44,126:126)-SUMIF(125:125,C44,126:126)+100</f>
        <v>100</v>
      </c>
      <c r="I44" s="574" t="s">
        <v>3058</v>
      </c>
      <c r="J44" s="540">
        <f>SUMIF(125:125,I44,126:126)-SUMIF(125:125,C44,126:126)+100</f>
        <v>100</v>
      </c>
      <c r="K44" s="584">
        <v>1</v>
      </c>
      <c r="L44" s="2144"/>
      <c r="M44" s="2136"/>
      <c r="N44" s="2136"/>
      <c r="O44" s="2136"/>
      <c r="P44" s="3525"/>
      <c r="Q44" s="1573" t="str">
        <f t="shared" si="11"/>
        <v>内部装修维护情况</v>
      </c>
      <c r="R44" s="1574" t="s">
        <v>8</v>
      </c>
      <c r="S44" s="1575">
        <f t="shared" si="12"/>
        <v>100</v>
      </c>
      <c r="T44" s="1574" t="s">
        <v>8</v>
      </c>
      <c r="U44" s="1575">
        <f t="shared" si="13"/>
        <v>100</v>
      </c>
      <c r="V44" s="1574" t="s">
        <v>8</v>
      </c>
      <c r="W44" s="1575">
        <f t="shared" si="14"/>
        <v>100</v>
      </c>
      <c r="X44" s="1568"/>
      <c r="Y44" s="3525"/>
      <c r="Z44" s="1576" t="str">
        <f t="shared" si="15"/>
        <v>内部装修维护情况</v>
      </c>
      <c r="AA44" s="1577">
        <f t="shared" si="3"/>
        <v>1</v>
      </c>
      <c r="AB44" s="1577">
        <f t="shared" si="4"/>
        <v>1</v>
      </c>
      <c r="AC44" s="1577">
        <f t="shared" si="5"/>
        <v>1</v>
      </c>
    </row>
    <row r="45" spans="1:29" s="1220" customFormat="1" ht="19.5" customHeight="1" thickBot="1">
      <c r="A45" s="600"/>
      <c r="B45" s="3223" t="s">
        <v>3113</v>
      </c>
      <c r="C45" s="880">
        <v>2017</v>
      </c>
      <c r="D45" s="255">
        <v>100</v>
      </c>
      <c r="E45" s="880">
        <v>2016</v>
      </c>
      <c r="F45" s="863">
        <f>SUMIF(127:127,E45,128:128)-SUMIF(127:127,C45,128:128)+100</f>
        <v>99</v>
      </c>
      <c r="G45" s="880">
        <v>2016</v>
      </c>
      <c r="H45" s="255">
        <f>SUMIF(127:127,G45,128:128)-SUMIF(127:127,C45,128:128)+100</f>
        <v>99</v>
      </c>
      <c r="I45" s="880">
        <v>2017</v>
      </c>
      <c r="J45" s="255">
        <f>SUMIF(127:127,I45,128:128)-SUMIF(127:127,C45,128:128)+100</f>
        <v>100</v>
      </c>
      <c r="K45" s="581"/>
      <c r="L45" s="2137"/>
      <c r="M45" s="2138"/>
      <c r="N45" s="2138"/>
      <c r="O45" s="2138"/>
      <c r="P45" s="3525"/>
      <c r="Q45" s="1151" t="str">
        <f t="shared" si="11"/>
        <v>建成年代（年）</v>
      </c>
      <c r="R45" s="1569" t="s">
        <v>8</v>
      </c>
      <c r="S45" s="1570">
        <f t="shared" si="12"/>
        <v>99</v>
      </c>
      <c r="T45" s="1569" t="s">
        <v>8</v>
      </c>
      <c r="U45" s="1570">
        <f t="shared" si="13"/>
        <v>99</v>
      </c>
      <c r="V45" s="1569" t="s">
        <v>8</v>
      </c>
      <c r="W45" s="1570">
        <f t="shared" si="14"/>
        <v>100</v>
      </c>
      <c r="X45" s="1571"/>
      <c r="Y45" s="3525"/>
      <c r="Z45" s="1150" t="str">
        <f t="shared" si="15"/>
        <v>建成年代（年）</v>
      </c>
      <c r="AA45" s="1572">
        <f t="shared" si="3"/>
        <v>1.0101010101010102</v>
      </c>
      <c r="AB45" s="1572">
        <f t="shared" si="4"/>
        <v>1.0101010101010102</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525"/>
      <c r="Q46" s="1573">
        <f t="shared" si="11"/>
        <v>111</v>
      </c>
      <c r="R46" s="1574" t="s">
        <v>8</v>
      </c>
      <c r="S46" s="1575">
        <f t="shared" si="12"/>
        <v>100</v>
      </c>
      <c r="T46" s="1574" t="s">
        <v>8</v>
      </c>
      <c r="U46" s="1575">
        <f t="shared" si="13"/>
        <v>100</v>
      </c>
      <c r="V46" s="1574" t="s">
        <v>8</v>
      </c>
      <c r="W46" s="1575">
        <f t="shared" si="14"/>
        <v>100</v>
      </c>
      <c r="X46" s="1568"/>
      <c r="Y46" s="3525"/>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84"/>
      <c r="Q47" s="1573">
        <f t="shared" si="11"/>
        <v>111</v>
      </c>
      <c r="R47" s="1574" t="s">
        <v>8</v>
      </c>
      <c r="S47" s="1575">
        <f t="shared" si="12"/>
        <v>100</v>
      </c>
      <c r="T47" s="1574" t="s">
        <v>8</v>
      </c>
      <c r="U47" s="1575">
        <f t="shared" si="13"/>
        <v>100</v>
      </c>
      <c r="V47" s="1574" t="s">
        <v>8</v>
      </c>
      <c r="W47" s="1575">
        <f t="shared" si="14"/>
        <v>100</v>
      </c>
      <c r="X47" s="1568"/>
      <c r="Y47" s="3584"/>
      <c r="Z47" s="1576">
        <f t="shared" si="15"/>
        <v>111</v>
      </c>
      <c r="AA47" s="1577">
        <f t="shared" si="3"/>
        <v>1</v>
      </c>
      <c r="AB47" s="1577">
        <f t="shared" si="4"/>
        <v>1</v>
      </c>
      <c r="AC47" s="1577">
        <f t="shared" si="5"/>
        <v>1</v>
      </c>
    </row>
    <row r="48" spans="1:29" ht="15">
      <c r="A48" s="607" t="s">
        <v>736</v>
      </c>
      <c r="B48" s="887"/>
      <c r="C48" s="2629" t="s">
        <v>1</v>
      </c>
      <c r="D48" s="2630"/>
      <c r="E48" s="2631">
        <v>30714</v>
      </c>
      <c r="F48" s="2632"/>
      <c r="G48" s="2631">
        <v>29586</v>
      </c>
      <c r="H48" s="2634"/>
      <c r="I48" s="2631">
        <v>26264</v>
      </c>
      <c r="J48" s="2634"/>
      <c r="K48" s="1612"/>
      <c r="L48" s="2146"/>
      <c r="M48" s="2136"/>
      <c r="N48" s="2136"/>
      <c r="O48" s="2136"/>
      <c r="P48" s="3486" t="str">
        <f>A48</f>
        <v>成交单价（元/平方米）</v>
      </c>
      <c r="Q48" s="3488"/>
      <c r="R48" s="3583">
        <f>E48</f>
        <v>30714</v>
      </c>
      <c r="S48" s="3583"/>
      <c r="T48" s="3583">
        <f>G48</f>
        <v>29586</v>
      </c>
      <c r="U48" s="3583"/>
      <c r="V48" s="3583">
        <f>I48</f>
        <v>26264</v>
      </c>
      <c r="W48" s="3583"/>
      <c r="X48" s="1560"/>
      <c r="Y48" s="1582"/>
      <c r="Z48" s="1560"/>
      <c r="AA48" s="1560"/>
      <c r="AB48" s="1560"/>
      <c r="AC48" s="1560"/>
    </row>
    <row r="49" spans="1:29" ht="15.75" thickBot="1">
      <c r="A49" s="615" t="s">
        <v>2763</v>
      </c>
      <c r="B49" s="888"/>
      <c r="C49" s="2635">
        <f>R50</f>
        <v>28697</v>
      </c>
      <c r="D49" s="2636"/>
      <c r="E49" s="2637">
        <f>R49</f>
        <v>30455</v>
      </c>
      <c r="F49" s="2637"/>
      <c r="G49" s="2635">
        <f>T49</f>
        <v>28744</v>
      </c>
      <c r="H49" s="2636"/>
      <c r="I49" s="2637">
        <f>V49</f>
        <v>26891</v>
      </c>
      <c r="J49" s="2636"/>
      <c r="K49" s="1613"/>
      <c r="L49" s="2146"/>
      <c r="M49" s="2136"/>
      <c r="N49" s="2136"/>
      <c r="O49" s="2136"/>
      <c r="P49" s="3486" t="str">
        <f>A49</f>
        <v>比较价格（元/平方米）</v>
      </c>
      <c r="Q49" s="3488"/>
      <c r="R49" s="3583">
        <f>IF(F1="售价",ROUND(PRODUCT(R48,AA7:AA47),0),ROUND(PRODUCT(R48,AA7:AA47),1))</f>
        <v>30455</v>
      </c>
      <c r="S49" s="3583"/>
      <c r="T49" s="3583">
        <f>IF(F1="售价",ROUND(PRODUCT(T48,AB7:AB47),0),ROUND(PRODUCT(T48,AB7:AB47),1))</f>
        <v>28744</v>
      </c>
      <c r="U49" s="3583"/>
      <c r="V49" s="3583">
        <f>IF(F1="售价",ROUND(PRODUCT(V48,AC7:AC47),0),ROUND(PRODUCT(V48,AC7:AC47),1))</f>
        <v>26891</v>
      </c>
      <c r="W49" s="3583"/>
      <c r="X49" s="1560"/>
      <c r="Y49" s="1560"/>
      <c r="Z49" s="1560"/>
      <c r="AA49" s="1560"/>
      <c r="AB49" s="1560"/>
      <c r="AC49" s="1560"/>
    </row>
    <row r="50" spans="1:29" ht="15.75" thickBot="1">
      <c r="A50" s="621" t="s">
        <v>2936</v>
      </c>
      <c r="B50" s="622"/>
      <c r="C50" s="2638">
        <f>R50</f>
        <v>28697</v>
      </c>
      <c r="D50" s="2638"/>
      <c r="E50" s="2638"/>
      <c r="F50" s="2638"/>
      <c r="G50" s="2638"/>
      <c r="H50" s="2638"/>
      <c r="I50" s="2638"/>
      <c r="J50" s="2638"/>
      <c r="K50" s="1614"/>
      <c r="L50" s="2146"/>
      <c r="M50" s="2136"/>
      <c r="N50" s="2136"/>
      <c r="O50" s="2136"/>
      <c r="P50" s="3585" t="str">
        <f>A50</f>
        <v>估价对象XX用房的比较价格（楼面单价，元/平方米）</v>
      </c>
      <c r="Q50" s="3486"/>
      <c r="R50" s="3582">
        <f>IF(F1="售价",ROUND(AVERAGE(R49:V49),0),ROUND(AVERAGE(R49:V49),1))</f>
        <v>28697</v>
      </c>
      <c r="S50" s="3582"/>
      <c r="T50" s="3582"/>
      <c r="U50" s="3582"/>
      <c r="V50" s="3582"/>
      <c r="W50" s="358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8.5043506813331504E-3</v>
      </c>
      <c r="F53" s="627" t="str">
        <f>IF(OR(E53&gt;=0.3,E53&lt;=-0.3),"超过30%","")</f>
        <v/>
      </c>
      <c r="G53" s="626">
        <f>IF(G48&lt;G49,G49/G48-1,G48/G49-1)</f>
        <v>2.9293069858057352E-2</v>
      </c>
      <c r="H53" s="627" t="str">
        <f>IF(OR(G53&gt;=0.3,G53&lt;=-0.3),"超过30%","")</f>
        <v/>
      </c>
      <c r="I53" s="626">
        <f>IF(I48&lt;I49,I49/I48-1,I48/I49-1)</f>
        <v>2.3872982028632306E-2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5.9525466184247255E-2</v>
      </c>
      <c r="F54" s="627" t="str">
        <f>IF(OR(E54&gt;=0.2,E54&lt;=-0.2),"超过20%","")</f>
        <v/>
      </c>
      <c r="G54" s="626">
        <f>IF(G49&lt;I49,I49/G49-1,G49/I49-1)</f>
        <v>6.8907813022944575E-2</v>
      </c>
      <c r="H54" s="627" t="str">
        <f>IF(OR(G54&gt;=0.2,G54&lt;=-0.2),"超过20%","")</f>
        <v/>
      </c>
      <c r="I54" s="626">
        <f>IF(I49&lt;E49,E49/I49-1,I49/E49-1)</f>
        <v>0.13253504890111922</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3.8126140742242853E-2</v>
      </c>
      <c r="F55" s="627" t="str">
        <f>IF(OR(E55&gt;=0.3,E55&lt;=-0.3),"超过30%","")</f>
        <v/>
      </c>
      <c r="G55" s="626">
        <f>IF(G48&lt;I48,I48/G48-1,G48/I48-1)</f>
        <v>0.12648492232713981</v>
      </c>
      <c r="H55" s="627" t="str">
        <f>IF(OR(G55&gt;=0.3,G55&lt;=-0.3),"超过30%","")</f>
        <v/>
      </c>
      <c r="I55" s="626">
        <f>IF(I48&lt;E48,E48/I48-1,I48/E48-1)</f>
        <v>0.16943344501979896</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2018-4</v>
      </c>
      <c r="D59" s="2806">
        <f>EDATE(C59,-1)</f>
        <v>43160</v>
      </c>
      <c r="E59" s="2806">
        <f t="shared" ref="E59:O59" si="16">EDATE(D59,-1)</f>
        <v>43132</v>
      </c>
      <c r="F59" s="2806">
        <f t="shared" si="16"/>
        <v>43101</v>
      </c>
      <c r="G59" s="2806">
        <f t="shared" si="16"/>
        <v>43070</v>
      </c>
      <c r="H59" s="2806">
        <f t="shared" si="16"/>
        <v>43040</v>
      </c>
      <c r="I59" s="2806">
        <f t="shared" si="16"/>
        <v>43009</v>
      </c>
      <c r="J59" s="2806">
        <f t="shared" si="16"/>
        <v>42979</v>
      </c>
      <c r="K59" s="2806">
        <f t="shared" si="16"/>
        <v>42948</v>
      </c>
      <c r="L59" s="2806">
        <f t="shared" si="16"/>
        <v>42917</v>
      </c>
      <c r="M59" s="2806">
        <f t="shared" si="16"/>
        <v>42887</v>
      </c>
      <c r="N59" s="2806">
        <f t="shared" si="16"/>
        <v>42856</v>
      </c>
      <c r="O59" s="2806">
        <f t="shared" si="16"/>
        <v>42826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v>99</v>
      </c>
      <c r="E60" s="650">
        <v>98</v>
      </c>
      <c r="F60" s="650">
        <v>97</v>
      </c>
      <c r="G60" s="650">
        <v>96</v>
      </c>
      <c r="H60" s="650">
        <v>95</v>
      </c>
      <c r="I60" s="650">
        <v>94</v>
      </c>
      <c r="J60" s="650">
        <v>93</v>
      </c>
      <c r="K60" s="650">
        <v>92</v>
      </c>
      <c r="L60" s="650">
        <v>91</v>
      </c>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办公</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hidden="1" thickTop="1">
      <c r="A68" s="669"/>
      <c r="B68" s="681" t="s">
        <v>538</v>
      </c>
      <c r="C68" s="682" t="str">
        <f>C69&amp;"（含）"&amp;"-"&amp;D69</f>
        <v>0（含）-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hidden="1">
      <c r="A69" s="669"/>
      <c r="B69" s="683"/>
      <c r="C69" s="541">
        <v>0</v>
      </c>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hidden="1"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hidden="1"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hidden="1"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hidden="1"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hidden="1"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hidden="1"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hidden="1"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ht="15" thickTop="1">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98</v>
      </c>
      <c r="E78" s="679">
        <f>D78-$K15</f>
        <v>96</v>
      </c>
      <c r="F78" s="679">
        <f>E78-$K15</f>
        <v>94</v>
      </c>
      <c r="G78" s="679">
        <f>F78-$K15</f>
        <v>92</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98</v>
      </c>
      <c r="E80" s="679">
        <f>D80-$K17</f>
        <v>96</v>
      </c>
      <c r="F80" s="679">
        <f>E80-$K17</f>
        <v>94</v>
      </c>
      <c r="G80" s="679">
        <f>F80-$K17</f>
        <v>92</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98</v>
      </c>
      <c r="E82" s="679">
        <f>D82-$K19</f>
        <v>96</v>
      </c>
      <c r="F82" s="679">
        <f>E82-$K19</f>
        <v>94</v>
      </c>
      <c r="G82" s="679">
        <f>F82-$K19</f>
        <v>92</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98</v>
      </c>
      <c r="E86" s="679">
        <f>D86-$K23</f>
        <v>96</v>
      </c>
      <c r="F86" s="679">
        <f>E86-$K23</f>
        <v>94</v>
      </c>
      <c r="G86" s="679">
        <f>F86-$K23</f>
        <v>92</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8.5" thickTop="1">
      <c r="A87" s="709"/>
      <c r="B87" s="673" t="s">
        <v>785</v>
      </c>
      <c r="C87" s="3219" t="s">
        <v>3097</v>
      </c>
      <c r="D87" s="3219" t="s">
        <v>3123</v>
      </c>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hidden="1"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hidden="1"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hidden="1"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hidden="1"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hidden="1"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hidden="1"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hidden="1"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hidden="1"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hidden="1"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hidden="1"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hidden="1"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hidden="1"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ht="15" thickTop="1">
      <c r="A101" s="664" t="s">
        <v>551</v>
      </c>
      <c r="B101" s="665" t="s">
        <v>747</v>
      </c>
      <c r="C101" s="3220" t="s">
        <v>3098</v>
      </c>
      <c r="D101" s="598" t="s">
        <v>3099</v>
      </c>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99</v>
      </c>
      <c r="E102" s="679">
        <f t="shared" si="22"/>
        <v>98</v>
      </c>
      <c r="F102" s="679">
        <f t="shared" si="22"/>
        <v>97</v>
      </c>
      <c r="G102" s="679">
        <f t="shared" si="22"/>
        <v>96</v>
      </c>
      <c r="H102" s="679">
        <f t="shared" si="22"/>
        <v>95</v>
      </c>
      <c r="I102" s="679">
        <f t="shared" si="22"/>
        <v>94</v>
      </c>
      <c r="J102" s="679">
        <f t="shared" si="22"/>
        <v>93</v>
      </c>
      <c r="K102" s="679">
        <f t="shared" si="22"/>
        <v>92</v>
      </c>
      <c r="L102" s="679">
        <f t="shared" si="22"/>
        <v>91</v>
      </c>
      <c r="M102" s="680">
        <f t="shared" si="22"/>
        <v>90</v>
      </c>
      <c r="N102" s="2168"/>
      <c r="O102" s="2168"/>
      <c r="P102" s="2216"/>
      <c r="Q102" s="2160"/>
      <c r="R102" s="2147"/>
      <c r="S102" s="2147"/>
      <c r="T102" s="2147"/>
      <c r="U102" s="2147"/>
      <c r="V102" s="2147"/>
      <c r="W102" s="2147"/>
      <c r="X102" s="2147"/>
      <c r="Y102" s="2147"/>
      <c r="Z102" s="2147"/>
      <c r="AA102" s="2147"/>
      <c r="AB102" s="2147"/>
      <c r="AC102" s="2147"/>
    </row>
    <row r="103" spans="1:29" ht="31.5" customHeight="1" thickTop="1">
      <c r="A103" s="669"/>
      <c r="B103" s="673" t="s">
        <v>748</v>
      </c>
      <c r="C103" s="708" t="str">
        <f t="shared" ref="C103:H103" si="23">C104&amp;"(含)"&amp;"-"&amp;D104</f>
        <v>1(含)-3000</v>
      </c>
      <c r="D103" s="708" t="str">
        <f t="shared" si="23"/>
        <v>3000(含)-6000</v>
      </c>
      <c r="E103" s="708" t="str">
        <f t="shared" si="23"/>
        <v>6000(含)-9000</v>
      </c>
      <c r="F103" s="708" t="str">
        <f t="shared" si="23"/>
        <v>9000(含)-12000</v>
      </c>
      <c r="G103" s="708" t="str">
        <f t="shared" si="23"/>
        <v>12000(含)-15000</v>
      </c>
      <c r="H103" s="708" t="str">
        <f t="shared" si="23"/>
        <v>15000(含)-</v>
      </c>
      <c r="I103" s="708" t="str">
        <f t="shared" ref="I103:L103" si="24">I104&amp;"(含)"&amp;"-"&amp;J104</f>
        <v>(含)-</v>
      </c>
      <c r="J103" s="708" t="str">
        <f t="shared" si="24"/>
        <v>(含)-</v>
      </c>
      <c r="K103" s="708" t="str">
        <f t="shared" si="24"/>
        <v>(含)-</v>
      </c>
      <c r="L103" s="708" t="str">
        <f t="shared" si="24"/>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1</v>
      </c>
      <c r="D104" s="730">
        <v>3000</v>
      </c>
      <c r="E104" s="730">
        <v>6000</v>
      </c>
      <c r="F104" s="730">
        <v>9000</v>
      </c>
      <c r="G104" s="730">
        <v>12000</v>
      </c>
      <c r="H104" s="730">
        <v>15000</v>
      </c>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99</v>
      </c>
      <c r="E105" s="671">
        <v>98</v>
      </c>
      <c r="F105" s="671">
        <v>97</v>
      </c>
      <c r="G105" s="671">
        <v>96</v>
      </c>
      <c r="H105" s="671">
        <v>95</v>
      </c>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3221" t="s">
        <v>3101</v>
      </c>
      <c r="D106" s="3222" t="s">
        <v>3102</v>
      </c>
      <c r="E106" s="3222" t="s">
        <v>3103</v>
      </c>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5">C107-$K35</f>
        <v>99</v>
      </c>
      <c r="E107" s="679">
        <f t="shared" si="25"/>
        <v>98</v>
      </c>
      <c r="F107" s="679">
        <f t="shared" si="25"/>
        <v>97</v>
      </c>
      <c r="G107" s="679">
        <f t="shared" si="25"/>
        <v>96</v>
      </c>
      <c r="H107" s="679">
        <f t="shared" si="25"/>
        <v>95</v>
      </c>
      <c r="I107" s="679">
        <f t="shared" si="25"/>
        <v>94</v>
      </c>
      <c r="J107" s="679">
        <f t="shared" si="25"/>
        <v>93</v>
      </c>
      <c r="K107" s="679">
        <f t="shared" si="25"/>
        <v>92</v>
      </c>
      <c r="L107" s="679">
        <f t="shared" si="25"/>
        <v>91</v>
      </c>
      <c r="M107" s="680">
        <f t="shared" si="25"/>
        <v>90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3222" t="s">
        <v>3105</v>
      </c>
      <c r="D108" s="3222" t="s">
        <v>3106</v>
      </c>
      <c r="E108" s="3222" t="s">
        <v>3107</v>
      </c>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6">C109-$K36</f>
        <v>99</v>
      </c>
      <c r="E109" s="679">
        <f t="shared" si="26"/>
        <v>98</v>
      </c>
      <c r="F109" s="679">
        <f t="shared" si="26"/>
        <v>97</v>
      </c>
      <c r="G109" s="679">
        <f t="shared" si="26"/>
        <v>96</v>
      </c>
      <c r="H109" s="679">
        <f t="shared" si="26"/>
        <v>95</v>
      </c>
      <c r="I109" s="679">
        <f t="shared" si="26"/>
        <v>94</v>
      </c>
      <c r="J109" s="679">
        <f t="shared" si="26"/>
        <v>93</v>
      </c>
      <c r="K109" s="679">
        <f t="shared" si="26"/>
        <v>92</v>
      </c>
      <c r="L109" s="679">
        <f t="shared" si="26"/>
        <v>91</v>
      </c>
      <c r="M109" s="680">
        <f t="shared" si="26"/>
        <v>90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7">D112+$K37</f>
        <v>100</v>
      </c>
      <c r="F112" s="679">
        <f t="shared" si="27"/>
        <v>100</v>
      </c>
      <c r="G112" s="679">
        <f t="shared" si="27"/>
        <v>100</v>
      </c>
      <c r="H112" s="679">
        <f t="shared" si="27"/>
        <v>100</v>
      </c>
      <c r="I112" s="679">
        <f t="shared" si="27"/>
        <v>100</v>
      </c>
      <c r="J112" s="679">
        <f t="shared" si="27"/>
        <v>100</v>
      </c>
      <c r="K112" s="679">
        <f t="shared" si="27"/>
        <v>100</v>
      </c>
      <c r="L112" s="679">
        <f t="shared" si="27"/>
        <v>100</v>
      </c>
      <c r="M112" s="679">
        <f t="shared" si="27"/>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hidden="1"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hidden="1" thickBot="1">
      <c r="A114" s="687"/>
      <c r="B114" s="678"/>
      <c r="C114" s="679">
        <v>100</v>
      </c>
      <c r="D114" s="679">
        <f>C114-$K38</f>
        <v>100</v>
      </c>
      <c r="E114" s="679">
        <f t="shared" ref="E114:M114" si="28">D114-$K38</f>
        <v>100</v>
      </c>
      <c r="F114" s="679">
        <f t="shared" si="28"/>
        <v>100</v>
      </c>
      <c r="G114" s="679">
        <f t="shared" si="28"/>
        <v>100</v>
      </c>
      <c r="H114" s="679">
        <f t="shared" si="28"/>
        <v>100</v>
      </c>
      <c r="I114" s="679">
        <f t="shared" si="28"/>
        <v>100</v>
      </c>
      <c r="J114" s="679">
        <f t="shared" si="28"/>
        <v>100</v>
      </c>
      <c r="K114" s="679">
        <f t="shared" si="28"/>
        <v>100</v>
      </c>
      <c r="L114" s="679">
        <f t="shared" si="28"/>
        <v>100</v>
      </c>
      <c r="M114" s="679">
        <f t="shared" si="28"/>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3222" t="s">
        <v>3109</v>
      </c>
      <c r="D115" s="3222" t="s">
        <v>3110</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9">C116-$K39</f>
        <v>99</v>
      </c>
      <c r="E116" s="679">
        <f t="shared" si="29"/>
        <v>98</v>
      </c>
      <c r="F116" s="679">
        <f t="shared" si="29"/>
        <v>97</v>
      </c>
      <c r="G116" s="679">
        <f t="shared" si="29"/>
        <v>96</v>
      </c>
      <c r="H116" s="679">
        <f t="shared" si="29"/>
        <v>95</v>
      </c>
      <c r="I116" s="679">
        <f t="shared" si="29"/>
        <v>94</v>
      </c>
      <c r="J116" s="679">
        <f t="shared" si="29"/>
        <v>93</v>
      </c>
      <c r="K116" s="679">
        <f t="shared" si="29"/>
        <v>92</v>
      </c>
      <c r="L116" s="679">
        <f t="shared" si="29"/>
        <v>91</v>
      </c>
      <c r="M116" s="680">
        <f t="shared" si="29"/>
        <v>90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3222" t="s">
        <v>3111</v>
      </c>
      <c r="D117" s="3222" t="s">
        <v>3112</v>
      </c>
      <c r="E117" s="3222" t="s">
        <v>3125</v>
      </c>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hidden="1"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hidden="1" thickBot="1">
      <c r="A120" s="669"/>
      <c r="B120" s="678"/>
      <c r="C120" s="712">
        <v>100</v>
      </c>
      <c r="D120" s="679">
        <f>C120-$K41</f>
        <v>100</v>
      </c>
      <c r="E120" s="679">
        <f t="shared" ref="E120:M120" si="30">D120-$K41</f>
        <v>100</v>
      </c>
      <c r="F120" s="679">
        <f t="shared" si="30"/>
        <v>100</v>
      </c>
      <c r="G120" s="679">
        <f t="shared" si="30"/>
        <v>100</v>
      </c>
      <c r="H120" s="679">
        <f t="shared" si="30"/>
        <v>100</v>
      </c>
      <c r="I120" s="679">
        <f t="shared" si="30"/>
        <v>100</v>
      </c>
      <c r="J120" s="679">
        <f t="shared" si="30"/>
        <v>100</v>
      </c>
      <c r="K120" s="679">
        <f t="shared" si="30"/>
        <v>100</v>
      </c>
      <c r="L120" s="679">
        <f t="shared" si="30"/>
        <v>100</v>
      </c>
      <c r="M120" s="679">
        <f t="shared" si="30"/>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730">
        <v>1</v>
      </c>
      <c r="D121" s="730">
        <v>5000</v>
      </c>
      <c r="E121" s="730">
        <v>10000</v>
      </c>
      <c r="F121" s="730">
        <v>15000</v>
      </c>
      <c r="G121" s="730">
        <v>20000</v>
      </c>
      <c r="H121" s="730">
        <v>25000</v>
      </c>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v>100</v>
      </c>
      <c r="D122" s="671">
        <v>101</v>
      </c>
      <c r="E122" s="671">
        <v>102</v>
      </c>
      <c r="F122" s="671">
        <v>103</v>
      </c>
      <c r="G122" s="671">
        <v>104</v>
      </c>
      <c r="H122" s="671">
        <v>105</v>
      </c>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222" t="s">
        <v>3115</v>
      </c>
      <c r="D123" s="3222" t="s">
        <v>3116</v>
      </c>
      <c r="E123" s="3222" t="s">
        <v>3117</v>
      </c>
      <c r="F123" s="3222"/>
      <c r="G123" s="3222"/>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1">C124-$K43</f>
        <v>99</v>
      </c>
      <c r="E124" s="679">
        <f t="shared" si="31"/>
        <v>98</v>
      </c>
      <c r="F124" s="679">
        <f t="shared" si="31"/>
        <v>97</v>
      </c>
      <c r="G124" s="679">
        <f t="shared" si="31"/>
        <v>96</v>
      </c>
      <c r="H124" s="679">
        <f t="shared" si="31"/>
        <v>95</v>
      </c>
      <c r="I124" s="679">
        <f t="shared" si="31"/>
        <v>94</v>
      </c>
      <c r="J124" s="679">
        <f t="shared" si="31"/>
        <v>93</v>
      </c>
      <c r="K124" s="679">
        <f t="shared" si="31"/>
        <v>92</v>
      </c>
      <c r="L124" s="679">
        <f t="shared" si="31"/>
        <v>91</v>
      </c>
      <c r="M124" s="680">
        <f t="shared" si="31"/>
        <v>90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t="str">
        <f>B45</f>
        <v>建成年代（年）</v>
      </c>
      <c r="C127" s="688">
        <v>2017</v>
      </c>
      <c r="D127" s="688">
        <v>2016</v>
      </c>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v>100</v>
      </c>
      <c r="D128" s="671">
        <v>99</v>
      </c>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94" t="s">
        <v>522</v>
      </c>
      <c r="D4" s="3495"/>
      <c r="E4" s="3528" t="s">
        <v>523</v>
      </c>
      <c r="F4" s="3529"/>
      <c r="G4" s="3494" t="s">
        <v>524</v>
      </c>
      <c r="H4" s="3495"/>
      <c r="I4" s="3494" t="s">
        <v>525</v>
      </c>
      <c r="J4" s="3495"/>
      <c r="K4" s="514" t="s">
        <v>526</v>
      </c>
      <c r="L4" s="2135"/>
      <c r="M4" s="2136"/>
      <c r="N4" s="2136"/>
      <c r="O4" s="2136"/>
      <c r="P4" s="3496" t="s">
        <v>527</v>
      </c>
      <c r="Q4" s="3497"/>
      <c r="R4" s="3502" t="s">
        <v>523</v>
      </c>
      <c r="S4" s="3503"/>
      <c r="T4" s="3502" t="s">
        <v>524</v>
      </c>
      <c r="U4" s="3503"/>
      <c r="V4" s="3489" t="s">
        <v>525</v>
      </c>
      <c r="W4" s="3489"/>
      <c r="X4" s="1568"/>
      <c r="Y4" s="3502" t="s">
        <v>527</v>
      </c>
      <c r="Z4" s="3503"/>
      <c r="AA4" s="3491" t="s">
        <v>523</v>
      </c>
      <c r="AB4" s="3492" t="s">
        <v>524</v>
      </c>
      <c r="AC4" s="3491" t="s">
        <v>525</v>
      </c>
    </row>
    <row r="5" spans="1:29" ht="15">
      <c r="A5" s="515"/>
      <c r="B5" s="516"/>
      <c r="C5" s="3510" t="s">
        <v>2930</v>
      </c>
      <c r="D5" s="3511"/>
      <c r="E5" s="3530" t="s">
        <v>2931</v>
      </c>
      <c r="F5" s="3531"/>
      <c r="G5" s="3510" t="s">
        <v>2932</v>
      </c>
      <c r="H5" s="3511"/>
      <c r="I5" s="3510" t="s">
        <v>2933</v>
      </c>
      <c r="J5" s="3511"/>
      <c r="K5" s="514"/>
      <c r="L5" s="2135"/>
      <c r="M5" s="2136"/>
      <c r="N5" s="2136"/>
      <c r="O5" s="2136"/>
      <c r="P5" s="3498"/>
      <c r="Q5" s="3499"/>
      <c r="R5" s="3504"/>
      <c r="S5" s="3505"/>
      <c r="T5" s="3504"/>
      <c r="U5" s="3505"/>
      <c r="V5" s="3489"/>
      <c r="W5" s="3489"/>
      <c r="X5" s="1568"/>
      <c r="Y5" s="3504"/>
      <c r="Z5" s="3505"/>
      <c r="AA5" s="3492"/>
      <c r="AB5" s="3492"/>
      <c r="AC5" s="3492"/>
    </row>
    <row r="6" spans="1:29" ht="15.75" thickBot="1">
      <c r="A6" s="517"/>
      <c r="B6" s="518"/>
      <c r="C6" s="3508" t="s">
        <v>2934</v>
      </c>
      <c r="D6" s="3509"/>
      <c r="E6" s="3526" t="s">
        <v>2934</v>
      </c>
      <c r="F6" s="3527"/>
      <c r="G6" s="3508" t="s">
        <v>2934</v>
      </c>
      <c r="H6" s="3509"/>
      <c r="I6" s="3508" t="s">
        <v>2934</v>
      </c>
      <c r="J6" s="3509"/>
      <c r="K6" s="514" t="s">
        <v>528</v>
      </c>
      <c r="L6" s="2135"/>
      <c r="M6" s="2136"/>
      <c r="N6" s="2136"/>
      <c r="O6" s="2136"/>
      <c r="P6" s="3500"/>
      <c r="Q6" s="3501"/>
      <c r="R6" s="3504"/>
      <c r="S6" s="3505"/>
      <c r="T6" s="3506"/>
      <c r="U6" s="3507"/>
      <c r="V6" s="3489"/>
      <c r="W6" s="3489"/>
      <c r="X6" s="1568"/>
      <c r="Y6" s="3506"/>
      <c r="Z6" s="3507"/>
      <c r="AA6" s="3493"/>
      <c r="AB6" s="3493"/>
      <c r="AC6" s="3493"/>
    </row>
    <row r="7" spans="1:29" s="1220" customFormat="1" ht="15.75" thickBot="1">
      <c r="A7" s="2914"/>
      <c r="B7" s="2921" t="s">
        <v>529</v>
      </c>
      <c r="C7" s="519">
        <f>'数据-取费表'!B2</f>
        <v>43205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519" t="s">
        <v>530</v>
      </c>
      <c r="Q7" s="3521"/>
      <c r="R7" s="1569" t="s">
        <v>8</v>
      </c>
      <c r="S7" s="1570">
        <f t="shared" ref="S7:S15" si="0">F7</f>
        <v>0</v>
      </c>
      <c r="T7" s="1569" t="s">
        <v>8</v>
      </c>
      <c r="U7" s="1570">
        <f t="shared" ref="U7:U15" si="1">H7</f>
        <v>0</v>
      </c>
      <c r="V7" s="1569" t="s">
        <v>8</v>
      </c>
      <c r="W7" s="1570">
        <f t="shared" ref="W7:W15" si="2">J7</f>
        <v>0</v>
      </c>
      <c r="X7" s="1571"/>
      <c r="Y7" s="3519" t="s">
        <v>530</v>
      </c>
      <c r="Z7" s="3520"/>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519" t="s">
        <v>533</v>
      </c>
      <c r="Q8" s="3520"/>
      <c r="R8" s="1569" t="s">
        <v>8</v>
      </c>
      <c r="S8" s="1570">
        <f t="shared" si="0"/>
        <v>0</v>
      </c>
      <c r="T8" s="1569" t="s">
        <v>8</v>
      </c>
      <c r="U8" s="1570">
        <f t="shared" si="1"/>
        <v>0</v>
      </c>
      <c r="V8" s="1569" t="s">
        <v>8</v>
      </c>
      <c r="W8" s="1570">
        <f t="shared" si="2"/>
        <v>0</v>
      </c>
      <c r="X8" s="1571"/>
      <c r="Y8" s="3519" t="s">
        <v>533</v>
      </c>
      <c r="Z8" s="3520"/>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88" t="s">
        <v>535</v>
      </c>
      <c r="Q9" s="1151" t="str">
        <f t="shared" ref="Q9:Q15" si="6">B9</f>
        <v>用途</v>
      </c>
      <c r="R9" s="1569" t="s">
        <v>8</v>
      </c>
      <c r="S9" s="1570">
        <f t="shared" si="0"/>
        <v>100</v>
      </c>
      <c r="T9" s="1569" t="s">
        <v>8</v>
      </c>
      <c r="U9" s="1570">
        <f t="shared" si="1"/>
        <v>100</v>
      </c>
      <c r="V9" s="1569" t="s">
        <v>8</v>
      </c>
      <c r="W9" s="1570">
        <f t="shared" si="2"/>
        <v>100</v>
      </c>
      <c r="X9" s="1571"/>
      <c r="Y9" s="341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88"/>
      <c r="Q10" s="1151" t="str">
        <f t="shared" si="6"/>
        <v>土地使用年限（年）</v>
      </c>
      <c r="R10" s="1569" t="s">
        <v>8</v>
      </c>
      <c r="S10" s="1570">
        <f t="shared" si="0"/>
        <v>100</v>
      </c>
      <c r="T10" s="1569" t="s">
        <v>8</v>
      </c>
      <c r="U10" s="1570">
        <f t="shared" si="1"/>
        <v>100</v>
      </c>
      <c r="V10" s="1569" t="s">
        <v>8</v>
      </c>
      <c r="W10" s="1570">
        <f t="shared" si="2"/>
        <v>100</v>
      </c>
      <c r="X10" s="1571"/>
      <c r="Y10" s="341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88"/>
      <c r="Q11" s="1151" t="str">
        <f t="shared" si="6"/>
        <v>容积率</v>
      </c>
      <c r="R11" s="1569" t="s">
        <v>8</v>
      </c>
      <c r="S11" s="1570" t="e">
        <f t="shared" si="0"/>
        <v>#N/A</v>
      </c>
      <c r="T11" s="1569" t="s">
        <v>8</v>
      </c>
      <c r="U11" s="1570" t="e">
        <f t="shared" si="1"/>
        <v>#N/A</v>
      </c>
      <c r="V11" s="1569" t="s">
        <v>8</v>
      </c>
      <c r="W11" s="1570" t="e">
        <f t="shared" si="2"/>
        <v>#N/A</v>
      </c>
      <c r="X11" s="1571"/>
      <c r="Y11" s="341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88"/>
      <c r="Q12" s="1151">
        <f t="shared" si="6"/>
        <v>111</v>
      </c>
      <c r="R12" s="1569" t="s">
        <v>8</v>
      </c>
      <c r="S12" s="1570">
        <f t="shared" si="0"/>
        <v>100</v>
      </c>
      <c r="T12" s="1569" t="s">
        <v>8</v>
      </c>
      <c r="U12" s="1570">
        <f t="shared" si="1"/>
        <v>100</v>
      </c>
      <c r="V12" s="1569" t="s">
        <v>8</v>
      </c>
      <c r="W12" s="1570">
        <f t="shared" si="2"/>
        <v>100</v>
      </c>
      <c r="X12" s="1571"/>
      <c r="Y12" s="3416"/>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88"/>
      <c r="Q13" s="1151">
        <f t="shared" si="6"/>
        <v>111</v>
      </c>
      <c r="R13" s="1569" t="s">
        <v>8</v>
      </c>
      <c r="S13" s="1570">
        <f t="shared" si="0"/>
        <v>100</v>
      </c>
      <c r="T13" s="1569" t="s">
        <v>8</v>
      </c>
      <c r="U13" s="1570">
        <f t="shared" si="1"/>
        <v>100</v>
      </c>
      <c r="V13" s="1569" t="s">
        <v>8</v>
      </c>
      <c r="W13" s="1570">
        <f t="shared" si="2"/>
        <v>100</v>
      </c>
      <c r="X13" s="1571"/>
      <c r="Y13" s="3416"/>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88"/>
      <c r="Q14" s="1151">
        <f t="shared" si="6"/>
        <v>111</v>
      </c>
      <c r="R14" s="1569" t="s">
        <v>8</v>
      </c>
      <c r="S14" s="1570">
        <f t="shared" si="0"/>
        <v>100</v>
      </c>
      <c r="T14" s="1569" t="s">
        <v>8</v>
      </c>
      <c r="U14" s="1570">
        <f t="shared" si="1"/>
        <v>100</v>
      </c>
      <c r="V14" s="1569" t="s">
        <v>8</v>
      </c>
      <c r="W14" s="1570">
        <f t="shared" si="2"/>
        <v>100</v>
      </c>
      <c r="X14" s="1571"/>
      <c r="Y14" s="3416"/>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522" t="s">
        <v>540</v>
      </c>
      <c r="Q15" s="1573" t="str">
        <f t="shared" si="6"/>
        <v>产业集聚程度</v>
      </c>
      <c r="R15" s="1574" t="s">
        <v>8</v>
      </c>
      <c r="S15" s="1575">
        <f t="shared" si="0"/>
        <v>100</v>
      </c>
      <c r="T15" s="1574" t="s">
        <v>8</v>
      </c>
      <c r="U15" s="1575">
        <f t="shared" si="1"/>
        <v>100</v>
      </c>
      <c r="V15" s="1574" t="s">
        <v>8</v>
      </c>
      <c r="W15" s="1575">
        <f t="shared" si="2"/>
        <v>100</v>
      </c>
      <c r="X15" s="1568"/>
      <c r="Y15" s="352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23"/>
      <c r="Q16" s="1573"/>
      <c r="R16" s="1574"/>
      <c r="S16" s="1575"/>
      <c r="T16" s="1574"/>
      <c r="U16" s="1575"/>
      <c r="V16" s="1574"/>
      <c r="W16" s="1575"/>
      <c r="X16" s="1568"/>
      <c r="Y16" s="352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523"/>
      <c r="Q17" s="1573" t="str">
        <f>B17</f>
        <v>交通便捷度</v>
      </c>
      <c r="R17" s="1574" t="s">
        <v>8</v>
      </c>
      <c r="S17" s="1575">
        <f>F17</f>
        <v>100</v>
      </c>
      <c r="T17" s="1574" t="s">
        <v>8</v>
      </c>
      <c r="U17" s="1575">
        <f>H17</f>
        <v>100</v>
      </c>
      <c r="V17" s="1574" t="s">
        <v>8</v>
      </c>
      <c r="W17" s="1575">
        <f>J17</f>
        <v>100</v>
      </c>
      <c r="X17" s="1568"/>
      <c r="Y17" s="35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23"/>
      <c r="Q18" s="1573"/>
      <c r="R18" s="1574"/>
      <c r="S18" s="1575"/>
      <c r="T18" s="1574"/>
      <c r="U18" s="1575"/>
      <c r="V18" s="1574"/>
      <c r="W18" s="1575"/>
      <c r="X18" s="1568"/>
      <c r="Y18" s="3523"/>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523"/>
      <c r="Q19" s="1573" t="str">
        <f>B19</f>
        <v>公共配套设施</v>
      </c>
      <c r="R19" s="1574" t="s">
        <v>8</v>
      </c>
      <c r="S19" s="1575">
        <f>F19</f>
        <v>100</v>
      </c>
      <c r="T19" s="1574" t="s">
        <v>8</v>
      </c>
      <c r="U19" s="1575">
        <f>H19</f>
        <v>100</v>
      </c>
      <c r="V19" s="1574" t="s">
        <v>8</v>
      </c>
      <c r="W19" s="1575">
        <f>J19</f>
        <v>100</v>
      </c>
      <c r="X19" s="1568"/>
      <c r="Y19" s="352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523"/>
      <c r="Q20" s="1573"/>
      <c r="R20" s="1574"/>
      <c r="S20" s="1575"/>
      <c r="T20" s="1574"/>
      <c r="U20" s="1575"/>
      <c r="V20" s="1574"/>
      <c r="W20" s="1575"/>
      <c r="X20" s="1568"/>
      <c r="Y20" s="3523"/>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523"/>
      <c r="Q21" s="2581" t="str">
        <f>B21</f>
        <v>基础设施水平</v>
      </c>
      <c r="R21" s="1574" t="s">
        <v>8</v>
      </c>
      <c r="S21" s="1575">
        <f>F21</f>
        <v>100</v>
      </c>
      <c r="T21" s="1574" t="s">
        <v>8</v>
      </c>
      <c r="U21" s="1575">
        <f>H21</f>
        <v>100</v>
      </c>
      <c r="V21" s="1574" t="s">
        <v>8</v>
      </c>
      <c r="W21" s="1575">
        <f>J21</f>
        <v>100</v>
      </c>
      <c r="X21" s="2583"/>
      <c r="Y21" s="3523"/>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523"/>
      <c r="Q22" s="2581"/>
      <c r="R22" s="1574"/>
      <c r="S22" s="1575"/>
      <c r="T22" s="1574"/>
      <c r="U22" s="1575"/>
      <c r="V22" s="1574"/>
      <c r="W22" s="1575"/>
      <c r="X22" s="2583"/>
      <c r="Y22" s="3523"/>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523"/>
      <c r="Q23" s="1573" t="str">
        <f>B23</f>
        <v>环境质量</v>
      </c>
      <c r="R23" s="1574" t="s">
        <v>8</v>
      </c>
      <c r="S23" s="1575">
        <f>F23</f>
        <v>100</v>
      </c>
      <c r="T23" s="1574" t="s">
        <v>8</v>
      </c>
      <c r="U23" s="1575">
        <f>H23</f>
        <v>100</v>
      </c>
      <c r="V23" s="1574" t="s">
        <v>8</v>
      </c>
      <c r="W23" s="1575">
        <f>J23</f>
        <v>100</v>
      </c>
      <c r="X23" s="1568"/>
      <c r="Y23" s="352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523"/>
      <c r="Q24" s="1573"/>
      <c r="R24" s="1574"/>
      <c r="S24" s="1575"/>
      <c r="T24" s="1574"/>
      <c r="U24" s="1575"/>
      <c r="V24" s="1574"/>
      <c r="W24" s="1575"/>
      <c r="X24" s="1568"/>
      <c r="Y24" s="352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523"/>
      <c r="Q25" s="1573">
        <f>B25</f>
        <v>111</v>
      </c>
      <c r="R25" s="1574" t="s">
        <v>8</v>
      </c>
      <c r="S25" s="1575">
        <f>F25</f>
        <v>100</v>
      </c>
      <c r="T25" s="1574" t="s">
        <v>8</v>
      </c>
      <c r="U25" s="1575">
        <f>H25</f>
        <v>100</v>
      </c>
      <c r="V25" s="1574" t="s">
        <v>8</v>
      </c>
      <c r="W25" s="1575">
        <f>J25</f>
        <v>100</v>
      </c>
      <c r="X25" s="1568"/>
      <c r="Y25" s="352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523"/>
      <c r="Q26" s="1573">
        <f t="shared" ref="Q26:Q40" si="11">B26</f>
        <v>111</v>
      </c>
      <c r="R26" s="1574" t="s">
        <v>8</v>
      </c>
      <c r="S26" s="1575">
        <f>F26</f>
        <v>100</v>
      </c>
      <c r="T26" s="1574" t="s">
        <v>8</v>
      </c>
      <c r="U26" s="1575">
        <f>H26</f>
        <v>100</v>
      </c>
      <c r="V26" s="1574" t="s">
        <v>8</v>
      </c>
      <c r="W26" s="1575">
        <f>J26</f>
        <v>100</v>
      </c>
      <c r="X26" s="1568"/>
      <c r="Y26" s="352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523"/>
      <c r="Q27" s="1151">
        <f t="shared" si="11"/>
        <v>111</v>
      </c>
      <c r="R27" s="1569" t="s">
        <v>8</v>
      </c>
      <c r="S27" s="1570">
        <f>F27</f>
        <v>100</v>
      </c>
      <c r="T27" s="1569" t="s">
        <v>8</v>
      </c>
      <c r="U27" s="1570">
        <f>H27</f>
        <v>100</v>
      </c>
      <c r="V27" s="1569" t="s">
        <v>8</v>
      </c>
      <c r="W27" s="1570">
        <f>J27</f>
        <v>100</v>
      </c>
      <c r="X27" s="1571"/>
      <c r="Y27" s="352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523"/>
      <c r="Q28" s="1573">
        <f t="shared" si="11"/>
        <v>111</v>
      </c>
      <c r="R28" s="1574" t="s">
        <v>8</v>
      </c>
      <c r="S28" s="1575">
        <f t="shared" ref="S28:S40" si="12">F28</f>
        <v>100</v>
      </c>
      <c r="T28" s="1574" t="s">
        <v>8</v>
      </c>
      <c r="U28" s="1575">
        <f t="shared" ref="U28:U40" si="13">H28</f>
        <v>100</v>
      </c>
      <c r="V28" s="1574" t="s">
        <v>8</v>
      </c>
      <c r="W28" s="1575">
        <f t="shared" ref="W28:W40" si="14">J28</f>
        <v>100</v>
      </c>
      <c r="X28" s="1568"/>
      <c r="Y28" s="3523"/>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524" t="s">
        <v>550</v>
      </c>
      <c r="Q29" s="1573" t="str">
        <f t="shared" si="11"/>
        <v>建筑类型</v>
      </c>
      <c r="R29" s="1574" t="s">
        <v>8</v>
      </c>
      <c r="S29" s="1575">
        <f t="shared" si="12"/>
        <v>100</v>
      </c>
      <c r="T29" s="1574" t="s">
        <v>8</v>
      </c>
      <c r="U29" s="1575">
        <f t="shared" si="13"/>
        <v>100</v>
      </c>
      <c r="V29" s="1574" t="s">
        <v>8</v>
      </c>
      <c r="W29" s="1575">
        <f t="shared" si="14"/>
        <v>100</v>
      </c>
      <c r="X29" s="1568"/>
      <c r="Y29" s="352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525"/>
      <c r="Q30" s="1606" t="str">
        <f t="shared" si="11"/>
        <v>项目建筑规模</v>
      </c>
      <c r="R30" s="1578" t="s">
        <v>8</v>
      </c>
      <c r="S30" s="1579" t="e">
        <f t="shared" si="12"/>
        <v>#N/A</v>
      </c>
      <c r="T30" s="1578" t="s">
        <v>8</v>
      </c>
      <c r="U30" s="1579" t="e">
        <f t="shared" si="13"/>
        <v>#N/A</v>
      </c>
      <c r="V30" s="1578" t="s">
        <v>8</v>
      </c>
      <c r="W30" s="1579" t="e">
        <f t="shared" si="14"/>
        <v>#N/A</v>
      </c>
      <c r="X30" s="1580"/>
      <c r="Y30" s="352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525"/>
      <c r="Q31" s="1573" t="str">
        <f t="shared" si="11"/>
        <v>建筑结构</v>
      </c>
      <c r="R31" s="1574" t="s">
        <v>8</v>
      </c>
      <c r="S31" s="1575">
        <f t="shared" si="12"/>
        <v>100</v>
      </c>
      <c r="T31" s="1574" t="s">
        <v>8</v>
      </c>
      <c r="U31" s="1575">
        <f t="shared" si="13"/>
        <v>100</v>
      </c>
      <c r="V31" s="1574" t="s">
        <v>8</v>
      </c>
      <c r="W31" s="1575">
        <f t="shared" si="14"/>
        <v>100</v>
      </c>
      <c r="X31" s="1568"/>
      <c r="Y31" s="352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525"/>
      <c r="Q32" s="1573" t="str">
        <f t="shared" si="11"/>
        <v>公共部分装修</v>
      </c>
      <c r="R32" s="1574" t="s">
        <v>8</v>
      </c>
      <c r="S32" s="1575">
        <f t="shared" si="12"/>
        <v>100</v>
      </c>
      <c r="T32" s="1574" t="s">
        <v>8</v>
      </c>
      <c r="U32" s="1575">
        <f t="shared" si="13"/>
        <v>100</v>
      </c>
      <c r="V32" s="1574" t="s">
        <v>8</v>
      </c>
      <c r="W32" s="1575">
        <f t="shared" si="14"/>
        <v>100</v>
      </c>
      <c r="X32" s="1568"/>
      <c r="Y32" s="352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525"/>
      <c r="Q33" s="1573" t="str">
        <f t="shared" si="11"/>
        <v>成新度</v>
      </c>
      <c r="R33" s="1574" t="s">
        <v>8</v>
      </c>
      <c r="S33" s="1575" t="e">
        <f t="shared" si="12"/>
        <v>#N/A</v>
      </c>
      <c r="T33" s="1574" t="s">
        <v>8</v>
      </c>
      <c r="U33" s="1575" t="e">
        <f t="shared" si="13"/>
        <v>#N/A</v>
      </c>
      <c r="V33" s="1574" t="s">
        <v>8</v>
      </c>
      <c r="W33" s="1575" t="e">
        <f t="shared" si="14"/>
        <v>#N/A</v>
      </c>
      <c r="X33" s="1568"/>
      <c r="Y33" s="352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525"/>
      <c r="Q34" s="1151" t="str">
        <f t="shared" si="11"/>
        <v>物业管理</v>
      </c>
      <c r="R34" s="1569" t="s">
        <v>8</v>
      </c>
      <c r="S34" s="1570">
        <f t="shared" si="12"/>
        <v>100</v>
      </c>
      <c r="T34" s="1569" t="s">
        <v>8</v>
      </c>
      <c r="U34" s="1570">
        <f t="shared" si="13"/>
        <v>100</v>
      </c>
      <c r="V34" s="1569" t="s">
        <v>8</v>
      </c>
      <c r="W34" s="1570">
        <f t="shared" si="14"/>
        <v>100</v>
      </c>
      <c r="X34" s="1571"/>
      <c r="Y34" s="3525"/>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525" t="s">
        <v>550</v>
      </c>
      <c r="Q35" s="1573" t="str">
        <f t="shared" si="11"/>
        <v>市政基础设施</v>
      </c>
      <c r="R35" s="1574" t="s">
        <v>8</v>
      </c>
      <c r="S35" s="1575">
        <f t="shared" si="12"/>
        <v>100</v>
      </c>
      <c r="T35" s="1574" t="s">
        <v>8</v>
      </c>
      <c r="U35" s="1575">
        <f t="shared" si="13"/>
        <v>100</v>
      </c>
      <c r="V35" s="1574" t="s">
        <v>8</v>
      </c>
      <c r="W35" s="1575">
        <f t="shared" si="14"/>
        <v>100</v>
      </c>
      <c r="X35" s="1568"/>
      <c r="Y35" s="352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525"/>
      <c r="Q36" s="1573" t="str">
        <f t="shared" si="11"/>
        <v>内部装修</v>
      </c>
      <c r="R36" s="1574" t="s">
        <v>8</v>
      </c>
      <c r="S36" s="1575">
        <f t="shared" si="12"/>
        <v>100</v>
      </c>
      <c r="T36" s="1574" t="s">
        <v>8</v>
      </c>
      <c r="U36" s="1575">
        <f t="shared" si="13"/>
        <v>100</v>
      </c>
      <c r="V36" s="1574" t="s">
        <v>8</v>
      </c>
      <c r="W36" s="1575">
        <f t="shared" si="14"/>
        <v>100</v>
      </c>
      <c r="X36" s="1568"/>
      <c r="Y36" s="352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525"/>
      <c r="Q37" s="1573" t="str">
        <f t="shared" si="11"/>
        <v>内部装修状况</v>
      </c>
      <c r="R37" s="1574" t="s">
        <v>8</v>
      </c>
      <c r="S37" s="1575">
        <f t="shared" si="12"/>
        <v>100</v>
      </c>
      <c r="T37" s="1574" t="s">
        <v>8</v>
      </c>
      <c r="U37" s="1575">
        <f t="shared" si="13"/>
        <v>100</v>
      </c>
      <c r="V37" s="1574" t="s">
        <v>8</v>
      </c>
      <c r="W37" s="1575">
        <f t="shared" si="14"/>
        <v>100</v>
      </c>
      <c r="X37" s="1568"/>
      <c r="Y37" s="352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525"/>
      <c r="Q38" s="1606">
        <f t="shared" si="11"/>
        <v>111</v>
      </c>
      <c r="R38" s="1578" t="s">
        <v>8</v>
      </c>
      <c r="S38" s="1579">
        <f t="shared" si="12"/>
        <v>100</v>
      </c>
      <c r="T38" s="1578" t="s">
        <v>8</v>
      </c>
      <c r="U38" s="1579">
        <f t="shared" si="13"/>
        <v>100</v>
      </c>
      <c r="V38" s="1578" t="s">
        <v>8</v>
      </c>
      <c r="W38" s="1579">
        <f t="shared" si="14"/>
        <v>100</v>
      </c>
      <c r="X38" s="1580"/>
      <c r="Y38" s="352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525"/>
      <c r="Q39" s="1573">
        <f t="shared" si="11"/>
        <v>111</v>
      </c>
      <c r="R39" s="1574" t="s">
        <v>8</v>
      </c>
      <c r="S39" s="1575">
        <f t="shared" si="12"/>
        <v>100</v>
      </c>
      <c r="T39" s="1574" t="s">
        <v>8</v>
      </c>
      <c r="U39" s="1575">
        <f t="shared" si="13"/>
        <v>100</v>
      </c>
      <c r="V39" s="1574" t="s">
        <v>8</v>
      </c>
      <c r="W39" s="1575">
        <f t="shared" si="14"/>
        <v>100</v>
      </c>
      <c r="X39" s="1568"/>
      <c r="Y39" s="352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84"/>
      <c r="Q40" s="1573">
        <f t="shared" si="11"/>
        <v>111</v>
      </c>
      <c r="R40" s="1574" t="s">
        <v>8</v>
      </c>
      <c r="S40" s="1575">
        <f t="shared" si="12"/>
        <v>100</v>
      </c>
      <c r="T40" s="1574" t="s">
        <v>8</v>
      </c>
      <c r="U40" s="1575">
        <f t="shared" si="13"/>
        <v>100</v>
      </c>
      <c r="V40" s="1574" t="s">
        <v>8</v>
      </c>
      <c r="W40" s="1575">
        <f t="shared" si="14"/>
        <v>100</v>
      </c>
      <c r="X40" s="1568"/>
      <c r="Y40" s="3584"/>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88" t="str">
        <f>A41</f>
        <v>成交单价（元/平方米）</v>
      </c>
      <c r="Q41" s="3488"/>
      <c r="R41" s="3583">
        <f>E41</f>
        <v>0</v>
      </c>
      <c r="S41" s="3583"/>
      <c r="T41" s="3583">
        <f>G41</f>
        <v>0</v>
      </c>
      <c r="U41" s="3583"/>
      <c r="V41" s="3583">
        <f>I41</f>
        <v>0</v>
      </c>
      <c r="W41" s="3583"/>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88" t="str">
        <f>A42</f>
        <v>比较价格（元/平方米）</v>
      </c>
      <c r="Q42" s="3488"/>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85" t="str">
        <f>A43</f>
        <v>估价对象XX用房的比较价格（楼面单价，元/平方米）</v>
      </c>
      <c r="Q43" s="3486"/>
      <c r="R43" s="3582" t="e">
        <f>IF(F1="售价",ROUND(AVERAGE(R42:V42),0),ROUND(AVERAGE(R42:V42),1))</f>
        <v>#DIV/0!</v>
      </c>
      <c r="S43" s="3582"/>
      <c r="T43" s="3582"/>
      <c r="U43" s="3582"/>
      <c r="V43" s="3582"/>
      <c r="W43" s="358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2018-4</v>
      </c>
      <c r="D52" s="2806">
        <f>EDATE(C52,-1)</f>
        <v>43160</v>
      </c>
      <c r="E52" s="2806">
        <f t="shared" ref="E52:O52" si="16">EDATE(D52,-1)</f>
        <v>43132</v>
      </c>
      <c r="F52" s="2806">
        <f t="shared" si="16"/>
        <v>43101</v>
      </c>
      <c r="G52" s="2806">
        <f t="shared" si="16"/>
        <v>43070</v>
      </c>
      <c r="H52" s="2806">
        <f t="shared" si="16"/>
        <v>43040</v>
      </c>
      <c r="I52" s="2806">
        <f t="shared" si="16"/>
        <v>43009</v>
      </c>
      <c r="J52" s="2806">
        <f t="shared" si="16"/>
        <v>42979</v>
      </c>
      <c r="K52" s="2806">
        <f t="shared" si="16"/>
        <v>42948</v>
      </c>
      <c r="L52" s="2806">
        <f t="shared" si="16"/>
        <v>42917</v>
      </c>
      <c r="M52" s="2806">
        <f t="shared" si="16"/>
        <v>42887</v>
      </c>
      <c r="N52" s="2806">
        <f t="shared" si="16"/>
        <v>42856</v>
      </c>
      <c r="O52" s="2806">
        <f t="shared" si="16"/>
        <v>42826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94" t="s">
        <v>798</v>
      </c>
      <c r="D4" s="3495"/>
      <c r="E4" s="3494" t="s">
        <v>799</v>
      </c>
      <c r="F4" s="3495"/>
      <c r="G4" s="3494" t="s">
        <v>800</v>
      </c>
      <c r="H4" s="3495"/>
      <c r="I4" s="3494" t="s">
        <v>801</v>
      </c>
      <c r="J4" s="3495"/>
      <c r="K4" s="514" t="s">
        <v>802</v>
      </c>
      <c r="L4" s="2135"/>
      <c r="M4" s="2136"/>
      <c r="N4" s="2136"/>
      <c r="O4" s="2136"/>
      <c r="P4" s="3496" t="s">
        <v>803</v>
      </c>
      <c r="Q4" s="3497"/>
      <c r="R4" s="3502" t="s">
        <v>799</v>
      </c>
      <c r="S4" s="3503"/>
      <c r="T4" s="3502" t="s">
        <v>800</v>
      </c>
      <c r="U4" s="3503"/>
      <c r="V4" s="3489" t="s">
        <v>801</v>
      </c>
      <c r="W4" s="3489"/>
      <c r="X4" s="1568"/>
      <c r="Y4" s="3502" t="s">
        <v>803</v>
      </c>
      <c r="Z4" s="3503"/>
      <c r="AA4" s="3491" t="s">
        <v>799</v>
      </c>
      <c r="AB4" s="3492" t="s">
        <v>800</v>
      </c>
      <c r="AC4" s="3491" t="s">
        <v>801</v>
      </c>
    </row>
    <row r="5" spans="1:29" ht="15">
      <c r="A5" s="515"/>
      <c r="B5" s="516"/>
      <c r="C5" s="3510" t="s">
        <v>2930</v>
      </c>
      <c r="D5" s="3511"/>
      <c r="E5" s="3510" t="s">
        <v>2931</v>
      </c>
      <c r="F5" s="3511"/>
      <c r="G5" s="3510" t="s">
        <v>2932</v>
      </c>
      <c r="H5" s="3511"/>
      <c r="I5" s="3510" t="s">
        <v>2933</v>
      </c>
      <c r="J5" s="3511"/>
      <c r="K5" s="514"/>
      <c r="L5" s="2135"/>
      <c r="M5" s="2136"/>
      <c r="N5" s="2136"/>
      <c r="O5" s="2136"/>
      <c r="P5" s="3498"/>
      <c r="Q5" s="3499"/>
      <c r="R5" s="3504"/>
      <c r="S5" s="3505"/>
      <c r="T5" s="3504"/>
      <c r="U5" s="3505"/>
      <c r="V5" s="3489"/>
      <c r="W5" s="3489"/>
      <c r="X5" s="1568"/>
      <c r="Y5" s="3504"/>
      <c r="Z5" s="3505"/>
      <c r="AA5" s="3492"/>
      <c r="AB5" s="3492"/>
      <c r="AC5" s="3492"/>
    </row>
    <row r="6" spans="1:29" ht="15.75" thickBot="1">
      <c r="A6" s="517"/>
      <c r="B6" s="518"/>
      <c r="C6" s="3508" t="s">
        <v>2934</v>
      </c>
      <c r="D6" s="3509"/>
      <c r="E6" s="3512" t="s">
        <v>2934</v>
      </c>
      <c r="F6" s="3513"/>
      <c r="G6" s="3508" t="s">
        <v>2934</v>
      </c>
      <c r="H6" s="3509"/>
      <c r="I6" s="3508" t="s">
        <v>2934</v>
      </c>
      <c r="J6" s="3509"/>
      <c r="K6" s="514" t="s">
        <v>528</v>
      </c>
      <c r="L6" s="2135"/>
      <c r="M6" s="2136"/>
      <c r="N6" s="2136"/>
      <c r="O6" s="2136"/>
      <c r="P6" s="3500"/>
      <c r="Q6" s="3501"/>
      <c r="R6" s="3504"/>
      <c r="S6" s="3505"/>
      <c r="T6" s="3506"/>
      <c r="U6" s="3507"/>
      <c r="V6" s="3489"/>
      <c r="W6" s="3489"/>
      <c r="X6" s="1568"/>
      <c r="Y6" s="3506"/>
      <c r="Z6" s="3507"/>
      <c r="AA6" s="3493"/>
      <c r="AB6" s="3493"/>
      <c r="AC6" s="3493"/>
    </row>
    <row r="7" spans="1:29" s="1220" customFormat="1" ht="15.75" thickBot="1">
      <c r="A7" s="2914"/>
      <c r="B7" s="2921" t="s">
        <v>529</v>
      </c>
      <c r="C7" s="519">
        <f>'数据-取费表'!B2</f>
        <v>43205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519" t="s">
        <v>530</v>
      </c>
      <c r="Q7" s="3521"/>
      <c r="R7" s="1569" t="s">
        <v>8</v>
      </c>
      <c r="S7" s="1570">
        <f t="shared" ref="S7:S14" si="0">F7</f>
        <v>0</v>
      </c>
      <c r="T7" s="1569" t="s">
        <v>8</v>
      </c>
      <c r="U7" s="1570">
        <f t="shared" ref="U7:U14" si="1">H7</f>
        <v>0</v>
      </c>
      <c r="V7" s="1569" t="s">
        <v>8</v>
      </c>
      <c r="W7" s="1570">
        <f t="shared" ref="W7:W14" si="2">J7</f>
        <v>0</v>
      </c>
      <c r="X7" s="1571"/>
      <c r="Y7" s="3519" t="s">
        <v>530</v>
      </c>
      <c r="Z7" s="3520"/>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519" t="s">
        <v>533</v>
      </c>
      <c r="Q8" s="3520"/>
      <c r="R8" s="1569" t="s">
        <v>8</v>
      </c>
      <c r="S8" s="1570">
        <f t="shared" si="0"/>
        <v>0</v>
      </c>
      <c r="T8" s="1569" t="s">
        <v>8</v>
      </c>
      <c r="U8" s="1570">
        <f t="shared" si="1"/>
        <v>0</v>
      </c>
      <c r="V8" s="1569" t="s">
        <v>8</v>
      </c>
      <c r="W8" s="1570">
        <f t="shared" si="2"/>
        <v>0</v>
      </c>
      <c r="X8" s="1571"/>
      <c r="Y8" s="3519" t="s">
        <v>533</v>
      </c>
      <c r="Z8" s="3520"/>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88" t="s">
        <v>535</v>
      </c>
      <c r="Q9" s="1151" t="str">
        <f t="shared" ref="Q9:Q14" si="6">B9</f>
        <v>用途</v>
      </c>
      <c r="R9" s="1569" t="s">
        <v>8</v>
      </c>
      <c r="S9" s="1570">
        <f t="shared" si="0"/>
        <v>100</v>
      </c>
      <c r="T9" s="1569" t="s">
        <v>8</v>
      </c>
      <c r="U9" s="1570">
        <f t="shared" si="1"/>
        <v>100</v>
      </c>
      <c r="V9" s="1569" t="s">
        <v>8</v>
      </c>
      <c r="W9" s="1570">
        <f t="shared" si="2"/>
        <v>100</v>
      </c>
      <c r="X9" s="1571"/>
      <c r="Y9" s="3416"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88"/>
      <c r="Q10" s="1151" t="str">
        <f t="shared" si="6"/>
        <v>土地使用年限（年）</v>
      </c>
      <c r="R10" s="1569" t="s">
        <v>8</v>
      </c>
      <c r="S10" s="1570">
        <f t="shared" si="0"/>
        <v>100</v>
      </c>
      <c r="T10" s="1569" t="s">
        <v>8</v>
      </c>
      <c r="U10" s="1570">
        <f t="shared" si="1"/>
        <v>100</v>
      </c>
      <c r="V10" s="1569" t="s">
        <v>8</v>
      </c>
      <c r="W10" s="1570">
        <f t="shared" si="2"/>
        <v>100</v>
      </c>
      <c r="X10" s="1571"/>
      <c r="Y10" s="3416"/>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88"/>
      <c r="Q11" s="1151">
        <f t="shared" si="6"/>
        <v>111</v>
      </c>
      <c r="R11" s="1569" t="s">
        <v>8</v>
      </c>
      <c r="S11" s="1570">
        <f t="shared" si="0"/>
        <v>100</v>
      </c>
      <c r="T11" s="1569" t="s">
        <v>8</v>
      </c>
      <c r="U11" s="1570">
        <f t="shared" si="1"/>
        <v>100</v>
      </c>
      <c r="V11" s="1569" t="s">
        <v>8</v>
      </c>
      <c r="W11" s="1570">
        <f t="shared" si="2"/>
        <v>100</v>
      </c>
      <c r="X11" s="1571"/>
      <c r="Y11" s="3416"/>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88"/>
      <c r="Q12" s="1151">
        <f t="shared" si="6"/>
        <v>111</v>
      </c>
      <c r="R12" s="1569" t="s">
        <v>8</v>
      </c>
      <c r="S12" s="1570">
        <f t="shared" si="0"/>
        <v>100</v>
      </c>
      <c r="T12" s="1569" t="s">
        <v>8</v>
      </c>
      <c r="U12" s="1570">
        <f t="shared" si="1"/>
        <v>100</v>
      </c>
      <c r="V12" s="1569" t="s">
        <v>8</v>
      </c>
      <c r="W12" s="1570">
        <f t="shared" si="2"/>
        <v>100</v>
      </c>
      <c r="X12" s="1571"/>
      <c r="Y12" s="3416"/>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88"/>
      <c r="Q13" s="1151">
        <f t="shared" si="6"/>
        <v>111</v>
      </c>
      <c r="R13" s="1569" t="s">
        <v>8</v>
      </c>
      <c r="S13" s="1570">
        <f t="shared" si="0"/>
        <v>100</v>
      </c>
      <c r="T13" s="1569" t="s">
        <v>8</v>
      </c>
      <c r="U13" s="1570">
        <f t="shared" si="1"/>
        <v>100</v>
      </c>
      <c r="V13" s="1569" t="s">
        <v>8</v>
      </c>
      <c r="W13" s="1570">
        <f t="shared" si="2"/>
        <v>100</v>
      </c>
      <c r="X13" s="1571"/>
      <c r="Y13" s="3416"/>
      <c r="Z13" s="1150">
        <f t="shared" si="7"/>
        <v>111</v>
      </c>
      <c r="AA13" s="1572">
        <f t="shared" si="3"/>
        <v>1</v>
      </c>
      <c r="AB13" s="1572">
        <f t="shared" si="4"/>
        <v>1</v>
      </c>
      <c r="AC13" s="1572">
        <f t="shared" si="5"/>
        <v>1</v>
      </c>
    </row>
    <row r="14" spans="1:29" ht="142.5">
      <c r="A14" s="2912" t="s">
        <v>2757</v>
      </c>
      <c r="B14" s="547" t="s">
        <v>543</v>
      </c>
      <c r="C14" s="921" t="str">
        <f>IF(B1="工业",估价对象房地状况!G4,估价对象房地状况!C6)</f>
        <v>估价对象紧邻城市次干道—欣旺北大街，周边有381路、兴13路等多条公交线路通过，距地铁大兴线（西红门站）约1.2公里，综合评价交通便捷度一般。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522" t="s">
        <v>540</v>
      </c>
      <c r="Q14" s="1573" t="str">
        <f t="shared" si="6"/>
        <v>交通便捷度</v>
      </c>
      <c r="R14" s="1574" t="s">
        <v>8</v>
      </c>
      <c r="S14" s="1575">
        <f t="shared" si="0"/>
        <v>100</v>
      </c>
      <c r="T14" s="1574" t="s">
        <v>8</v>
      </c>
      <c r="U14" s="1575">
        <f t="shared" si="1"/>
        <v>100</v>
      </c>
      <c r="V14" s="1574" t="s">
        <v>8</v>
      </c>
      <c r="W14" s="1575">
        <f t="shared" si="2"/>
        <v>100</v>
      </c>
      <c r="X14" s="1568"/>
      <c r="Y14" s="352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523"/>
      <c r="Q15" s="1573"/>
      <c r="R15" s="1574"/>
      <c r="S15" s="1575"/>
      <c r="T15" s="1574"/>
      <c r="U15" s="1575"/>
      <c r="V15" s="1574"/>
      <c r="W15" s="1575"/>
      <c r="X15" s="1568"/>
      <c r="Y15" s="3523"/>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523"/>
      <c r="Q16" s="1573" t="str">
        <f>B16</f>
        <v>公共配套设施</v>
      </c>
      <c r="R16" s="1574" t="s">
        <v>8</v>
      </c>
      <c r="S16" s="1575">
        <f>F16</f>
        <v>100</v>
      </c>
      <c r="T16" s="1574" t="s">
        <v>8</v>
      </c>
      <c r="U16" s="1575">
        <f>H16</f>
        <v>100</v>
      </c>
      <c r="V16" s="1574" t="s">
        <v>8</v>
      </c>
      <c r="W16" s="1575">
        <f>J16</f>
        <v>100</v>
      </c>
      <c r="X16" s="1568"/>
      <c r="Y16" s="352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523"/>
      <c r="Q17" s="1573"/>
      <c r="R17" s="1574"/>
      <c r="S17" s="1575"/>
      <c r="T17" s="1574"/>
      <c r="U17" s="1575"/>
      <c r="V17" s="1574"/>
      <c r="W17" s="1575"/>
      <c r="X17" s="1568"/>
      <c r="Y17" s="3523"/>
      <c r="Z17" s="1576"/>
      <c r="AA17" s="1577">
        <v>1</v>
      </c>
      <c r="AB17" s="1577">
        <v>1</v>
      </c>
      <c r="AC17" s="1577">
        <v>1</v>
      </c>
    </row>
    <row r="18" spans="1:29" ht="15">
      <c r="A18" s="515"/>
      <c r="B18" s="2593" t="s">
        <v>2561</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523"/>
      <c r="Q18" s="2581" t="str">
        <f>B18</f>
        <v>基础设施水平</v>
      </c>
      <c r="R18" s="1574" t="s">
        <v>8</v>
      </c>
      <c r="S18" s="1575">
        <f>F18</f>
        <v>100</v>
      </c>
      <c r="T18" s="1574" t="s">
        <v>8</v>
      </c>
      <c r="U18" s="1575">
        <f>H18</f>
        <v>100</v>
      </c>
      <c r="V18" s="1574" t="s">
        <v>8</v>
      </c>
      <c r="W18" s="1575">
        <f>J18</f>
        <v>100</v>
      </c>
      <c r="X18" s="2583"/>
      <c r="Y18" s="3523"/>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523"/>
      <c r="Q19" s="2581"/>
      <c r="R19" s="1574"/>
      <c r="S19" s="1575"/>
      <c r="T19" s="1574"/>
      <c r="U19" s="1575"/>
      <c r="V19" s="1574"/>
      <c r="W19" s="1575"/>
      <c r="X19" s="2583"/>
      <c r="Y19" s="3523"/>
      <c r="Z19" s="2582"/>
      <c r="AA19" s="1577">
        <v>1</v>
      </c>
      <c r="AB19" s="1577">
        <v>1</v>
      </c>
      <c r="AC19" s="1577">
        <v>1</v>
      </c>
    </row>
    <row r="20" spans="1:29" ht="114">
      <c r="A20" s="515"/>
      <c r="B20" s="560" t="s">
        <v>804</v>
      </c>
      <c r="C20" s="872" t="str">
        <f>IF(B1="工业",估价对象房地状况!G7,估价对象房地状况!C9)</f>
        <v>区域自然环境：西红门九龙口休闲公园、兴海公园等；人文环境：快乐392高尔夫俱乐部等；综合评价环境状况较好。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523"/>
      <c r="Q20" s="1573" t="str">
        <f>B20</f>
        <v>自然及人文环境</v>
      </c>
      <c r="R20" s="1574" t="s">
        <v>8</v>
      </c>
      <c r="S20" s="1575">
        <f>F20</f>
        <v>100</v>
      </c>
      <c r="T20" s="1574" t="s">
        <v>8</v>
      </c>
      <c r="U20" s="1575">
        <f>H20</f>
        <v>100</v>
      </c>
      <c r="V20" s="1574" t="s">
        <v>8</v>
      </c>
      <c r="W20" s="1575">
        <f>J20</f>
        <v>100</v>
      </c>
      <c r="X20" s="1568"/>
      <c r="Y20" s="352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523"/>
      <c r="Q21" s="1573"/>
      <c r="R21" s="1574"/>
      <c r="S21" s="1575"/>
      <c r="T21" s="1574"/>
      <c r="U21" s="1575"/>
      <c r="V21" s="1574"/>
      <c r="W21" s="1575"/>
      <c r="X21" s="1568"/>
      <c r="Y21" s="352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523"/>
      <c r="Q22" s="1573" t="str">
        <f>B22</f>
        <v>楼层</v>
      </c>
      <c r="R22" s="1574" t="s">
        <v>8</v>
      </c>
      <c r="S22" s="1575">
        <f>F22</f>
        <v>100</v>
      </c>
      <c r="T22" s="1574" t="s">
        <v>8</v>
      </c>
      <c r="U22" s="1575">
        <f>H22</f>
        <v>100</v>
      </c>
      <c r="V22" s="1574" t="s">
        <v>8</v>
      </c>
      <c r="W22" s="1575">
        <f>J22</f>
        <v>100</v>
      </c>
      <c r="X22" s="1568"/>
      <c r="Y22" s="352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523"/>
      <c r="Q23" s="1573">
        <f>B23</f>
        <v>111</v>
      </c>
      <c r="R23" s="1574" t="s">
        <v>8</v>
      </c>
      <c r="S23" s="1575">
        <f>F23</f>
        <v>100</v>
      </c>
      <c r="T23" s="1574" t="s">
        <v>8</v>
      </c>
      <c r="U23" s="1575">
        <f>H23</f>
        <v>100</v>
      </c>
      <c r="V23" s="1574" t="s">
        <v>8</v>
      </c>
      <c r="W23" s="1575">
        <f>J23</f>
        <v>100</v>
      </c>
      <c r="X23" s="1568"/>
      <c r="Y23" s="352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523"/>
      <c r="Q24" s="1573">
        <f t="shared" ref="Q24:Q36" si="11">B24</f>
        <v>111</v>
      </c>
      <c r="R24" s="1574" t="s">
        <v>8</v>
      </c>
      <c r="S24" s="1575">
        <f>F24</f>
        <v>100</v>
      </c>
      <c r="T24" s="1574" t="s">
        <v>8</v>
      </c>
      <c r="U24" s="1575">
        <f>H24</f>
        <v>100</v>
      </c>
      <c r="V24" s="1574" t="s">
        <v>8</v>
      </c>
      <c r="W24" s="1575">
        <f>J24</f>
        <v>100</v>
      </c>
      <c r="X24" s="1568"/>
      <c r="Y24" s="352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523"/>
      <c r="Q25" s="1151">
        <f t="shared" si="11"/>
        <v>111</v>
      </c>
      <c r="R25" s="1569" t="s">
        <v>8</v>
      </c>
      <c r="S25" s="1570">
        <f>F25</f>
        <v>100</v>
      </c>
      <c r="T25" s="1569" t="s">
        <v>8</v>
      </c>
      <c r="U25" s="1570">
        <f>H25</f>
        <v>100</v>
      </c>
      <c r="V25" s="1569" t="s">
        <v>8</v>
      </c>
      <c r="W25" s="1570">
        <f>J25</f>
        <v>100</v>
      </c>
      <c r="X25" s="1571"/>
      <c r="Y25" s="3523"/>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52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2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525"/>
      <c r="Q27" s="1606" t="str">
        <f t="shared" si="11"/>
        <v>项目停车位配比</v>
      </c>
      <c r="R27" s="1578" t="s">
        <v>8</v>
      </c>
      <c r="S27" s="1579">
        <f t="shared" si="12"/>
        <v>100</v>
      </c>
      <c r="T27" s="1578" t="s">
        <v>8</v>
      </c>
      <c r="U27" s="1579">
        <f t="shared" si="13"/>
        <v>100</v>
      </c>
      <c r="V27" s="1578" t="s">
        <v>8</v>
      </c>
      <c r="W27" s="1579">
        <f t="shared" si="14"/>
        <v>100</v>
      </c>
      <c r="X27" s="1580"/>
      <c r="Y27" s="352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525"/>
      <c r="Q28" s="1573" t="str">
        <f t="shared" si="11"/>
        <v>公共部分装修</v>
      </c>
      <c r="R28" s="1574" t="s">
        <v>8</v>
      </c>
      <c r="S28" s="1575">
        <f t="shared" si="12"/>
        <v>100</v>
      </c>
      <c r="T28" s="1574" t="s">
        <v>8</v>
      </c>
      <c r="U28" s="1575">
        <f t="shared" si="13"/>
        <v>100</v>
      </c>
      <c r="V28" s="1574" t="s">
        <v>8</v>
      </c>
      <c r="W28" s="1575">
        <f t="shared" si="14"/>
        <v>100</v>
      </c>
      <c r="X28" s="1568"/>
      <c r="Y28" s="352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525"/>
      <c r="Q29" s="1573" t="str">
        <f t="shared" si="11"/>
        <v>成新率</v>
      </c>
      <c r="R29" s="1574" t="s">
        <v>8</v>
      </c>
      <c r="S29" s="1575" t="e">
        <f t="shared" si="12"/>
        <v>#N/A</v>
      </c>
      <c r="T29" s="1574" t="s">
        <v>8</v>
      </c>
      <c r="U29" s="1575" t="e">
        <f t="shared" si="13"/>
        <v>#N/A</v>
      </c>
      <c r="V29" s="1574" t="s">
        <v>8</v>
      </c>
      <c r="W29" s="1575" t="e">
        <f t="shared" si="14"/>
        <v>#N/A</v>
      </c>
      <c r="X29" s="1568"/>
      <c r="Y29" s="352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525"/>
      <c r="Q30" s="1573" t="str">
        <f t="shared" si="11"/>
        <v>物业等级</v>
      </c>
      <c r="R30" s="1574" t="s">
        <v>8</v>
      </c>
      <c r="S30" s="1575">
        <f t="shared" si="12"/>
        <v>100</v>
      </c>
      <c r="T30" s="1574" t="s">
        <v>8</v>
      </c>
      <c r="U30" s="1575">
        <f t="shared" si="13"/>
        <v>100</v>
      </c>
      <c r="V30" s="1574" t="s">
        <v>8</v>
      </c>
      <c r="W30" s="1575">
        <f t="shared" si="14"/>
        <v>100</v>
      </c>
      <c r="X30" s="1568"/>
      <c r="Y30" s="352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525"/>
      <c r="Q31" s="1151" t="str">
        <f t="shared" si="11"/>
        <v>停车位面积</v>
      </c>
      <c r="R31" s="1569" t="s">
        <v>8</v>
      </c>
      <c r="S31" s="1570" t="e">
        <f t="shared" si="12"/>
        <v>#N/A</v>
      </c>
      <c r="T31" s="1569" t="s">
        <v>8</v>
      </c>
      <c r="U31" s="1570" t="e">
        <f t="shared" si="13"/>
        <v>#N/A</v>
      </c>
      <c r="V31" s="1569" t="s">
        <v>8</v>
      </c>
      <c r="W31" s="1570" t="e">
        <f t="shared" si="14"/>
        <v>#N/A</v>
      </c>
      <c r="X31" s="1571"/>
      <c r="Y31" s="352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525" t="s">
        <v>550</v>
      </c>
      <c r="Q32" s="1573" t="str">
        <f t="shared" si="11"/>
        <v>车位类型</v>
      </c>
      <c r="R32" s="1574" t="s">
        <v>8</v>
      </c>
      <c r="S32" s="1575">
        <f t="shared" si="12"/>
        <v>100</v>
      </c>
      <c r="T32" s="1574" t="s">
        <v>8</v>
      </c>
      <c r="U32" s="1575">
        <f t="shared" si="13"/>
        <v>100</v>
      </c>
      <c r="V32" s="1574" t="s">
        <v>8</v>
      </c>
      <c r="W32" s="1575">
        <f t="shared" si="14"/>
        <v>100</v>
      </c>
      <c r="X32" s="1568"/>
      <c r="Y32" s="352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525"/>
      <c r="Q33" s="1573" t="str">
        <f t="shared" si="11"/>
        <v>是否直接入户</v>
      </c>
      <c r="R33" s="1574" t="s">
        <v>8</v>
      </c>
      <c r="S33" s="1575">
        <f t="shared" si="12"/>
        <v>100</v>
      </c>
      <c r="T33" s="1574" t="s">
        <v>8</v>
      </c>
      <c r="U33" s="1575">
        <f t="shared" si="13"/>
        <v>100</v>
      </c>
      <c r="V33" s="1574" t="s">
        <v>8</v>
      </c>
      <c r="W33" s="1575">
        <f t="shared" si="14"/>
        <v>100</v>
      </c>
      <c r="X33" s="1568"/>
      <c r="Y33" s="352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525"/>
      <c r="Q34" s="1573">
        <f t="shared" si="11"/>
        <v>111</v>
      </c>
      <c r="R34" s="1574" t="s">
        <v>8</v>
      </c>
      <c r="S34" s="1575">
        <f t="shared" si="12"/>
        <v>100</v>
      </c>
      <c r="T34" s="1574" t="s">
        <v>8</v>
      </c>
      <c r="U34" s="1575">
        <f t="shared" si="13"/>
        <v>100</v>
      </c>
      <c r="V34" s="1574" t="s">
        <v>8</v>
      </c>
      <c r="W34" s="1575">
        <f t="shared" si="14"/>
        <v>100</v>
      </c>
      <c r="X34" s="1568"/>
      <c r="Y34" s="352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525"/>
      <c r="Q35" s="1606">
        <f t="shared" si="11"/>
        <v>111</v>
      </c>
      <c r="R35" s="1578" t="s">
        <v>8</v>
      </c>
      <c r="S35" s="1579">
        <f t="shared" si="12"/>
        <v>100</v>
      </c>
      <c r="T35" s="1578" t="s">
        <v>8</v>
      </c>
      <c r="U35" s="1579">
        <f t="shared" si="13"/>
        <v>100</v>
      </c>
      <c r="V35" s="1578" t="s">
        <v>8</v>
      </c>
      <c r="W35" s="1579">
        <f t="shared" si="14"/>
        <v>100</v>
      </c>
      <c r="X35" s="1580"/>
      <c r="Y35" s="352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525"/>
      <c r="Q36" s="1573">
        <f t="shared" si="11"/>
        <v>111</v>
      </c>
      <c r="R36" s="1574" t="s">
        <v>8</v>
      </c>
      <c r="S36" s="1575">
        <f t="shared" si="12"/>
        <v>100</v>
      </c>
      <c r="T36" s="1574" t="s">
        <v>8</v>
      </c>
      <c r="U36" s="1575">
        <f t="shared" si="13"/>
        <v>100</v>
      </c>
      <c r="V36" s="1574" t="s">
        <v>8</v>
      </c>
      <c r="W36" s="1575">
        <f t="shared" si="14"/>
        <v>100</v>
      </c>
      <c r="X36" s="1568"/>
      <c r="Y36" s="3525"/>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488" t="str">
        <f>A37</f>
        <v>成交单价</v>
      </c>
      <c r="Q37" s="3488"/>
      <c r="R37" s="3583">
        <f>E37</f>
        <v>0</v>
      </c>
      <c r="S37" s="3583"/>
      <c r="T37" s="3583">
        <f>G37</f>
        <v>0</v>
      </c>
      <c r="U37" s="3583"/>
      <c r="V37" s="3583">
        <f>I37</f>
        <v>0</v>
      </c>
      <c r="W37" s="3583"/>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488" t="str">
        <f>A38</f>
        <v>比较价格（元/平方米）</v>
      </c>
      <c r="Q38" s="3488"/>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85" t="str">
        <f>A39</f>
        <v>估价对象XX用房的比较价格（楼面单价，元/平方米）</v>
      </c>
      <c r="Q39" s="3486"/>
      <c r="R39" s="3582" t="e">
        <f>IF(F1="售价",ROUND(AVERAGE(R38:V38),0),ROUND(AVERAGE(R38:V38),1))</f>
        <v>#DIV/0!</v>
      </c>
      <c r="S39" s="3582"/>
      <c r="T39" s="3582"/>
      <c r="U39" s="3582"/>
      <c r="V39" s="3582"/>
      <c r="W39" s="358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2018-4</v>
      </c>
      <c r="D48" s="2806">
        <f>EDATE(C48,-1)</f>
        <v>43160</v>
      </c>
      <c r="E48" s="2806">
        <f t="shared" ref="E48:O48" si="16">EDATE(D48,-1)</f>
        <v>43132</v>
      </c>
      <c r="F48" s="2806">
        <f t="shared" si="16"/>
        <v>43101</v>
      </c>
      <c r="G48" s="2806">
        <f t="shared" si="16"/>
        <v>43070</v>
      </c>
      <c r="H48" s="2806">
        <f t="shared" si="16"/>
        <v>43040</v>
      </c>
      <c r="I48" s="2806">
        <f t="shared" si="16"/>
        <v>43009</v>
      </c>
      <c r="J48" s="2806">
        <f t="shared" si="16"/>
        <v>42979</v>
      </c>
      <c r="K48" s="2806">
        <f t="shared" si="16"/>
        <v>42948</v>
      </c>
      <c r="L48" s="2806">
        <f t="shared" si="16"/>
        <v>42917</v>
      </c>
      <c r="M48" s="2806">
        <f t="shared" si="16"/>
        <v>42887</v>
      </c>
      <c r="N48" s="2806">
        <f t="shared" si="16"/>
        <v>42856</v>
      </c>
      <c r="O48" s="2806">
        <f t="shared" si="16"/>
        <v>42826</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3" workbookViewId="0">
      <selection activeCell="A185" sqref="A185"/>
    </sheetView>
  </sheetViews>
  <sheetFormatPr defaultRowHeight="13.5"/>
  <sheetData/>
  <phoneticPr fontId="23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13823.19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2018年4月15日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根据《国有土地使用证》[]，估价对象（分摊）出让国有建设用地使用权面积为4065.87平方米。根据《建设工程规划许可证》[]、《出让合同》[]，估价对象规划建筑面积为13823.19平方米。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94" t="s">
        <v>798</v>
      </c>
      <c r="D4" s="3495"/>
      <c r="E4" s="3528" t="s">
        <v>799</v>
      </c>
      <c r="F4" s="3529"/>
      <c r="G4" s="3494" t="s">
        <v>800</v>
      </c>
      <c r="H4" s="3495"/>
      <c r="I4" s="3494" t="s">
        <v>801</v>
      </c>
      <c r="J4" s="3495"/>
      <c r="K4" s="514" t="s">
        <v>802</v>
      </c>
      <c r="L4" s="2135"/>
      <c r="M4" s="2136"/>
      <c r="N4" s="2136"/>
      <c r="O4" s="2136"/>
      <c r="P4" s="3496" t="s">
        <v>803</v>
      </c>
      <c r="Q4" s="3497"/>
      <c r="R4" s="3502" t="s">
        <v>799</v>
      </c>
      <c r="S4" s="3503"/>
      <c r="T4" s="3502" t="s">
        <v>800</v>
      </c>
      <c r="U4" s="3503"/>
      <c r="V4" s="3489" t="s">
        <v>801</v>
      </c>
      <c r="W4" s="3489"/>
      <c r="X4" s="1568"/>
      <c r="Y4" s="3502" t="s">
        <v>803</v>
      </c>
      <c r="Z4" s="3503"/>
      <c r="AA4" s="3491" t="s">
        <v>799</v>
      </c>
      <c r="AB4" s="3492" t="s">
        <v>800</v>
      </c>
      <c r="AC4" s="3491" t="s">
        <v>801</v>
      </c>
    </row>
    <row r="5" spans="1:29" ht="15">
      <c r="A5" s="515"/>
      <c r="B5" s="516"/>
      <c r="C5" s="3510" t="s">
        <v>2930</v>
      </c>
      <c r="D5" s="3511"/>
      <c r="E5" s="3530" t="s">
        <v>2931</v>
      </c>
      <c r="F5" s="3531"/>
      <c r="G5" s="3510" t="s">
        <v>2932</v>
      </c>
      <c r="H5" s="3511"/>
      <c r="I5" s="3510" t="s">
        <v>2933</v>
      </c>
      <c r="J5" s="3511"/>
      <c r="K5" s="514"/>
      <c r="L5" s="2135"/>
      <c r="M5" s="2136"/>
      <c r="N5" s="2136"/>
      <c r="O5" s="2136"/>
      <c r="P5" s="3498"/>
      <c r="Q5" s="3499"/>
      <c r="R5" s="3504"/>
      <c r="S5" s="3505"/>
      <c r="T5" s="3504"/>
      <c r="U5" s="3505"/>
      <c r="V5" s="3489"/>
      <c r="W5" s="3489"/>
      <c r="X5" s="1568"/>
      <c r="Y5" s="3504"/>
      <c r="Z5" s="3505"/>
      <c r="AA5" s="3492"/>
      <c r="AB5" s="3492"/>
      <c r="AC5" s="3492"/>
    </row>
    <row r="6" spans="1:29" ht="15.75" thickBot="1">
      <c r="A6" s="517"/>
      <c r="B6" s="518"/>
      <c r="C6" s="3508" t="s">
        <v>2934</v>
      </c>
      <c r="D6" s="3509"/>
      <c r="E6" s="3526" t="s">
        <v>2934</v>
      </c>
      <c r="F6" s="3527"/>
      <c r="G6" s="3508" t="s">
        <v>2934</v>
      </c>
      <c r="H6" s="3509"/>
      <c r="I6" s="3508" t="s">
        <v>2934</v>
      </c>
      <c r="J6" s="3509"/>
      <c r="K6" s="514" t="s">
        <v>528</v>
      </c>
      <c r="L6" s="2135"/>
      <c r="M6" s="2136"/>
      <c r="N6" s="2136"/>
      <c r="O6" s="2136"/>
      <c r="P6" s="3500"/>
      <c r="Q6" s="3501"/>
      <c r="R6" s="3504"/>
      <c r="S6" s="3505"/>
      <c r="T6" s="3506"/>
      <c r="U6" s="3507"/>
      <c r="V6" s="3489"/>
      <c r="W6" s="3489"/>
      <c r="X6" s="1568"/>
      <c r="Y6" s="3506"/>
      <c r="Z6" s="3507"/>
      <c r="AA6" s="3493"/>
      <c r="AB6" s="3493"/>
      <c r="AC6" s="3493"/>
    </row>
    <row r="7" spans="1:29" s="1220" customFormat="1" ht="15.75" thickBot="1">
      <c r="A7" s="2914"/>
      <c r="B7" s="2921" t="s">
        <v>529</v>
      </c>
      <c r="C7" s="519">
        <f>'数据-取费表'!B2</f>
        <v>43205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519" t="s">
        <v>530</v>
      </c>
      <c r="Q7" s="3521"/>
      <c r="R7" s="1569" t="s">
        <v>8</v>
      </c>
      <c r="S7" s="1570">
        <f t="shared" ref="S7:S14" si="0">F7</f>
        <v>0</v>
      </c>
      <c r="T7" s="1569" t="s">
        <v>8</v>
      </c>
      <c r="U7" s="1570">
        <f t="shared" ref="U7:U14" si="1">H7</f>
        <v>0</v>
      </c>
      <c r="V7" s="1569" t="s">
        <v>8</v>
      </c>
      <c r="W7" s="1570">
        <f t="shared" ref="W7:W14" si="2">J7</f>
        <v>0</v>
      </c>
      <c r="X7" s="1571"/>
      <c r="Y7" s="3519" t="s">
        <v>530</v>
      </c>
      <c r="Z7" s="3520"/>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519" t="s">
        <v>533</v>
      </c>
      <c r="Q8" s="3520"/>
      <c r="R8" s="1569" t="s">
        <v>8</v>
      </c>
      <c r="S8" s="1570">
        <f t="shared" si="0"/>
        <v>0</v>
      </c>
      <c r="T8" s="1569" t="s">
        <v>8</v>
      </c>
      <c r="U8" s="1570">
        <f t="shared" si="1"/>
        <v>0</v>
      </c>
      <c r="V8" s="1569" t="s">
        <v>8</v>
      </c>
      <c r="W8" s="1570">
        <f t="shared" si="2"/>
        <v>0</v>
      </c>
      <c r="X8" s="1571"/>
      <c r="Y8" s="3519" t="s">
        <v>533</v>
      </c>
      <c r="Z8" s="3520"/>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88" t="s">
        <v>535</v>
      </c>
      <c r="Q9" s="1151" t="str">
        <f t="shared" ref="Q9:Q14" si="6">B9</f>
        <v>用途</v>
      </c>
      <c r="R9" s="1569" t="s">
        <v>8</v>
      </c>
      <c r="S9" s="1570">
        <f t="shared" si="0"/>
        <v>100</v>
      </c>
      <c r="T9" s="1569" t="s">
        <v>8</v>
      </c>
      <c r="U9" s="1570">
        <f t="shared" si="1"/>
        <v>100</v>
      </c>
      <c r="V9" s="1569" t="s">
        <v>8</v>
      </c>
      <c r="W9" s="1570">
        <f t="shared" si="2"/>
        <v>100</v>
      </c>
      <c r="X9" s="1571"/>
      <c r="Y9" s="3416"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88"/>
      <c r="Q10" s="1151" t="str">
        <f t="shared" si="6"/>
        <v>土地使用年限（年）</v>
      </c>
      <c r="R10" s="1569" t="s">
        <v>8</v>
      </c>
      <c r="S10" s="1570">
        <f t="shared" si="0"/>
        <v>100</v>
      </c>
      <c r="T10" s="1569" t="s">
        <v>8</v>
      </c>
      <c r="U10" s="1570">
        <f t="shared" si="1"/>
        <v>100</v>
      </c>
      <c r="V10" s="1569" t="s">
        <v>8</v>
      </c>
      <c r="W10" s="1570">
        <f t="shared" si="2"/>
        <v>100</v>
      </c>
      <c r="X10" s="1571"/>
      <c r="Y10" s="3416"/>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88"/>
      <c r="Q11" s="1151">
        <f t="shared" si="6"/>
        <v>111</v>
      </c>
      <c r="R11" s="1569" t="s">
        <v>8</v>
      </c>
      <c r="S11" s="1570">
        <f t="shared" si="0"/>
        <v>100</v>
      </c>
      <c r="T11" s="1569" t="s">
        <v>8</v>
      </c>
      <c r="U11" s="1570">
        <f t="shared" si="1"/>
        <v>100</v>
      </c>
      <c r="V11" s="1569" t="s">
        <v>8</v>
      </c>
      <c r="W11" s="1570">
        <f t="shared" si="2"/>
        <v>100</v>
      </c>
      <c r="X11" s="1571"/>
      <c r="Y11" s="3416"/>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88"/>
      <c r="Q12" s="1151">
        <f t="shared" si="6"/>
        <v>111</v>
      </c>
      <c r="R12" s="1569" t="s">
        <v>8</v>
      </c>
      <c r="S12" s="1570">
        <f t="shared" si="0"/>
        <v>100</v>
      </c>
      <c r="T12" s="1569" t="s">
        <v>8</v>
      </c>
      <c r="U12" s="1570">
        <f t="shared" si="1"/>
        <v>100</v>
      </c>
      <c r="V12" s="1569" t="s">
        <v>8</v>
      </c>
      <c r="W12" s="1570">
        <f t="shared" si="2"/>
        <v>100</v>
      </c>
      <c r="X12" s="1571"/>
      <c r="Y12" s="3416"/>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88"/>
      <c r="Q13" s="1151">
        <f t="shared" si="6"/>
        <v>111</v>
      </c>
      <c r="R13" s="1569" t="s">
        <v>8</v>
      </c>
      <c r="S13" s="1570">
        <f t="shared" si="0"/>
        <v>100</v>
      </c>
      <c r="T13" s="1569" t="s">
        <v>8</v>
      </c>
      <c r="U13" s="1570">
        <f t="shared" si="1"/>
        <v>100</v>
      </c>
      <c r="V13" s="1569" t="s">
        <v>8</v>
      </c>
      <c r="W13" s="1570">
        <f t="shared" si="2"/>
        <v>100</v>
      </c>
      <c r="X13" s="1571"/>
      <c r="Y13" s="3416"/>
      <c r="Z13" s="1150">
        <f t="shared" si="7"/>
        <v>111</v>
      </c>
      <c r="AA13" s="1572">
        <f t="shared" si="3"/>
        <v>1</v>
      </c>
      <c r="AB13" s="1572">
        <f t="shared" si="4"/>
        <v>1</v>
      </c>
      <c r="AC13" s="1572">
        <f t="shared" si="5"/>
        <v>1</v>
      </c>
    </row>
    <row r="14" spans="1:29" ht="142.5">
      <c r="A14" s="2912" t="s">
        <v>2757</v>
      </c>
      <c r="B14" s="166" t="s">
        <v>543</v>
      </c>
      <c r="C14" s="921" t="str">
        <f>IF(B1="工业",估价对象房地状况!G4,估价对象房地状况!C6)</f>
        <v>估价对象紧邻城市次干道—欣旺北大街，周边有381路、兴13路等多条公交线路通过，距地铁大兴线（西红门站）约1.2公里，综合评价交通便捷度一般。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522" t="s">
        <v>540</v>
      </c>
      <c r="Q14" s="1573" t="str">
        <f t="shared" si="6"/>
        <v>交通便捷度</v>
      </c>
      <c r="R14" s="1574" t="s">
        <v>8</v>
      </c>
      <c r="S14" s="1575">
        <f t="shared" si="0"/>
        <v>100</v>
      </c>
      <c r="T14" s="1574" t="s">
        <v>8</v>
      </c>
      <c r="U14" s="1575">
        <f t="shared" si="1"/>
        <v>100</v>
      </c>
      <c r="V14" s="1574" t="s">
        <v>8</v>
      </c>
      <c r="W14" s="1575">
        <f t="shared" si="2"/>
        <v>100</v>
      </c>
      <c r="X14" s="1568"/>
      <c r="Y14" s="352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523"/>
      <c r="Q15" s="1573"/>
      <c r="R15" s="1574"/>
      <c r="S15" s="1575"/>
      <c r="T15" s="1574"/>
      <c r="U15" s="1575"/>
      <c r="V15" s="1574"/>
      <c r="W15" s="1575"/>
      <c r="X15" s="1568"/>
      <c r="Y15" s="3523"/>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523"/>
      <c r="Q16" s="1573" t="str">
        <f>B16</f>
        <v>公共配套设施</v>
      </c>
      <c r="R16" s="1574" t="s">
        <v>8</v>
      </c>
      <c r="S16" s="1575">
        <f>F16</f>
        <v>100</v>
      </c>
      <c r="T16" s="1574" t="s">
        <v>8</v>
      </c>
      <c r="U16" s="1575">
        <f>H16</f>
        <v>100</v>
      </c>
      <c r="V16" s="1574" t="s">
        <v>8</v>
      </c>
      <c r="W16" s="1575">
        <f>J16</f>
        <v>100</v>
      </c>
      <c r="X16" s="1568"/>
      <c r="Y16" s="352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523"/>
      <c r="Q17" s="1573"/>
      <c r="R17" s="1574"/>
      <c r="S17" s="1575"/>
      <c r="T17" s="1574"/>
      <c r="U17" s="1575"/>
      <c r="V17" s="1574"/>
      <c r="W17" s="1575"/>
      <c r="X17" s="1568"/>
      <c r="Y17" s="3523"/>
      <c r="Z17" s="1576"/>
      <c r="AA17" s="1577">
        <v>1</v>
      </c>
      <c r="AB17" s="1577">
        <v>1</v>
      </c>
      <c r="AC17" s="1577">
        <v>1</v>
      </c>
    </row>
    <row r="18" spans="1:29" ht="15">
      <c r="A18" s="532"/>
      <c r="B18" s="2593" t="s">
        <v>2561</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523"/>
      <c r="Q18" s="2581" t="str">
        <f>B18</f>
        <v>基础设施水平</v>
      </c>
      <c r="R18" s="1574" t="s">
        <v>8</v>
      </c>
      <c r="S18" s="1575">
        <f>F18</f>
        <v>100</v>
      </c>
      <c r="T18" s="1574" t="s">
        <v>8</v>
      </c>
      <c r="U18" s="1575">
        <f>H18</f>
        <v>100</v>
      </c>
      <c r="V18" s="1574" t="s">
        <v>8</v>
      </c>
      <c r="W18" s="1575">
        <f>J18</f>
        <v>100</v>
      </c>
      <c r="X18" s="2583"/>
      <c r="Y18" s="3523"/>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523"/>
      <c r="Q19" s="2581"/>
      <c r="R19" s="1574"/>
      <c r="S19" s="1575"/>
      <c r="T19" s="1574"/>
      <c r="U19" s="1575"/>
      <c r="V19" s="1574"/>
      <c r="W19" s="1575"/>
      <c r="X19" s="2583"/>
      <c r="Y19" s="3523"/>
      <c r="Z19" s="2582"/>
      <c r="AA19" s="1577">
        <v>1</v>
      </c>
      <c r="AB19" s="1577">
        <v>1</v>
      </c>
      <c r="AC19" s="1577">
        <v>1</v>
      </c>
    </row>
    <row r="20" spans="1:29" ht="114">
      <c r="A20" s="532"/>
      <c r="B20" s="871" t="s">
        <v>804</v>
      </c>
      <c r="C20" s="872" t="str">
        <f>IF(B1="工业",估价对象房地状况!G7,估价对象房地状况!C9)</f>
        <v>区域自然环境：西红门九龙口休闲公园、兴海公园等；人文环境：快乐392高尔夫俱乐部等；综合评价环境状况较好。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523"/>
      <c r="Q20" s="1573" t="str">
        <f>B20</f>
        <v>自然及人文环境</v>
      </c>
      <c r="R20" s="1574" t="s">
        <v>8</v>
      </c>
      <c r="S20" s="1575">
        <f>F20</f>
        <v>100</v>
      </c>
      <c r="T20" s="1574" t="s">
        <v>8</v>
      </c>
      <c r="U20" s="1575">
        <f>H20</f>
        <v>100</v>
      </c>
      <c r="V20" s="1574" t="s">
        <v>8</v>
      </c>
      <c r="W20" s="1575">
        <f>J20</f>
        <v>100</v>
      </c>
      <c r="X20" s="1568"/>
      <c r="Y20" s="352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523"/>
      <c r="Q21" s="1573"/>
      <c r="R21" s="1574"/>
      <c r="S21" s="1575"/>
      <c r="T21" s="1574"/>
      <c r="U21" s="1575"/>
      <c r="V21" s="1574"/>
      <c r="W21" s="1575"/>
      <c r="X21" s="1568"/>
      <c r="Y21" s="352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523"/>
      <c r="Q22" s="1573" t="str">
        <f>B22</f>
        <v>楼层</v>
      </c>
      <c r="R22" s="1574" t="s">
        <v>8</v>
      </c>
      <c r="S22" s="1575">
        <f>F22</f>
        <v>100</v>
      </c>
      <c r="T22" s="1574" t="s">
        <v>8</v>
      </c>
      <c r="U22" s="1575">
        <f>H22</f>
        <v>100</v>
      </c>
      <c r="V22" s="1574" t="s">
        <v>8</v>
      </c>
      <c r="W22" s="1575">
        <f>J22</f>
        <v>100</v>
      </c>
      <c r="X22" s="1568"/>
      <c r="Y22" s="352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523"/>
      <c r="Q23" s="1573">
        <f>B23</f>
        <v>111</v>
      </c>
      <c r="R23" s="1574" t="s">
        <v>8</v>
      </c>
      <c r="S23" s="1575">
        <f>F23</f>
        <v>100</v>
      </c>
      <c r="T23" s="1574" t="s">
        <v>8</v>
      </c>
      <c r="U23" s="1575">
        <f>H23</f>
        <v>100</v>
      </c>
      <c r="V23" s="1574" t="s">
        <v>8</v>
      </c>
      <c r="W23" s="1575">
        <f>J23</f>
        <v>100</v>
      </c>
      <c r="X23" s="1568"/>
      <c r="Y23" s="352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523"/>
      <c r="Q24" s="1573">
        <f t="shared" ref="Q24:Q34" si="11">B24</f>
        <v>111</v>
      </c>
      <c r="R24" s="1574" t="s">
        <v>8</v>
      </c>
      <c r="S24" s="1575">
        <f>F24</f>
        <v>100</v>
      </c>
      <c r="T24" s="1574" t="s">
        <v>8</v>
      </c>
      <c r="U24" s="1575">
        <f>H24</f>
        <v>100</v>
      </c>
      <c r="V24" s="1574" t="s">
        <v>8</v>
      </c>
      <c r="W24" s="1575">
        <f>J24</f>
        <v>100</v>
      </c>
      <c r="X24" s="1568"/>
      <c r="Y24" s="352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523"/>
      <c r="Q25" s="1151">
        <f t="shared" si="11"/>
        <v>111</v>
      </c>
      <c r="R25" s="1569" t="s">
        <v>8</v>
      </c>
      <c r="S25" s="1570">
        <f>F25</f>
        <v>100</v>
      </c>
      <c r="T25" s="1569" t="s">
        <v>8</v>
      </c>
      <c r="U25" s="1570">
        <f>H25</f>
        <v>100</v>
      </c>
      <c r="V25" s="1569" t="s">
        <v>8</v>
      </c>
      <c r="W25" s="1570">
        <f>J25</f>
        <v>100</v>
      </c>
      <c r="X25" s="1571"/>
      <c r="Y25" s="3523"/>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52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2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525"/>
      <c r="Q27" s="1606" t="str">
        <f t="shared" si="11"/>
        <v>成新率</v>
      </c>
      <c r="R27" s="1578" t="s">
        <v>8</v>
      </c>
      <c r="S27" s="1579" t="e">
        <f t="shared" si="12"/>
        <v>#N/A</v>
      </c>
      <c r="T27" s="1578" t="s">
        <v>8</v>
      </c>
      <c r="U27" s="1579" t="e">
        <f t="shared" si="13"/>
        <v>#N/A</v>
      </c>
      <c r="V27" s="1578" t="s">
        <v>8</v>
      </c>
      <c r="W27" s="1579" t="e">
        <f t="shared" si="14"/>
        <v>#N/A</v>
      </c>
      <c r="X27" s="1580"/>
      <c r="Y27" s="352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525"/>
      <c r="Q28" s="1573" t="str">
        <f t="shared" si="11"/>
        <v>物业等级</v>
      </c>
      <c r="R28" s="1574" t="s">
        <v>8</v>
      </c>
      <c r="S28" s="1575">
        <f t="shared" si="12"/>
        <v>100</v>
      </c>
      <c r="T28" s="1574" t="s">
        <v>8</v>
      </c>
      <c r="U28" s="1575">
        <f t="shared" si="13"/>
        <v>100</v>
      </c>
      <c r="V28" s="1574" t="s">
        <v>8</v>
      </c>
      <c r="W28" s="1575">
        <f t="shared" si="14"/>
        <v>100</v>
      </c>
      <c r="X28" s="1568"/>
      <c r="Y28" s="352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525"/>
      <c r="Q29" s="1573" t="str">
        <f t="shared" si="11"/>
        <v>有无电梯</v>
      </c>
      <c r="R29" s="1574" t="s">
        <v>8</v>
      </c>
      <c r="S29" s="1575">
        <f t="shared" si="12"/>
        <v>100</v>
      </c>
      <c r="T29" s="1574" t="s">
        <v>8</v>
      </c>
      <c r="U29" s="1575">
        <f t="shared" si="13"/>
        <v>100</v>
      </c>
      <c r="V29" s="1574" t="s">
        <v>8</v>
      </c>
      <c r="W29" s="1575">
        <f t="shared" si="14"/>
        <v>100</v>
      </c>
      <c r="X29" s="1568"/>
      <c r="Y29" s="352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525"/>
      <c r="Q30" s="1573" t="str">
        <f t="shared" si="11"/>
        <v>建筑面积</v>
      </c>
      <c r="R30" s="1574" t="s">
        <v>8</v>
      </c>
      <c r="S30" s="1575" t="e">
        <f t="shared" si="12"/>
        <v>#N/A</v>
      </c>
      <c r="T30" s="1574" t="s">
        <v>8</v>
      </c>
      <c r="U30" s="1575" t="e">
        <f t="shared" si="13"/>
        <v>#N/A</v>
      </c>
      <c r="V30" s="1574" t="s">
        <v>8</v>
      </c>
      <c r="W30" s="1575" t="e">
        <f t="shared" si="14"/>
        <v>#N/A</v>
      </c>
      <c r="X30" s="1568"/>
      <c r="Y30" s="352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525"/>
      <c r="Q31" s="1151" t="str">
        <f t="shared" si="11"/>
        <v>是否封闭</v>
      </c>
      <c r="R31" s="1569" t="s">
        <v>8</v>
      </c>
      <c r="S31" s="1570">
        <f t="shared" si="12"/>
        <v>100</v>
      </c>
      <c r="T31" s="1569" t="s">
        <v>8</v>
      </c>
      <c r="U31" s="1570">
        <f t="shared" si="13"/>
        <v>100</v>
      </c>
      <c r="V31" s="1569" t="s">
        <v>8</v>
      </c>
      <c r="W31" s="1570">
        <f t="shared" si="14"/>
        <v>100</v>
      </c>
      <c r="X31" s="1571"/>
      <c r="Y31" s="352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525" t="s">
        <v>550</v>
      </c>
      <c r="Q32" s="1573">
        <f t="shared" si="11"/>
        <v>111</v>
      </c>
      <c r="R32" s="1574" t="s">
        <v>8</v>
      </c>
      <c r="S32" s="1575">
        <f t="shared" si="12"/>
        <v>100</v>
      </c>
      <c r="T32" s="1574" t="s">
        <v>8</v>
      </c>
      <c r="U32" s="1575">
        <f t="shared" si="13"/>
        <v>100</v>
      </c>
      <c r="V32" s="1574" t="s">
        <v>8</v>
      </c>
      <c r="W32" s="1575">
        <f t="shared" si="14"/>
        <v>100</v>
      </c>
      <c r="X32" s="1568"/>
      <c r="Y32" s="352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525"/>
      <c r="Q33" s="1573">
        <f t="shared" si="11"/>
        <v>111</v>
      </c>
      <c r="R33" s="1574" t="s">
        <v>8</v>
      </c>
      <c r="S33" s="1575">
        <f t="shared" si="12"/>
        <v>100</v>
      </c>
      <c r="T33" s="1574" t="s">
        <v>8</v>
      </c>
      <c r="U33" s="1575">
        <f t="shared" si="13"/>
        <v>100</v>
      </c>
      <c r="V33" s="1574" t="s">
        <v>8</v>
      </c>
      <c r="W33" s="1575">
        <f t="shared" si="14"/>
        <v>100</v>
      </c>
      <c r="X33" s="1568"/>
      <c r="Y33" s="352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525"/>
      <c r="Q34" s="1573">
        <f t="shared" si="11"/>
        <v>111</v>
      </c>
      <c r="R34" s="1574" t="s">
        <v>8</v>
      </c>
      <c r="S34" s="1575">
        <f t="shared" si="12"/>
        <v>100</v>
      </c>
      <c r="T34" s="1574" t="s">
        <v>8</v>
      </c>
      <c r="U34" s="1575">
        <f t="shared" si="13"/>
        <v>100</v>
      </c>
      <c r="V34" s="1574" t="s">
        <v>8</v>
      </c>
      <c r="W34" s="1575">
        <f t="shared" si="14"/>
        <v>100</v>
      </c>
      <c r="X34" s="1568"/>
      <c r="Y34" s="3525"/>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88" t="str">
        <f>A35</f>
        <v>成交单价（元/平方米）</v>
      </c>
      <c r="Q35" s="3488"/>
      <c r="R35" s="3583">
        <f>E35</f>
        <v>0</v>
      </c>
      <c r="S35" s="3583"/>
      <c r="T35" s="3583">
        <f>G35</f>
        <v>0</v>
      </c>
      <c r="U35" s="3583"/>
      <c r="V35" s="3583">
        <f>I35</f>
        <v>0</v>
      </c>
      <c r="W35" s="3583"/>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88" t="str">
        <f>A36</f>
        <v>比较价格（元/平方米）</v>
      </c>
      <c r="Q36" s="3488"/>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85" t="str">
        <f>A37</f>
        <v>估价对象XX用房的比较价格（楼面单价，元/平方米）</v>
      </c>
      <c r="Q37" s="3486"/>
      <c r="R37" s="3582" t="e">
        <f>IF(F1="售价",ROUND(AVERAGE(R36:V36),0),ROUND(AVERAGE(R36:V36),1))</f>
        <v>#DIV/0!</v>
      </c>
      <c r="S37" s="3582"/>
      <c r="T37" s="3582"/>
      <c r="U37" s="3582"/>
      <c r="V37" s="3582"/>
      <c r="W37" s="358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2018-4</v>
      </c>
      <c r="D46" s="2806">
        <f>EDATE(C46,-1)</f>
        <v>43160</v>
      </c>
      <c r="E46" s="2806">
        <f t="shared" ref="E46:O46" si="16">EDATE(D46,-1)</f>
        <v>43132</v>
      </c>
      <c r="F46" s="2806">
        <f t="shared" si="16"/>
        <v>43101</v>
      </c>
      <c r="G46" s="2806">
        <f t="shared" si="16"/>
        <v>43070</v>
      </c>
      <c r="H46" s="2806">
        <f t="shared" si="16"/>
        <v>43040</v>
      </c>
      <c r="I46" s="2806">
        <f t="shared" si="16"/>
        <v>43009</v>
      </c>
      <c r="J46" s="2806">
        <f t="shared" si="16"/>
        <v>42979</v>
      </c>
      <c r="K46" s="2806">
        <f t="shared" si="16"/>
        <v>42948</v>
      </c>
      <c r="L46" s="2806">
        <f t="shared" si="16"/>
        <v>42917</v>
      </c>
      <c r="M46" s="2806">
        <f t="shared" si="16"/>
        <v>42887</v>
      </c>
      <c r="N46" s="2806">
        <f t="shared" si="16"/>
        <v>42856</v>
      </c>
      <c r="O46" s="2806">
        <f t="shared" si="16"/>
        <v>42826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95" t="s">
        <v>2307</v>
      </c>
      <c r="D1" s="3596"/>
      <c r="E1" s="3596"/>
      <c r="F1" s="3596"/>
      <c r="G1" s="3596"/>
      <c r="H1" s="3596"/>
      <c r="I1" s="3596"/>
      <c r="J1" s="3596"/>
      <c r="K1" s="3596"/>
      <c r="L1" s="3596"/>
      <c r="M1" s="3596"/>
      <c r="N1" s="3596"/>
      <c r="O1" s="3596"/>
      <c r="P1" s="3596"/>
      <c r="Q1" s="3596"/>
      <c r="R1" s="3596"/>
      <c r="S1" s="359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92" t="s">
        <v>20</v>
      </c>
      <c r="D22" s="3593"/>
      <c r="E22" s="3593"/>
      <c r="F22" s="3593"/>
      <c r="G22" s="3593"/>
      <c r="H22" s="3593"/>
      <c r="I22" s="3593"/>
      <c r="J22" s="3593"/>
      <c r="K22" s="3593"/>
      <c r="L22" s="3593"/>
      <c r="M22" s="3593"/>
      <c r="N22" s="3593"/>
      <c r="O22" s="3593"/>
      <c r="P22" s="3593"/>
      <c r="Q22" s="359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43205</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2</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2041</v>
      </c>
      <c r="B1" s="3238"/>
      <c r="C1" s="3238"/>
      <c r="D1" s="3238"/>
      <c r="E1" s="3238"/>
      <c r="F1" s="3238"/>
      <c r="G1" s="3238"/>
      <c r="H1" s="3238"/>
      <c r="I1" s="3238"/>
      <c r="J1" s="3238"/>
      <c r="K1" s="3238"/>
      <c r="L1" s="3238"/>
      <c r="M1" s="3238"/>
      <c r="N1" s="3238"/>
      <c r="O1" s="3238"/>
      <c r="P1" s="3238"/>
      <c r="Q1" s="3238"/>
      <c r="R1" s="3238"/>
    </row>
    <row r="2" spans="1:18">
      <c r="A2" s="1809" t="s">
        <v>2043</v>
      </c>
      <c r="B2" s="1809"/>
      <c r="C2" s="1809"/>
      <c r="D2" s="1809"/>
      <c r="E2" s="1809"/>
      <c r="F2" s="1809"/>
      <c r="G2" s="1809"/>
      <c r="H2" s="1809"/>
      <c r="I2" s="1810"/>
      <c r="J2" s="1810"/>
      <c r="K2" s="1811" t="str">
        <f>"估价期日："&amp;TEXT(项目基本情况!D3,"yyyy年m月d日;;")</f>
        <v>估价期日：2018年4月15日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9" t="s">
        <v>2032</v>
      </c>
      <c r="B3" s="3239" t="s">
        <v>2734</v>
      </c>
      <c r="C3" s="3240" t="s">
        <v>2033</v>
      </c>
      <c r="D3" s="3239" t="s">
        <v>2738</v>
      </c>
      <c r="E3" s="3242" t="s">
        <v>2034</v>
      </c>
      <c r="F3" s="3242"/>
      <c r="G3" s="3242"/>
      <c r="H3" s="3242" t="s">
        <v>2035</v>
      </c>
      <c r="I3" s="3242"/>
      <c r="J3" s="3242"/>
      <c r="K3" s="3240" t="s">
        <v>2036</v>
      </c>
      <c r="L3" s="3240" t="s">
        <v>2037</v>
      </c>
      <c r="M3" s="3239" t="s">
        <v>2735</v>
      </c>
      <c r="N3" s="3241" t="str">
        <f>"（分摊）"&amp;项目基本情况!B16&amp;"国有建设用地使用权面积/㎡"</f>
        <v>（分摊）出让国有建设用地使用权面积/㎡</v>
      </c>
      <c r="O3" s="3239" t="s">
        <v>2066</v>
      </c>
      <c r="P3" s="3240" t="s">
        <v>2046</v>
      </c>
      <c r="Q3" s="3240" t="s">
        <v>2067</v>
      </c>
      <c r="R3" s="3240" t="s">
        <v>2038</v>
      </c>
    </row>
    <row r="4" spans="1:18" ht="36.75" customHeight="1">
      <c r="A4" s="3239"/>
      <c r="B4" s="3239"/>
      <c r="C4" s="3240"/>
      <c r="D4" s="3239"/>
      <c r="E4" s="2651" t="s">
        <v>2045</v>
      </c>
      <c r="F4" s="2651" t="s">
        <v>2747</v>
      </c>
      <c r="G4" s="2651" t="s">
        <v>2039</v>
      </c>
      <c r="H4" s="2651" t="s">
        <v>2040</v>
      </c>
      <c r="I4" s="2651" t="s">
        <v>2748</v>
      </c>
      <c r="J4" s="2651" t="s">
        <v>2039</v>
      </c>
      <c r="K4" s="3240"/>
      <c r="L4" s="3240"/>
      <c r="M4" s="3239"/>
      <c r="N4" s="3241"/>
      <c r="O4" s="3239"/>
      <c r="P4" s="3240"/>
      <c r="Q4" s="3240"/>
      <c r="R4" s="3240"/>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4065.87</v>
      </c>
      <c r="O5" s="1812">
        <f>项目基本情况!C21</f>
        <v>13823.19</v>
      </c>
      <c r="P5" s="1812">
        <f ca="1">结果表!E42</f>
        <v>34317</v>
      </c>
      <c r="Q5" s="1812">
        <f ca="1">结果表!D42</f>
        <v>10094</v>
      </c>
      <c r="R5" s="1813">
        <f ca="1">结果表!C42</f>
        <v>13953</v>
      </c>
    </row>
    <row r="6" spans="1:18">
      <c r="A6" s="3235" t="str">
        <f>IF(项目基本情况!B9="市场价格","——","抵押价格")</f>
        <v>——</v>
      </c>
      <c r="B6" s="3236"/>
      <c r="C6" s="3236"/>
      <c r="D6" s="3236"/>
      <c r="E6" s="3236"/>
      <c r="F6" s="3236"/>
      <c r="G6" s="3236"/>
      <c r="H6" s="3236"/>
      <c r="I6" s="3236"/>
      <c r="J6" s="3236"/>
      <c r="K6" s="3236"/>
      <c r="L6" s="3236"/>
      <c r="M6" s="3236"/>
      <c r="N6" s="3236"/>
      <c r="O6" s="3236"/>
      <c r="P6" s="3236"/>
      <c r="Q6" s="3237"/>
      <c r="R6" s="1814"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14" t="str">
        <f>结果表!O40</f>
        <v>——</v>
      </c>
    </row>
    <row r="8" spans="1:18">
      <c r="A8" s="3235" t="str">
        <f>IF(项目基本情况!B9="市场价格","——",项目基本情况!E9)</f>
        <v>——</v>
      </c>
      <c r="B8" s="3236"/>
      <c r="C8" s="3236"/>
      <c r="D8" s="3236"/>
      <c r="E8" s="3236"/>
      <c r="F8" s="3236"/>
      <c r="G8" s="3236"/>
      <c r="H8" s="3236"/>
      <c r="I8" s="3236"/>
      <c r="J8" s="3236"/>
      <c r="K8" s="3236"/>
      <c r="L8" s="3236"/>
      <c r="M8" s="3236"/>
      <c r="N8" s="3236"/>
      <c r="O8" s="3236"/>
      <c r="P8" s="3236"/>
      <c r="Q8" s="3237"/>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4" t="s">
        <v>2068</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2069</v>
      </c>
      <c r="B5" s="3243"/>
      <c r="C5" s="3243"/>
      <c r="D5" s="3243"/>
    </row>
    <row r="6" spans="1:4">
      <c r="A6" s="3244" t="s">
        <v>2047</v>
      </c>
      <c r="B6" s="3244"/>
      <c r="C6" s="3244"/>
      <c r="D6" s="3244"/>
    </row>
    <row r="7" spans="1:4" ht="33" customHeight="1">
      <c r="A7" s="3244" t="s">
        <v>2578</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4"/>
      <c r="C8" s="3244"/>
      <c r="D8" s="3244"/>
    </row>
    <row r="9" spans="1:4" ht="33.75" customHeight="1">
      <c r="A9" s="3244" t="str">
        <f>IF(项目基本情况!B8="抵押","3.抵押双方在办理抵押登记手续时，应使用本公司出具的正式《土地估价报告》，特提请报告使用者注意。","——")</f>
        <v>——</v>
      </c>
      <c r="B9" s="3244"/>
      <c r="C9" s="3244"/>
      <c r="D9" s="3244"/>
    </row>
    <row r="10" spans="1:4">
      <c r="A10" s="3244" t="str">
        <f>IF(项目基本情况!B8="抵押","4.估价师所知悉的法定优先受偿款情况为：","——")</f>
        <v>——</v>
      </c>
      <c r="B10" s="3244"/>
      <c r="C10" s="3244"/>
      <c r="D10" s="3244"/>
    </row>
    <row r="11" spans="1:4" ht="37.5" customHeight="1">
      <c r="A11" s="3246" t="str">
        <f>IF(项目基本情况!B8="抵押","（1）"&amp;CONCATENATE(项目基本情况!L24,项目基本情况!L25,项目基本情况!L26),"——")</f>
        <v>——</v>
      </c>
      <c r="B11" s="3246"/>
      <c r="C11" s="3246"/>
      <c r="D11" s="3246"/>
    </row>
    <row r="12" spans="1:4" ht="168" customHeight="1">
      <c r="A12" s="3243" t="s">
        <v>2071</v>
      </c>
      <c r="B12" s="3243"/>
      <c r="C12" s="3243"/>
      <c r="D12" s="3243"/>
    </row>
    <row r="13" spans="1:4">
      <c r="A13" s="3247" t="s">
        <v>2749</v>
      </c>
      <c r="B13" s="3247"/>
      <c r="C13" s="3247"/>
      <c r="D13" s="3247"/>
    </row>
    <row r="14" spans="1:4">
      <c r="A14" s="3246" t="str">
        <f>IF(项目基本情况!B8="抵押","综上，"&amp;结果表!K47,"——")</f>
        <v>——</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2705</v>
      </c>
      <c r="B17" s="3244"/>
      <c r="C17" s="3244"/>
      <c r="D17" s="3244"/>
    </row>
    <row r="18" spans="1:4">
      <c r="A18" s="3244" t="s">
        <v>2697</v>
      </c>
      <c r="B18" s="3244"/>
      <c r="C18" s="3244"/>
      <c r="D18" s="3244"/>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244" t="s">
        <v>2702</v>
      </c>
      <c r="B23" s="3244"/>
      <c r="C23" s="3244"/>
      <c r="D23" s="3244"/>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5" t="s">
        <v>53</v>
      </c>
      <c r="B15" s="3256" t="s">
        <v>846</v>
      </c>
      <c r="C15" s="3252"/>
    </row>
    <row r="16" spans="1:7" ht="14.25">
      <c r="A16" s="3255"/>
      <c r="B16" s="3253" t="s">
        <v>54</v>
      </c>
      <c r="C16" s="1172" t="s">
        <v>53</v>
      </c>
    </row>
    <row r="17" spans="1:3" ht="14.25">
      <c r="A17" s="3255"/>
      <c r="B17" s="3253"/>
      <c r="C17" s="1172" t="s">
        <v>55</v>
      </c>
    </row>
    <row r="18" spans="1:3" ht="14.25">
      <c r="A18" s="3255"/>
      <c r="B18" s="3253"/>
      <c r="C18" s="1172" t="s">
        <v>56</v>
      </c>
    </row>
    <row r="19" spans="1:3" ht="14.25">
      <c r="A19" s="3255"/>
      <c r="B19" s="3251" t="s">
        <v>57</v>
      </c>
      <c r="C19" s="3252"/>
    </row>
    <row r="20" spans="1:3" ht="14.25">
      <c r="A20" s="1173" t="s">
        <v>58</v>
      </c>
      <c r="B20" s="1174"/>
      <c r="C20" s="1175"/>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6" t="s">
        <v>837</v>
      </c>
    </row>
    <row r="25" spans="1:3" ht="14.25">
      <c r="A25" s="3254"/>
      <c r="B25" s="3258"/>
      <c r="C25" s="1176" t="s">
        <v>838</v>
      </c>
    </row>
    <row r="26" spans="1:3" ht="14.25">
      <c r="A26" s="3254"/>
      <c r="B26" s="3258"/>
      <c r="C26" s="1176" t="s">
        <v>839</v>
      </c>
    </row>
    <row r="27" spans="1:3" ht="14.25">
      <c r="A27" s="3254"/>
      <c r="B27" s="3258"/>
      <c r="C27" s="1176" t="s">
        <v>840</v>
      </c>
    </row>
    <row r="28" spans="1:3" ht="14.25">
      <c r="A28" s="3254"/>
      <c r="B28" s="3258"/>
      <c r="C28" s="1176" t="s">
        <v>841</v>
      </c>
    </row>
    <row r="29" spans="1:3" ht="14.25">
      <c r="A29" s="3254"/>
      <c r="B29" s="3258"/>
      <c r="C29" s="1176" t="s">
        <v>842</v>
      </c>
    </row>
    <row r="30" spans="1:3" ht="14.25">
      <c r="A30" s="3254"/>
      <c r="B30" s="3258"/>
      <c r="C30" s="1176" t="s">
        <v>843</v>
      </c>
    </row>
    <row r="31" spans="1:3" ht="14.25">
      <c r="A31" s="3254"/>
      <c r="B31" s="3258"/>
      <c r="C31" s="1176" t="s">
        <v>844</v>
      </c>
    </row>
    <row r="32" spans="1:3" ht="14.25">
      <c r="A32" s="3254"/>
      <c r="B32" s="3258"/>
      <c r="C32" s="1176" t="s">
        <v>1647</v>
      </c>
    </row>
    <row r="33" spans="1:3" ht="14.25">
      <c r="A33" s="3254"/>
      <c r="B33" s="3248" t="s">
        <v>1653</v>
      </c>
      <c r="C33" s="1176" t="s">
        <v>1648</v>
      </c>
    </row>
    <row r="34" spans="1:3" ht="14.25">
      <c r="A34" s="3254"/>
      <c r="B34" s="3249"/>
      <c r="C34" s="1181" t="s">
        <v>1649</v>
      </c>
    </row>
    <row r="35" spans="1:3" ht="14.25">
      <c r="A35" s="3254"/>
      <c r="B35" s="3249"/>
      <c r="C35" s="1182" t="s">
        <v>1650</v>
      </c>
    </row>
    <row r="36" spans="1:3" ht="14.25">
      <c r="A36" s="3254"/>
      <c r="B36" s="3249"/>
      <c r="C36" s="1182" t="s">
        <v>1651</v>
      </c>
    </row>
    <row r="37" spans="1:3" ht="14.25">
      <c r="A37" s="3254"/>
      <c r="B37" s="325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43293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2978</v>
      </c>
      <c r="B12" s="2345">
        <v>1120110054</v>
      </c>
      <c r="C12" s="3008">
        <v>43937</v>
      </c>
      <c r="D12" s="2345" t="s">
        <v>2978</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59" t="s">
        <v>1929</v>
      </c>
      <c r="B25" s="3259"/>
      <c r="C25" s="3259"/>
      <c r="D25" s="3259"/>
      <c r="E25" s="3259"/>
      <c r="F25" s="3259"/>
      <c r="G25" s="3259"/>
    </row>
    <row r="26" spans="1:7" ht="20.25" customHeight="1">
      <c r="A26" s="3260" t="s">
        <v>1930</v>
      </c>
      <c r="B26" s="3260"/>
      <c r="C26" s="3260"/>
      <c r="D26" s="3260" t="s">
        <v>1931</v>
      </c>
      <c r="E26" s="3260"/>
      <c r="F26" s="326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2956</v>
      </c>
      <c r="C18" s="1555"/>
    </row>
    <row r="19" spans="1:3">
      <c r="A19" s="8" t="s">
        <v>120</v>
      </c>
      <c r="B19" s="3115"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c r="D53" s="1769"/>
      <c r="E53" s="1769"/>
    </row>
    <row r="54" spans="1:5">
      <c r="A54" s="326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结果表2</vt:lpstr>
      <vt:lpstr>结果表</vt:lpstr>
      <vt:lpstr>剩余法-待开发</vt:lpstr>
      <vt:lpstr>基准地价</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案例</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2018-07-12T12:19:20Z</dcterms:modified>
</cp:coreProperties>
</file>