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土地案例" sheetId="77"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8" i="31" l="1"/>
  <c r="B29" i="31" s="1"/>
  <c r="B30" i="31" s="1"/>
  <c r="B31" i="31" s="1"/>
  <c r="B32" i="31" s="1"/>
  <c r="B33" i="31" s="1"/>
  <c r="B34" i="31" s="1"/>
  <c r="B26" i="31"/>
  <c r="B27" i="31" s="1"/>
  <c r="B25" i="31"/>
  <c r="C18" i="74" l="1"/>
  <c r="B18" i="74"/>
  <c r="C15" i="74" l="1"/>
  <c r="B15" i="74"/>
  <c r="F19" i="6" l="1"/>
  <c r="B24" i="31" s="1"/>
  <c r="AH5" i="71" l="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4" i="71"/>
  <c r="P14" i="71"/>
  <c r="O14" i="71"/>
  <c r="N14" i="71"/>
  <c r="A15" i="51"/>
  <c r="B12" i="72" s="1"/>
  <c r="C76" i="9"/>
  <c r="I107" i="40"/>
  <c r="K6" i="4"/>
  <c r="B22" i="31"/>
  <c r="B14" i="74" s="1"/>
  <c r="N56" i="9"/>
  <c r="M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F38" i="68"/>
  <c r="E37" i="68"/>
  <c r="F36" i="68"/>
  <c r="F35" i="68"/>
  <c r="F21" i="68"/>
  <c r="C21" i="68" s="1"/>
  <c r="F20" i="68"/>
  <c r="E10" i="68"/>
  <c r="E9" i="68"/>
  <c r="C7" i="68"/>
  <c r="C5" i="68" s="1"/>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R503" i="31"/>
  <c r="R504" i="31"/>
  <c r="S504" i="31" s="1"/>
  <c r="R505" i="31"/>
  <c r="S505" i="31" s="1"/>
  <c r="R506" i="31"/>
  <c r="R507" i="31"/>
  <c r="R508" i="31"/>
  <c r="S508" i="31" s="1"/>
  <c r="R509" i="31"/>
  <c r="S509" i="31" s="1"/>
  <c r="R510" i="31"/>
  <c r="S510" i="31" s="1"/>
  <c r="R511" i="31"/>
  <c r="R512" i="31"/>
  <c r="S512" i="31" s="1"/>
  <c r="R513" i="31"/>
  <c r="S513" i="31" s="1"/>
  <c r="R514" i="31"/>
  <c r="S514" i="31" s="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49" i="31"/>
  <c r="S245" i="31"/>
  <c r="S241" i="31"/>
  <c r="S237" i="31"/>
  <c r="S233" i="31"/>
  <c r="S229" i="31"/>
  <c r="S225"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5" i="31"/>
  <c r="S491" i="31"/>
  <c r="S487" i="31"/>
  <c r="S483" i="31"/>
  <c r="S479" i="31"/>
  <c r="S475" i="31"/>
  <c r="S471" i="31"/>
  <c r="S444" i="31"/>
  <c r="S442" i="31"/>
  <c r="S440" i="31"/>
  <c r="S438" i="31"/>
  <c r="S436" i="31"/>
  <c r="S434" i="31"/>
  <c r="S432" i="31"/>
  <c r="S430" i="31"/>
  <c r="S122" i="31"/>
  <c r="S121" i="31"/>
  <c r="S120" i="31"/>
  <c r="S119" i="31"/>
  <c r="S118" i="31"/>
  <c r="S117" i="31"/>
  <c r="S116" i="31"/>
  <c r="S115" i="31"/>
  <c r="S114" i="31"/>
  <c r="S113" i="31"/>
  <c r="S112" i="31"/>
  <c r="S506" i="31"/>
  <c r="S502"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11"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K6" i="1"/>
  <c r="M6" i="1" s="1"/>
  <c r="O6" i="1" s="1"/>
  <c r="P6" i="1" s="1"/>
  <c r="G29" i="6"/>
  <c r="E29" i="6"/>
  <c r="AC26" i="33"/>
  <c r="W26" i="33"/>
  <c r="W27" i="34"/>
  <c r="AC27" i="34"/>
  <c r="AB34" i="36"/>
  <c r="U34" i="36"/>
  <c r="AB33" i="36"/>
  <c r="U33" i="36"/>
  <c r="AC12" i="39"/>
  <c r="W12" i="39"/>
  <c r="AC39" i="40"/>
  <c r="W39" i="40"/>
  <c r="AZ401" i="3"/>
  <c r="AZ412" i="3"/>
  <c r="AZ417" i="3"/>
  <c r="AZ428" i="3"/>
  <c r="AZ433" i="3"/>
  <c r="AZ465" i="3"/>
  <c r="AZ586" i="3"/>
  <c r="B113" i="43"/>
  <c r="F101" i="43"/>
  <c r="E22"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c r="E53" i="3" s="1"/>
  <c r="BA13" i="3"/>
  <c r="E10" i="6"/>
  <c r="BA5" i="3"/>
  <c r="E11" i="6"/>
  <c r="BL17" i="3"/>
  <c r="AZ17" i="3"/>
  <c r="BL13" i="3"/>
  <c r="G30" i="6"/>
  <c r="G31" i="6" s="1"/>
  <c r="J56" i="9"/>
  <c r="J57" i="9"/>
  <c r="A24" i="51"/>
  <c r="B18" i="72" s="1"/>
  <c r="U29" i="34"/>
  <c r="E5" i="6"/>
  <c r="D9" i="11" s="1"/>
  <c r="C9" i="11" s="1"/>
  <c r="L101" i="43"/>
  <c r="L109" i="43" s="1"/>
  <c r="D101" i="43"/>
  <c r="D106" i="43" s="1"/>
  <c r="M101" i="43"/>
  <c r="M109" i="43" s="1"/>
  <c r="I101" i="43"/>
  <c r="I104" i="43" s="1"/>
  <c r="E101" i="43"/>
  <c r="E102" i="43" s="1"/>
  <c r="E32" i="6"/>
  <c r="L19" i="6"/>
  <c r="G1" i="68"/>
  <c r="K1" i="12"/>
  <c r="F30" i="6"/>
  <c r="E28" i="6"/>
  <c r="F107" i="43"/>
  <c r="F106" i="43"/>
  <c r="C105" i="43"/>
  <c r="D116" i="43"/>
  <c r="E116" i="43" s="1"/>
  <c r="F116" i="43" s="1"/>
  <c r="G116" i="43" s="1"/>
  <c r="H116" i="43" s="1"/>
  <c r="B118" i="43"/>
  <c r="C118" i="43" s="1"/>
  <c r="I116" i="43"/>
  <c r="J116" i="43" s="1"/>
  <c r="K116" i="43" s="1"/>
  <c r="L116" i="43" s="1"/>
  <c r="M116" i="43" s="1"/>
  <c r="C102" i="43"/>
  <c r="F103"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Z13" i="3"/>
  <c r="AZ5" i="3" s="1"/>
  <c r="D19" i="12"/>
  <c r="C19" i="12" s="1"/>
  <c r="AR11" i="1"/>
  <c r="E30" i="6"/>
  <c r="K15" i="1"/>
  <c r="E530" i="3"/>
  <c r="E305" i="3"/>
  <c r="E508" i="3"/>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4" i="43"/>
  <c r="S7" i="43"/>
  <c r="E239" i="3"/>
  <c r="E509" i="3"/>
  <c r="E516" i="3"/>
  <c r="E579" i="3"/>
  <c r="E569" i="3"/>
  <c r="E431" i="3"/>
  <c r="E396" i="3"/>
  <c r="E247" i="3"/>
  <c r="E229" i="3"/>
  <c r="E201" i="3"/>
  <c r="E151" i="3"/>
  <c r="K14" i="1"/>
  <c r="M14" i="1" s="1"/>
  <c r="O14" i="1" s="1"/>
  <c r="BL5" i="3"/>
  <c r="J59" i="9"/>
  <c r="J61" i="9"/>
  <c r="E397" i="3"/>
  <c r="E314" i="3"/>
  <c r="E568" i="3"/>
  <c r="E511" i="3"/>
  <c r="I6" i="3"/>
  <c r="E16" i="3"/>
  <c r="E536" i="3"/>
  <c r="AK6" i="3"/>
  <c r="E549" i="3"/>
  <c r="E434" i="3"/>
  <c r="E453" i="3"/>
  <c r="E306" i="3"/>
  <c r="E368" i="3"/>
  <c r="E296" i="3"/>
  <c r="E244" i="3"/>
  <c r="E301" i="3"/>
  <c r="E262" i="3"/>
  <c r="E245" i="3"/>
  <c r="E196" i="3"/>
  <c r="E159" i="3"/>
  <c r="E136" i="3"/>
  <c r="E191" i="3"/>
  <c r="E156" i="3"/>
  <c r="E99" i="3"/>
  <c r="E236" i="3"/>
  <c r="E188" i="3"/>
  <c r="E148" i="3"/>
  <c r="E228" i="3"/>
  <c r="E269" i="3"/>
  <c r="E181" i="3"/>
  <c r="E122" i="3"/>
  <c r="E157" i="3"/>
  <c r="E89" i="3"/>
  <c r="E104" i="43"/>
  <c r="E107" i="43"/>
  <c r="E105" i="43"/>
  <c r="M104" i="43"/>
  <c r="M107" i="43"/>
  <c r="M105" i="43"/>
  <c r="I107" i="43"/>
  <c r="D105" i="43"/>
  <c r="D102" i="43"/>
  <c r="L106" i="43"/>
  <c r="L107" i="43"/>
  <c r="L103" i="43"/>
  <c r="E149" i="3"/>
  <c r="E207" i="3"/>
  <c r="E77" i="3"/>
  <c r="E252" i="3"/>
  <c r="E212" i="3"/>
  <c r="E271" i="3"/>
  <c r="E253" i="3"/>
  <c r="E204" i="3"/>
  <c r="E167" i="3"/>
  <c r="E145" i="3"/>
  <c r="E199" i="3"/>
  <c r="E164" i="3"/>
  <c r="E141" i="3"/>
  <c r="E107" i="3"/>
  <c r="E3" i="6"/>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5" i="62"/>
  <c r="B73" i="72"/>
  <c r="L27" i="6"/>
  <c r="AP7" i="1"/>
  <c r="M7" i="1"/>
  <c r="O7" i="1" s="1"/>
  <c r="AB45" i="21"/>
  <c r="AC33" i="21"/>
  <c r="W33" i="21"/>
  <c r="S33" i="21"/>
  <c r="AA33" i="21"/>
  <c r="W32" i="21"/>
  <c r="AC32" i="21"/>
  <c r="AB9" i="21"/>
  <c r="U9" i="21"/>
  <c r="AA32" i="21"/>
  <c r="S32" i="21"/>
  <c r="W9" i="21"/>
  <c r="AC9" i="21"/>
  <c r="AB32" i="21"/>
  <c r="U32" i="21"/>
  <c r="AA10" i="21"/>
  <c r="S10" i="21"/>
  <c r="C36" i="69"/>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 i="37"/>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B4" i="62"/>
  <c r="B71" i="72"/>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c r="P21" i="43"/>
  <c r="P22" i="43"/>
  <c r="G20" i="43"/>
  <c r="E41" i="43" s="1"/>
  <c r="C41" i="43" s="1"/>
  <c r="D65" i="40"/>
  <c r="G17" i="43"/>
  <c r="C16" i="43"/>
  <c r="D5" i="43"/>
  <c r="C5" i="43"/>
  <c r="V8" i="71"/>
  <c r="P23" i="43"/>
  <c r="B71" i="39" s="1"/>
  <c r="C8" i="71"/>
  <c r="D9" i="71"/>
  <c r="P25" i="43"/>
  <c r="E65" i="40"/>
  <c r="F63" i="40"/>
  <c r="G63" i="40" s="1"/>
  <c r="D6" i="71"/>
  <c r="T8" i="71"/>
  <c r="D7" i="71"/>
  <c r="D8" i="71"/>
  <c r="F65" i="40"/>
  <c r="M20" i="43"/>
  <c r="C19" i="43"/>
  <c r="U8" i="71"/>
  <c r="F37" i="67"/>
  <c r="J15" i="67"/>
  <c r="M26" i="67"/>
  <c r="D6" i="73"/>
  <c r="F6" i="73"/>
  <c r="F8" i="15"/>
  <c r="F7" i="73"/>
  <c r="AO12" i="1"/>
  <c r="F42" i="67"/>
  <c r="AO8" i="1"/>
  <c r="E11" i="76"/>
  <c r="M22" i="67"/>
  <c r="F8" i="67"/>
  <c r="B12" i="76"/>
  <c r="AO10" i="1"/>
  <c r="F6" i="15"/>
  <c r="D2" i="36"/>
  <c r="M21" i="15"/>
  <c r="E12" i="76"/>
  <c r="F40" i="15"/>
  <c r="AO9" i="1"/>
  <c r="F38" i="67"/>
  <c r="D2" i="33"/>
  <c r="F9" i="15"/>
  <c r="M29" i="67"/>
  <c r="M23" i="67"/>
  <c r="L48" i="67"/>
  <c r="F38" i="15"/>
  <c r="F13" i="67"/>
  <c r="F35" i="15"/>
  <c r="M28" i="67"/>
  <c r="L47" i="15"/>
  <c r="M6" i="15"/>
  <c r="M9" i="15"/>
  <c r="J15" i="15"/>
  <c r="M29" i="15"/>
  <c r="B8" i="76"/>
  <c r="M28" i="15"/>
  <c r="F36" i="67"/>
  <c r="C76" i="67"/>
  <c r="M6" i="67"/>
  <c r="M8" i="15"/>
  <c r="D2" i="34"/>
  <c r="C76" i="15"/>
  <c r="E13" i="76"/>
  <c r="C14" i="15"/>
  <c r="M9" i="67"/>
  <c r="L48" i="15"/>
  <c r="E9" i="76"/>
  <c r="F40" i="67"/>
  <c r="M27" i="15"/>
  <c r="D7" i="73"/>
  <c r="F6" i="67"/>
  <c r="E10" i="76"/>
  <c r="D2" i="21"/>
  <c r="F5" i="73"/>
  <c r="F43" i="15"/>
  <c r="F20" i="31"/>
  <c r="D2" i="37"/>
  <c r="F4" i="73"/>
  <c r="L47" i="67"/>
  <c r="F7" i="15"/>
  <c r="E2" i="69"/>
  <c r="M27" i="67"/>
  <c r="D3" i="73"/>
  <c r="F26" i="15"/>
  <c r="M22" i="15"/>
  <c r="D4" i="73"/>
  <c r="F13" i="15"/>
  <c r="B13" i="76"/>
  <c r="D35" i="9"/>
  <c r="B9" i="76"/>
  <c r="F16" i="15"/>
  <c r="F7" i="67"/>
  <c r="F26" i="67"/>
  <c r="M24" i="15"/>
  <c r="AO13" i="1"/>
  <c r="B11" i="76"/>
  <c r="D34" i="9"/>
  <c r="F43" i="67"/>
  <c r="M24" i="67"/>
  <c r="AO7" i="1"/>
  <c r="F9" i="67"/>
  <c r="M8" i="67"/>
  <c r="F42" i="15"/>
  <c r="E2" i="68"/>
  <c r="F36" i="15"/>
  <c r="F37" i="15"/>
  <c r="B10" i="76"/>
  <c r="M26" i="15"/>
  <c r="M23" i="15"/>
  <c r="B7" i="76"/>
  <c r="F16" i="67"/>
  <c r="D5" i="73"/>
  <c r="F3" i="73"/>
  <c r="F41" i="15"/>
  <c r="D2" i="35"/>
  <c r="AO11" i="1"/>
  <c r="E7" i="76"/>
  <c r="E8" i="76"/>
  <c r="E4" i="49" l="1"/>
  <c r="E16" i="49"/>
  <c r="E343" i="3"/>
  <c r="E175" i="3"/>
  <c r="P74" i="67"/>
  <c r="S11" i="39"/>
  <c r="E13" i="49"/>
  <c r="E5" i="49"/>
  <c r="B13" i="49"/>
  <c r="E14" i="49"/>
  <c r="B7" i="49"/>
  <c r="H63" i="40"/>
  <c r="G65" i="40"/>
  <c r="C70" i="39"/>
  <c r="D68" i="39"/>
  <c r="C39" i="43"/>
  <c r="E39" i="43" s="1"/>
  <c r="C20" i="43"/>
  <c r="T12" i="43" s="1"/>
  <c r="V12" i="43" s="1"/>
  <c r="D23" i="67"/>
  <c r="C40" i="69"/>
  <c r="C92" i="9"/>
  <c r="C94" i="9"/>
  <c r="C20" i="11"/>
  <c r="F32" i="15"/>
  <c r="F60" i="15" s="1"/>
  <c r="D68" i="9"/>
  <c r="F31" i="12"/>
  <c r="E9" i="49"/>
  <c r="B14" i="49"/>
  <c r="B5" i="49"/>
  <c r="E6" i="49"/>
  <c r="B9" i="49"/>
  <c r="E10" i="49"/>
  <c r="B15" i="49"/>
  <c r="M18" i="15"/>
  <c r="M18" i="67"/>
  <c r="F30" i="68"/>
  <c r="D93" i="9"/>
  <c r="C31" i="12"/>
  <c r="C24" i="12"/>
  <c r="C77" i="9"/>
  <c r="C74" i="9" s="1"/>
  <c r="C13" i="12"/>
  <c r="C36" i="68"/>
  <c r="C36" i="11"/>
  <c r="F54" i="9"/>
  <c r="F28" i="15"/>
  <c r="C28" i="15" s="1"/>
  <c r="F30" i="69"/>
  <c r="C30" i="69" s="1"/>
  <c r="F32" i="67"/>
  <c r="F60" i="67" s="1"/>
  <c r="F52" i="9"/>
  <c r="F28" i="67"/>
  <c r="C28" i="67" s="1"/>
  <c r="F30" i="11"/>
  <c r="G16" i="1"/>
  <c r="F10" i="39" s="1"/>
  <c r="S10" i="39" s="1"/>
  <c r="H16" i="1"/>
  <c r="L104" i="43"/>
  <c r="L105" i="43"/>
  <c r="L102" i="43"/>
  <c r="E109" i="43"/>
  <c r="M103" i="43"/>
  <c r="M106" i="43"/>
  <c r="M102" i="43"/>
  <c r="E103" i="43"/>
  <c r="E106" i="43"/>
  <c r="F27" i="69"/>
  <c r="F28" i="12"/>
  <c r="C29" i="12" s="1"/>
  <c r="D28" i="12" s="1"/>
  <c r="F27" i="68"/>
  <c r="C29" i="68" s="1"/>
  <c r="D27" i="68" s="1"/>
  <c r="F27" i="11"/>
  <c r="C28" i="11" s="1"/>
  <c r="C27" i="11" s="1"/>
  <c r="C34" i="69"/>
  <c r="C35" i="69" s="1"/>
  <c r="T13" i="1"/>
  <c r="AQ13" i="1"/>
  <c r="I105" i="43"/>
  <c r="E263" i="3"/>
  <c r="E303" i="3"/>
  <c r="E382" i="3"/>
  <c r="E350" i="3"/>
  <c r="E423" i="3"/>
  <c r="E402" i="3"/>
  <c r="E578" i="3"/>
  <c r="E586" i="3"/>
  <c r="AI6" i="3"/>
  <c r="AN6" i="3"/>
  <c r="E518" i="3"/>
  <c r="E495" i="3"/>
  <c r="E385" i="3"/>
  <c r="E353" i="3"/>
  <c r="E97" i="3"/>
  <c r="E143" i="3"/>
  <c r="E285" i="3"/>
  <c r="E337" i="3"/>
  <c r="E359" i="3"/>
  <c r="E410" i="3"/>
  <c r="E574" i="3"/>
  <c r="E555" i="3"/>
  <c r="O6" i="3"/>
  <c r="E388" i="3"/>
  <c r="E328" i="3"/>
  <c r="E426" i="3"/>
  <c r="E153" i="3"/>
  <c r="E501" i="3"/>
  <c r="E319" i="3"/>
  <c r="I109" i="43"/>
  <c r="I102" i="43"/>
  <c r="I106" i="43"/>
  <c r="I103" i="43"/>
  <c r="D109" i="43"/>
  <c r="D103" i="43"/>
  <c r="D104" i="43"/>
  <c r="D107" i="43"/>
  <c r="E61" i="39"/>
  <c r="E56" i="40"/>
  <c r="E69" i="3"/>
  <c r="E237" i="3"/>
  <c r="E114" i="3"/>
  <c r="E261" i="3"/>
  <c r="E278" i="3"/>
  <c r="E304" i="3"/>
  <c r="E415" i="3"/>
  <c r="E528" i="3"/>
  <c r="E563" i="3"/>
  <c r="E565" i="3"/>
  <c r="E395" i="3"/>
  <c r="E183" i="3"/>
  <c r="E172" i="3"/>
  <c r="E213" i="3"/>
  <c r="E260" i="3"/>
  <c r="E361" i="3"/>
  <c r="E445" i="3"/>
  <c r="E17" i="3"/>
  <c r="E550" i="3"/>
  <c r="E503" i="3"/>
  <c r="E535" i="3"/>
  <c r="E302" i="3"/>
  <c r="E125" i="3"/>
  <c r="E217" i="3"/>
  <c r="E366" i="3"/>
  <c r="E526" i="3"/>
  <c r="E553" i="3"/>
  <c r="E268" i="3"/>
  <c r="E282" i="3"/>
  <c r="E322" i="3"/>
  <c r="N6" i="3"/>
  <c r="AJ6"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AR9" i="1"/>
  <c r="AQ9" i="1"/>
  <c r="T9" i="1"/>
  <c r="AQ11" i="1"/>
  <c r="T11" i="1"/>
  <c r="B115" i="43"/>
  <c r="C115" i="43" s="1"/>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E8" i="6"/>
  <c r="E15" i="6"/>
  <c r="E13" i="6"/>
  <c r="F22" i="43"/>
  <c r="K101" i="43"/>
  <c r="N101" i="43"/>
  <c r="G101" i="43"/>
  <c r="J101" i="43"/>
  <c r="H22" i="43"/>
  <c r="H101" i="43"/>
  <c r="G22" i="43"/>
  <c r="D22" i="43" s="1"/>
  <c r="S2" i="43"/>
  <c r="AH11" i="43"/>
  <c r="AH13" i="43" s="1"/>
  <c r="AD11" i="43"/>
  <c r="AD13" i="43" s="1"/>
  <c r="Z11" i="43"/>
  <c r="Z13" i="43" s="1"/>
  <c r="S5" i="43"/>
  <c r="AG11" i="43"/>
  <c r="AG13" i="43" s="1"/>
  <c r="AC11" i="43"/>
  <c r="AC13" i="43" s="1"/>
  <c r="Y11" i="43"/>
  <c r="Y13" i="43" s="1"/>
  <c r="S6" i="43"/>
  <c r="T6" i="43" s="1"/>
  <c r="V6" i="43" s="1"/>
  <c r="S3" i="43"/>
  <c r="J22" i="43"/>
  <c r="G118" i="43"/>
  <c r="H118" i="43" s="1"/>
  <c r="I118" i="43"/>
  <c r="J118" i="43" s="1"/>
  <c r="K118" i="43" s="1"/>
  <c r="L118" i="43" s="1"/>
  <c r="M118" i="43" s="1"/>
  <c r="E14" i="6"/>
  <c r="C104" i="43"/>
  <c r="C106" i="43"/>
  <c r="C107" i="43"/>
  <c r="C103" i="43"/>
  <c r="F104" i="43"/>
  <c r="F102" i="43"/>
  <c r="F105" i="43"/>
  <c r="F109" i="43"/>
  <c r="E12" i="6"/>
  <c r="D9" i="69"/>
  <c r="C9" i="69" s="1"/>
  <c r="O11" i="1"/>
  <c r="P11" i="1" s="1"/>
  <c r="M16" i="1"/>
  <c r="N16" i="1" s="1"/>
  <c r="F50" i="68" s="1"/>
  <c r="P7" i="1"/>
  <c r="D3" i="34"/>
  <c r="D3" i="33"/>
  <c r="E6" i="6"/>
  <c r="D37" i="11"/>
  <c r="C37" i="11" s="1"/>
  <c r="D14" i="12"/>
  <c r="M18" i="9"/>
  <c r="B118" i="9" s="1"/>
  <c r="AY103" i="3"/>
  <c r="AY98" i="3"/>
  <c r="AY67" i="3"/>
  <c r="AY82" i="3"/>
  <c r="AY50" i="3"/>
  <c r="AY18" i="3"/>
  <c r="AY196" i="3"/>
  <c r="AY191" i="3"/>
  <c r="AY160" i="3"/>
  <c r="AY171" i="3"/>
  <c r="AY139" i="3"/>
  <c r="AY132" i="3"/>
  <c r="K16" i="1"/>
  <c r="P14" i="1"/>
  <c r="AQ7" i="1"/>
  <c r="AR7" i="1"/>
  <c r="O9" i="1"/>
  <c r="P9" i="1" s="1"/>
  <c r="O8" i="1"/>
  <c r="D113" i="43"/>
  <c r="D12" i="52"/>
  <c r="D127" i="9"/>
  <c r="D13" i="52" s="1"/>
  <c r="T4" i="43"/>
  <c r="V4" i="43" s="1"/>
  <c r="T15" i="43"/>
  <c r="V15" i="43" s="1"/>
  <c r="T11" i="43"/>
  <c r="V11" i="43" s="1"/>
  <c r="C37" i="43"/>
  <c r="E37" i="43" s="1"/>
  <c r="C34" i="68"/>
  <c r="C38" i="68" s="1"/>
  <c r="G39" i="43"/>
  <c r="I39" i="43" s="1"/>
  <c r="T5" i="43"/>
  <c r="V5" i="43" s="1"/>
  <c r="C34" i="43"/>
  <c r="T7" i="43"/>
  <c r="V7" i="43" s="1"/>
  <c r="T16" i="43"/>
  <c r="V16" i="43" s="1"/>
  <c r="T8" i="43"/>
  <c r="V8" i="43" s="1"/>
  <c r="C38" i="43"/>
  <c r="F59" i="34"/>
  <c r="D46" i="36"/>
  <c r="D58" i="21"/>
  <c r="H10" i="39"/>
  <c r="D48" i="35"/>
  <c r="D52" i="37"/>
  <c r="D58" i="33"/>
  <c r="E58" i="33" s="1"/>
  <c r="F58" i="33" s="1"/>
  <c r="G58" i="33" s="1"/>
  <c r="H58" i="33" s="1"/>
  <c r="I58" i="33" s="1"/>
  <c r="J58" i="33" s="1"/>
  <c r="K58" i="33" s="1"/>
  <c r="L58" i="33" s="1"/>
  <c r="M58" i="33" s="1"/>
  <c r="N58" i="33" s="1"/>
  <c r="O58" i="33" s="1"/>
  <c r="J7" i="33"/>
  <c r="F7" i="33"/>
  <c r="H7" i="33"/>
  <c r="B22" i="49"/>
  <c r="E15" i="49"/>
  <c r="B16" i="49"/>
  <c r="B11" i="49"/>
  <c r="E21" i="49"/>
  <c r="B8" i="49"/>
  <c r="E8" i="49"/>
  <c r="B10" i="49"/>
  <c r="E11" i="49"/>
  <c r="E22" i="49"/>
  <c r="B4" i="49"/>
  <c r="B6" i="49"/>
  <c r="E7" i="49"/>
  <c r="E20" i="43"/>
  <c r="K1" i="73"/>
  <c r="F69" i="15"/>
  <c r="B11" i="70"/>
  <c r="F66" i="67"/>
  <c r="F65" i="15"/>
  <c r="C27" i="15"/>
  <c r="C15" i="15"/>
  <c r="C18" i="15"/>
  <c r="F65" i="67"/>
  <c r="C6" i="15"/>
  <c r="B9" i="70"/>
  <c r="N59" i="15"/>
  <c r="M59" i="15"/>
  <c r="L59" i="15"/>
  <c r="L58" i="15"/>
  <c r="I1" i="73"/>
  <c r="B39" i="1" s="1"/>
  <c r="B10" i="70"/>
  <c r="M59" i="67"/>
  <c r="L58" i="67"/>
  <c r="L59" i="67"/>
  <c r="N59" i="67"/>
  <c r="B8" i="70"/>
  <c r="F51" i="67"/>
  <c r="F71" i="67"/>
  <c r="J53" i="15"/>
  <c r="J57" i="15"/>
  <c r="J55" i="15" s="1"/>
  <c r="J58" i="15" s="1"/>
  <c r="Q50" i="15" s="1"/>
  <c r="I54" i="15"/>
  <c r="J53" i="67"/>
  <c r="I54" i="67"/>
  <c r="J57" i="67"/>
  <c r="J55" i="67" s="1"/>
  <c r="J58" i="67" s="1"/>
  <c r="Q50" i="67" s="1"/>
  <c r="L56" i="67"/>
  <c r="F66" i="15"/>
  <c r="F50" i="15"/>
  <c r="M7" i="15"/>
  <c r="Q71" i="67"/>
  <c r="B13" i="70"/>
  <c r="M7" i="67"/>
  <c r="F50" i="67"/>
  <c r="Q71" i="15"/>
  <c r="F64" i="15"/>
  <c r="F70" i="67"/>
  <c r="F68" i="67"/>
  <c r="F51" i="15"/>
  <c r="C6" i="67"/>
  <c r="B12" i="70"/>
  <c r="F64" i="67"/>
  <c r="F63" i="15"/>
  <c r="C62" i="15" s="1"/>
  <c r="C34" i="15"/>
  <c r="F71" i="15"/>
  <c r="J20" i="15"/>
  <c r="B7" i="70"/>
  <c r="F68" i="15"/>
  <c r="C27" i="67"/>
  <c r="G1" i="73"/>
  <c r="M17" i="15"/>
  <c r="F31" i="15"/>
  <c r="C17" i="15"/>
  <c r="M17" i="67"/>
  <c r="C16" i="15"/>
  <c r="F31" i="67"/>
  <c r="C16" i="67"/>
  <c r="F59" i="67"/>
  <c r="F59" i="15"/>
  <c r="G37" i="43" l="1"/>
  <c r="I37" i="43" s="1"/>
  <c r="D70" i="39"/>
  <c r="E68" i="39"/>
  <c r="T2" i="43"/>
  <c r="V2" i="43" s="1"/>
  <c r="T13" i="43"/>
  <c r="V13" i="43" s="1"/>
  <c r="C33" i="43"/>
  <c r="T10" i="43"/>
  <c r="V10" i="43" s="1"/>
  <c r="C29" i="43"/>
  <c r="T14" i="43"/>
  <c r="V14" i="43" s="1"/>
  <c r="C36" i="43"/>
  <c r="T9" i="43"/>
  <c r="V9" i="43" s="1"/>
  <c r="C35" i="43"/>
  <c r="T3" i="43"/>
  <c r="V3" i="43" s="1"/>
  <c r="I63" i="40"/>
  <c r="H65" i="40"/>
  <c r="C30" i="68"/>
  <c r="C48" i="68"/>
  <c r="C48" i="69"/>
  <c r="C48" i="11"/>
  <c r="C30" i="11"/>
  <c r="C38" i="69"/>
  <c r="J10" i="40"/>
  <c r="W10" i="40" s="1"/>
  <c r="J10" i="39"/>
  <c r="AC10" i="39" s="1"/>
  <c r="AA10" i="39"/>
  <c r="H10" i="40"/>
  <c r="F10" i="40"/>
  <c r="AA10" i="40" s="1"/>
  <c r="C47" i="68"/>
  <c r="D45" i="68" s="1"/>
  <c r="C29" i="11"/>
  <c r="D27" i="11" s="1"/>
  <c r="C47" i="11"/>
  <c r="D45" i="11" s="1"/>
  <c r="S10" i="40"/>
  <c r="C47" i="69"/>
  <c r="D45" i="69" s="1"/>
  <c r="C29" i="69"/>
  <c r="D27" i="69" s="1"/>
  <c r="E57" i="40"/>
  <c r="E62" i="39"/>
  <c r="H107" i="43"/>
  <c r="H106" i="43"/>
  <c r="H105" i="43"/>
  <c r="H103" i="43"/>
  <c r="H109" i="43"/>
  <c r="H102" i="43"/>
  <c r="H104" i="43"/>
  <c r="J104" i="43"/>
  <c r="J107" i="43"/>
  <c r="J102" i="43"/>
  <c r="J109" i="43"/>
  <c r="J105" i="43"/>
  <c r="J106" i="43"/>
  <c r="J103" i="43"/>
  <c r="N102" i="43"/>
  <c r="N105" i="43"/>
  <c r="N104" i="43"/>
  <c r="N109" i="43"/>
  <c r="N106" i="43"/>
  <c r="N103" i="43"/>
  <c r="N107" i="43"/>
  <c r="E60" i="40"/>
  <c r="E65" i="39"/>
  <c r="AC6"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87" i="3"/>
  <c r="AY34" i="3"/>
  <c r="AY144"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 i="3"/>
  <c r="AY207" i="3"/>
  <c r="AY124" i="3"/>
  <c r="AY90" i="3"/>
  <c r="AY31" i="3"/>
  <c r="AY163" i="3"/>
  <c r="AY292" i="3"/>
  <c r="AY75" i="3"/>
  <c r="AY147" i="3"/>
  <c r="AY237" i="3"/>
  <c r="AY220" i="3"/>
  <c r="AY387" i="3"/>
  <c r="AY350" i="3"/>
  <c r="AY334" i="3"/>
  <c r="AY486" i="3"/>
  <c r="AY444" i="3"/>
  <c r="AY425" i="3"/>
  <c r="AY526" i="3"/>
  <c r="AY199" i="3"/>
  <c r="AY269" i="3"/>
  <c r="AY244"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64" i="39"/>
  <c r="E59" i="40"/>
  <c r="G105" i="43"/>
  <c r="G107" i="43"/>
  <c r="G104" i="43"/>
  <c r="G106" i="43"/>
  <c r="G109" i="43"/>
  <c r="G102" i="43"/>
  <c r="G103" i="43"/>
  <c r="K103" i="43"/>
  <c r="K102" i="43"/>
  <c r="K105" i="43"/>
  <c r="K109" i="43"/>
  <c r="K104" i="43"/>
  <c r="K106" i="43"/>
  <c r="K107" i="43"/>
  <c r="E58" i="40"/>
  <c r="E63" i="39"/>
  <c r="F27" i="6"/>
  <c r="E56" i="39"/>
  <c r="E66" i="39" s="1"/>
  <c r="E51" i="40"/>
  <c r="E16" i="6"/>
  <c r="H6" i="3"/>
  <c r="E6" i="3" s="1"/>
  <c r="O16" i="1"/>
  <c r="L16" i="1"/>
  <c r="C34" i="11"/>
  <c r="F50" i="11"/>
  <c r="F50" i="69"/>
  <c r="P8" i="1"/>
  <c r="P16" i="1" s="1"/>
  <c r="C11" i="12" s="1"/>
  <c r="D17" i="12"/>
  <c r="C17" i="12" s="1"/>
  <c r="C14" i="12"/>
  <c r="D10" i="11"/>
  <c r="C10" i="11" s="1"/>
  <c r="D20" i="12"/>
  <c r="C20" i="12" s="1"/>
  <c r="C18" i="12" s="1"/>
  <c r="D6" i="6"/>
  <c r="D10" i="69"/>
  <c r="D10" i="68"/>
  <c r="C49" i="15"/>
  <c r="C35" i="68"/>
  <c r="AA7" i="33"/>
  <c r="R48" i="33" s="1"/>
  <c r="S7" i="33"/>
  <c r="E52" i="37"/>
  <c r="E48" i="35"/>
  <c r="W10" i="39"/>
  <c r="E58" i="21"/>
  <c r="G38" i="43"/>
  <c r="I38" i="43" s="1"/>
  <c r="E38" i="43"/>
  <c r="E34" i="43"/>
  <c r="G34" i="43"/>
  <c r="I34" i="43" s="1"/>
  <c r="E29" i="43"/>
  <c r="C30" i="43"/>
  <c r="E30" i="43" s="1"/>
  <c r="AB7" i="33"/>
  <c r="T48" i="33" s="1"/>
  <c r="G48" i="33" s="1"/>
  <c r="U7" i="33"/>
  <c r="AC7" i="33"/>
  <c r="V48" i="33" s="1"/>
  <c r="I48" i="33" s="1"/>
  <c r="W7" i="33"/>
  <c r="AB10" i="39"/>
  <c r="U10" i="39"/>
  <c r="AC10" i="40"/>
  <c r="E46" i="36"/>
  <c r="G59" i="34"/>
  <c r="E33" i="43"/>
  <c r="G33" i="43"/>
  <c r="I33" i="43" s="1"/>
  <c r="C19" i="15"/>
  <c r="B40" i="1"/>
  <c r="Q52" i="15"/>
  <c r="F1" i="15"/>
  <c r="Q74" i="67"/>
  <c r="Q61" i="67"/>
  <c r="Q73" i="15"/>
  <c r="Q60" i="15"/>
  <c r="J6" i="15"/>
  <c r="C32" i="15"/>
  <c r="Q52" i="67"/>
  <c r="F1" i="67"/>
  <c r="J6" i="67"/>
  <c r="C32" i="67"/>
  <c r="L56" i="15"/>
  <c r="C49" i="67"/>
  <c r="Q73" i="67"/>
  <c r="Q60" i="67"/>
  <c r="M11" i="15"/>
  <c r="F11" i="15"/>
  <c r="F11" i="67"/>
  <c r="M11" i="67"/>
  <c r="J10" i="67" s="1"/>
  <c r="Q61" i="15"/>
  <c r="Q74" i="15"/>
  <c r="P28" i="43"/>
  <c r="N28" i="43"/>
  <c r="O28" i="43"/>
  <c r="M28" i="43"/>
  <c r="AE6" i="1"/>
  <c r="E70" i="39" l="1"/>
  <c r="F68" i="39"/>
  <c r="I65" i="40"/>
  <c r="J63" i="40"/>
  <c r="G35" i="43"/>
  <c r="I35" i="43" s="1"/>
  <c r="E35" i="43"/>
  <c r="G36" i="43"/>
  <c r="I36" i="43" s="1"/>
  <c r="E36" i="43"/>
  <c r="U10" i="40"/>
  <c r="AB10" i="40"/>
  <c r="M19" i="9"/>
  <c r="C118" i="9" s="1"/>
  <c r="C14" i="74" s="1"/>
  <c r="D19" i="6"/>
  <c r="D26" i="6"/>
  <c r="C18" i="4"/>
  <c r="D8" i="6"/>
  <c r="D23" i="6"/>
  <c r="D14" i="6"/>
  <c r="D25" i="6"/>
  <c r="D22" i="6"/>
  <c r="D24" i="6"/>
  <c r="D9" i="6"/>
  <c r="D10" i="6"/>
  <c r="D29" i="6"/>
  <c r="D15" i="6"/>
  <c r="D21" i="6"/>
  <c r="D20" i="6"/>
  <c r="D12" i="6"/>
  <c r="D11" i="6"/>
  <c r="D13" i="6"/>
  <c r="D28" i="6"/>
  <c r="D30" i="6" s="1"/>
  <c r="E61" i="40"/>
  <c r="D5" i="6"/>
  <c r="F31" i="6"/>
  <c r="E27" i="6"/>
  <c r="C35" i="11"/>
  <c r="C38" i="11"/>
  <c r="C10" i="69"/>
  <c r="C8" i="69" s="1"/>
  <c r="D19" i="69"/>
  <c r="C15" i="12"/>
  <c r="C12" i="12"/>
  <c r="C10" i="68"/>
  <c r="D19" i="68"/>
  <c r="H59" i="34"/>
  <c r="I59" i="34" s="1"/>
  <c r="J59" i="34" s="1"/>
  <c r="K59" i="34" s="1"/>
  <c r="L59" i="34" s="1"/>
  <c r="M59" i="34" s="1"/>
  <c r="N59" i="34" s="1"/>
  <c r="O59" i="34" s="1"/>
  <c r="F46" i="36"/>
  <c r="G46" i="36" s="1"/>
  <c r="H46" i="36" s="1"/>
  <c r="I46" i="36" s="1"/>
  <c r="J46" i="36" s="1"/>
  <c r="K46" i="36" s="1"/>
  <c r="L46" i="36" s="1"/>
  <c r="M46" i="36" s="1"/>
  <c r="N46" i="36" s="1"/>
  <c r="O46" i="36" s="1"/>
  <c r="I52" i="33"/>
  <c r="J52" i="33" s="1"/>
  <c r="G52" i="33"/>
  <c r="H52" i="33" s="1"/>
  <c r="G53" i="33"/>
  <c r="H53" i="33" s="1"/>
  <c r="C26" i="43"/>
  <c r="F58" i="21"/>
  <c r="G58" i="21" s="1"/>
  <c r="H58" i="21" s="1"/>
  <c r="I58" i="21" s="1"/>
  <c r="J58" i="21" s="1"/>
  <c r="K58" i="21" s="1"/>
  <c r="L58" i="21" s="1"/>
  <c r="M58" i="21" s="1"/>
  <c r="N58" i="21" s="1"/>
  <c r="O58" i="21" s="1"/>
  <c r="J7" i="21"/>
  <c r="E48" i="33"/>
  <c r="I53" i="33" s="1"/>
  <c r="J53" i="33" s="1"/>
  <c r="R49" i="33"/>
  <c r="J7" i="34"/>
  <c r="C27" i="43"/>
  <c r="F48" i="35"/>
  <c r="F52" i="37"/>
  <c r="J7" i="36"/>
  <c r="C53" i="67"/>
  <c r="C48" i="67" s="1"/>
  <c r="C10" i="67"/>
  <c r="C5" i="67" s="1"/>
  <c r="J18" i="67"/>
  <c r="J5" i="67"/>
  <c r="C10" i="15"/>
  <c r="C5" i="15" s="1"/>
  <c r="C53" i="15"/>
  <c r="C48" i="15" s="1"/>
  <c r="J18" i="15"/>
  <c r="J10" i="15"/>
  <c r="J5" i="15" s="1"/>
  <c r="F22" i="11"/>
  <c r="F25" i="12"/>
  <c r="C26" i="12" s="1"/>
  <c r="D25" i="12" s="1"/>
  <c r="F22" i="69"/>
  <c r="F22" i="68"/>
  <c r="F24" i="67"/>
  <c r="C24" i="67" s="1"/>
  <c r="F24" i="15"/>
  <c r="C24" i="15" s="1"/>
  <c r="C20" i="15"/>
  <c r="C26" i="15" s="1"/>
  <c r="F41" i="67"/>
  <c r="E6" i="76"/>
  <c r="F69" i="67" l="1"/>
  <c r="C33" i="11"/>
  <c r="C39" i="11" s="1"/>
  <c r="C46" i="11" s="1"/>
  <c r="C45" i="11" s="1"/>
  <c r="H7" i="36"/>
  <c r="F7" i="34"/>
  <c r="F7" i="36"/>
  <c r="H7" i="34"/>
  <c r="J65" i="40"/>
  <c r="K63" i="40"/>
  <c r="F70" i="39"/>
  <c r="G68" i="39"/>
  <c r="C4" i="52"/>
  <c r="B45" i="72" s="1"/>
  <c r="A7" i="51"/>
  <c r="B7" i="72" s="1"/>
  <c r="A10" i="51"/>
  <c r="B9" i="72" s="1"/>
  <c r="D27" i="6"/>
  <c r="D31" i="6" s="1"/>
  <c r="I6" i="6" s="1"/>
  <c r="K26" i="6"/>
  <c r="M26" i="6" s="1"/>
  <c r="I26" i="6" s="1"/>
  <c r="K19" i="6"/>
  <c r="S6" i="1" s="1"/>
  <c r="K24" i="6"/>
  <c r="M24" i="6" s="1"/>
  <c r="I24" i="6" s="1"/>
  <c r="K20" i="6"/>
  <c r="M20" i="6" s="1"/>
  <c r="I20" i="6" s="1"/>
  <c r="K21" i="6"/>
  <c r="M21" i="6" s="1"/>
  <c r="I21" i="6" s="1"/>
  <c r="K25" i="6"/>
  <c r="M25" i="6" s="1"/>
  <c r="I25" i="6" s="1"/>
  <c r="E31" i="6"/>
  <c r="I5" i="6" s="1"/>
  <c r="K22" i="6"/>
  <c r="M22" i="6" s="1"/>
  <c r="I22" i="6" s="1"/>
  <c r="K23" i="6"/>
  <c r="M23" i="6" s="1"/>
  <c r="I23" i="6" s="1"/>
  <c r="D16" i="6"/>
  <c r="C16" i="12"/>
  <c r="C21" i="12" s="1"/>
  <c r="C22" i="12" s="1"/>
  <c r="C30" i="12" s="1"/>
  <c r="C28" i="12" s="1"/>
  <c r="C19" i="68"/>
  <c r="C20" i="68" s="1"/>
  <c r="C28" i="68" s="1"/>
  <c r="C27" i="68" s="1"/>
  <c r="D37" i="68"/>
  <c r="C37" i="68" s="1"/>
  <c r="C33" i="68" s="1"/>
  <c r="C39" i="68" s="1"/>
  <c r="C46" i="68" s="1"/>
  <c r="C45" i="68" s="1"/>
  <c r="C19" i="69"/>
  <c r="D37" i="69"/>
  <c r="C37" i="69" s="1"/>
  <c r="C33" i="69" s="1"/>
  <c r="C39" i="69" s="1"/>
  <c r="C46" i="69" s="1"/>
  <c r="C45" i="69" s="1"/>
  <c r="E2" i="76"/>
  <c r="W7" i="36"/>
  <c r="AC7" i="36"/>
  <c r="V36" i="36" s="1"/>
  <c r="I36" i="36" s="1"/>
  <c r="G52" i="37"/>
  <c r="H52" i="37" s="1"/>
  <c r="I52" i="37" s="1"/>
  <c r="J52" i="37" s="1"/>
  <c r="K52" i="37" s="1"/>
  <c r="L52" i="37" s="1"/>
  <c r="M52" i="37" s="1"/>
  <c r="N52" i="37" s="1"/>
  <c r="O52" i="37" s="1"/>
  <c r="F7" i="37"/>
  <c r="G48" i="35"/>
  <c r="H48" i="35" s="1"/>
  <c r="I48" i="35" s="1"/>
  <c r="J48" i="35" s="1"/>
  <c r="K48" i="35" s="1"/>
  <c r="L48" i="35" s="1"/>
  <c r="M48" i="35" s="1"/>
  <c r="N48" i="35" s="1"/>
  <c r="O48" i="35" s="1"/>
  <c r="F7" i="35"/>
  <c r="J7" i="35"/>
  <c r="U7" i="36"/>
  <c r="AB7" i="36"/>
  <c r="T36" i="36" s="1"/>
  <c r="G36" i="36" s="1"/>
  <c r="C49" i="33"/>
  <c r="B2" i="33" s="1"/>
  <c r="B3" i="33" s="1"/>
  <c r="C48" i="33"/>
  <c r="AC7" i="21"/>
  <c r="V48" i="21" s="1"/>
  <c r="I48" i="21" s="1"/>
  <c r="W7" i="21"/>
  <c r="AA7" i="36"/>
  <c r="R36" i="36" s="1"/>
  <c r="S7" i="36"/>
  <c r="AB7" i="34"/>
  <c r="T49" i="34" s="1"/>
  <c r="G49" i="34" s="1"/>
  <c r="U7" i="34"/>
  <c r="J7" i="37"/>
  <c r="H7" i="35"/>
  <c r="H7" i="21"/>
  <c r="AC7" i="34"/>
  <c r="V49" i="34" s="1"/>
  <c r="I49" i="34" s="1"/>
  <c r="W7" i="34"/>
  <c r="AA7" i="34"/>
  <c r="R49" i="34" s="1"/>
  <c r="S7" i="34"/>
  <c r="E53" i="33"/>
  <c r="F53" i="33" s="1"/>
  <c r="E52" i="33"/>
  <c r="F52" i="33" s="1"/>
  <c r="F7" i="21"/>
  <c r="B2" i="43"/>
  <c r="C23" i="15"/>
  <c r="C29" i="15" s="1"/>
  <c r="C60" i="67"/>
  <c r="C66" i="67"/>
  <c r="J24" i="15"/>
  <c r="J26" i="15"/>
  <c r="J29" i="15" s="1"/>
  <c r="C26" i="68"/>
  <c r="D22" i="68" s="1"/>
  <c r="C23" i="68"/>
  <c r="C44" i="68"/>
  <c r="D41" i="68" s="1"/>
  <c r="C66" i="15"/>
  <c r="C60" i="15"/>
  <c r="C44" i="69"/>
  <c r="D41" i="69" s="1"/>
  <c r="C26" i="69"/>
  <c r="D22" i="69" s="1"/>
  <c r="C25" i="11"/>
  <c r="C24" i="11"/>
  <c r="C44" i="11"/>
  <c r="D41" i="11" s="1"/>
  <c r="C23" i="11"/>
  <c r="C43" i="11"/>
  <c r="C26" i="11"/>
  <c r="D22" i="11" s="1"/>
  <c r="C38" i="15"/>
  <c r="J24" i="67"/>
  <c r="J26" i="67"/>
  <c r="J29" i="67" s="1"/>
  <c r="C38" i="67"/>
  <c r="C17" i="67"/>
  <c r="C14" i="67"/>
  <c r="B6" i="76"/>
  <c r="C15" i="67" l="1"/>
  <c r="C18" i="67"/>
  <c r="E6" i="70"/>
  <c r="E2" i="70" s="1"/>
  <c r="C42" i="11"/>
  <c r="C41" i="11" s="1"/>
  <c r="C49" i="11" s="1"/>
  <c r="C51" i="11" s="1"/>
  <c r="C24" i="69"/>
  <c r="C24" i="68"/>
  <c r="C43" i="68"/>
  <c r="C42" i="68"/>
  <c r="H7" i="37"/>
  <c r="H68" i="39"/>
  <c r="G70" i="39"/>
  <c r="K65" i="40"/>
  <c r="L63" i="40"/>
  <c r="AQ6" i="1"/>
  <c r="AR6" i="1"/>
  <c r="T6" i="1"/>
  <c r="T16" i="1" s="1"/>
  <c r="S16" i="1"/>
  <c r="S23" i="6"/>
  <c r="H23" i="6"/>
  <c r="R23" i="6" s="1"/>
  <c r="S22" i="6"/>
  <c r="H22" i="6"/>
  <c r="R22" i="6" s="1"/>
  <c r="H25" i="6"/>
  <c r="R25" i="6" s="1"/>
  <c r="S25" i="6"/>
  <c r="S20" i="6"/>
  <c r="H20" i="6"/>
  <c r="R20" i="6" s="1"/>
  <c r="M19" i="6"/>
  <c r="K27" i="6"/>
  <c r="S21" i="6"/>
  <c r="H21" i="6"/>
  <c r="R21" i="6" s="1"/>
  <c r="S24" i="6"/>
  <c r="H24" i="6"/>
  <c r="R24" i="6" s="1"/>
  <c r="S26" i="6"/>
  <c r="H26" i="6"/>
  <c r="R26" i="6" s="1"/>
  <c r="C43" i="69"/>
  <c r="C42" i="69"/>
  <c r="C27" i="12"/>
  <c r="C25" i="12" s="1"/>
  <c r="C32" i="12" s="1"/>
  <c r="B2" i="12" s="1"/>
  <c r="B3" i="12" s="1"/>
  <c r="C25" i="68"/>
  <c r="B2" i="76"/>
  <c r="B3" i="76" s="1"/>
  <c r="U7" i="21"/>
  <c r="AB7" i="21"/>
  <c r="T48" i="21" s="1"/>
  <c r="G48" i="21" s="1"/>
  <c r="W7" i="37"/>
  <c r="AC7" i="37"/>
  <c r="V42" i="37" s="1"/>
  <c r="I42" i="37" s="1"/>
  <c r="G54" i="34"/>
  <c r="H54" i="34" s="1"/>
  <c r="G53" i="34"/>
  <c r="H53" i="34" s="1"/>
  <c r="E36" i="36"/>
  <c r="R37" i="36"/>
  <c r="I52" i="21"/>
  <c r="J52" i="21" s="1"/>
  <c r="AA7" i="35"/>
  <c r="R38" i="35" s="1"/>
  <c r="S7" i="35"/>
  <c r="S7" i="37"/>
  <c r="AA7" i="37"/>
  <c r="R42" i="37" s="1"/>
  <c r="B3" i="43"/>
  <c r="AA7" i="21"/>
  <c r="R48" i="21" s="1"/>
  <c r="S7" i="21"/>
  <c r="E49" i="34"/>
  <c r="R50" i="34"/>
  <c r="I53" i="34"/>
  <c r="J53" i="34" s="1"/>
  <c r="AB7" i="35"/>
  <c r="T38" i="35" s="1"/>
  <c r="G38" i="35" s="1"/>
  <c r="U7" i="35"/>
  <c r="G40" i="36"/>
  <c r="H40" i="36" s="1"/>
  <c r="G41" i="36"/>
  <c r="H41" i="36" s="1"/>
  <c r="AC7" i="35"/>
  <c r="V38" i="35" s="1"/>
  <c r="I38" i="35" s="1"/>
  <c r="W7" i="35"/>
  <c r="U7" i="37"/>
  <c r="AB7" i="37"/>
  <c r="T42" i="37" s="1"/>
  <c r="G42" i="37" s="1"/>
  <c r="I40" i="36"/>
  <c r="J40" i="36" s="1"/>
  <c r="I41" i="36"/>
  <c r="J41" i="36" s="1"/>
  <c r="J19" i="15"/>
  <c r="J17" i="15" s="1"/>
  <c r="C33" i="15"/>
  <c r="C31" i="15" s="1"/>
  <c r="J14" i="15"/>
  <c r="J22" i="15" s="1"/>
  <c r="C13" i="15"/>
  <c r="C75" i="15" s="1"/>
  <c r="J59" i="15"/>
  <c r="J60" i="15" s="1"/>
  <c r="Q48" i="15" s="1"/>
  <c r="C36" i="15"/>
  <c r="Q49" i="15"/>
  <c r="C57" i="15"/>
  <c r="C64" i="15" s="1"/>
  <c r="C33" i="67"/>
  <c r="C22" i="11"/>
  <c r="C31" i="11" s="1"/>
  <c r="C19" i="67" l="1"/>
  <c r="C20" i="67" s="1"/>
  <c r="C26" i="67" s="1"/>
  <c r="C41" i="68"/>
  <c r="C49" i="68" s="1"/>
  <c r="C51" i="68" s="1"/>
  <c r="C22" i="68"/>
  <c r="C31" i="68" s="1"/>
  <c r="L65" i="40"/>
  <c r="M63" i="40"/>
  <c r="H70" i="39"/>
  <c r="I68" i="39"/>
  <c r="C61" i="15"/>
  <c r="C59" i="15" s="1"/>
  <c r="C41" i="69"/>
  <c r="C49" i="69" s="1"/>
  <c r="C51" i="69" s="1"/>
  <c r="C56" i="15"/>
  <c r="C65" i="15" s="1"/>
  <c r="M27" i="6"/>
  <c r="I19" i="6"/>
  <c r="L18" i="9" s="1"/>
  <c r="Q70" i="15"/>
  <c r="C37" i="15"/>
  <c r="C30" i="15" s="1"/>
  <c r="C39" i="15" s="1"/>
  <c r="C80" i="15" s="1"/>
  <c r="C79" i="15" s="1"/>
  <c r="I42" i="35"/>
  <c r="J42" i="35" s="1"/>
  <c r="G42" i="35"/>
  <c r="H42" i="35" s="1"/>
  <c r="G43" i="35"/>
  <c r="H43" i="35" s="1"/>
  <c r="R49" i="21"/>
  <c r="E48" i="21"/>
  <c r="E53" i="34"/>
  <c r="F53" i="34" s="1"/>
  <c r="E54" i="34"/>
  <c r="F54" i="34" s="1"/>
  <c r="E42" i="37"/>
  <c r="R43" i="37"/>
  <c r="C36" i="36"/>
  <c r="C37" i="36"/>
  <c r="B2" i="36" s="1"/>
  <c r="B3" i="36" s="1"/>
  <c r="G46" i="37"/>
  <c r="H46" i="37" s="1"/>
  <c r="G47" i="37"/>
  <c r="H47" i="37" s="1"/>
  <c r="I54" i="34"/>
  <c r="J54" i="34" s="1"/>
  <c r="C49" i="34"/>
  <c r="C50" i="34"/>
  <c r="B2" i="34" s="1"/>
  <c r="B3" i="34" s="1"/>
  <c r="R39" i="35"/>
  <c r="E38" i="35"/>
  <c r="E40" i="36"/>
  <c r="F40" i="36" s="1"/>
  <c r="E41" i="36"/>
  <c r="F41" i="36" s="1"/>
  <c r="I46" i="37"/>
  <c r="J46" i="37" s="1"/>
  <c r="I47" i="37"/>
  <c r="J47" i="37" s="1"/>
  <c r="G52" i="21"/>
  <c r="H52" i="21" s="1"/>
  <c r="G53" i="21"/>
  <c r="H53" i="21" s="1"/>
  <c r="J13" i="15"/>
  <c r="J23" i="15" s="1"/>
  <c r="J16" i="15" s="1"/>
  <c r="J25" i="15" s="1"/>
  <c r="L46" i="15"/>
  <c r="C52" i="11"/>
  <c r="B2" i="11" s="1"/>
  <c r="B3" i="11" s="1"/>
  <c r="C23" i="67" l="1"/>
  <c r="C29" i="67" s="1"/>
  <c r="C52" i="68"/>
  <c r="B2" i="68" s="1"/>
  <c r="B3" i="68" s="1"/>
  <c r="I70" i="39"/>
  <c r="J68" i="39"/>
  <c r="M65" i="40"/>
  <c r="N63" i="40"/>
  <c r="C58" i="15"/>
  <c r="C67" i="15" s="1"/>
  <c r="C68" i="15" s="1"/>
  <c r="C71" i="15" s="1"/>
  <c r="C40" i="15"/>
  <c r="H19" i="6"/>
  <c r="L19" i="9" s="1"/>
  <c r="S19" i="6"/>
  <c r="S27" i="6" s="1"/>
  <c r="I27" i="6"/>
  <c r="Q69" i="15"/>
  <c r="Q68" i="15" s="1"/>
  <c r="C49" i="21"/>
  <c r="B2" i="21" s="1"/>
  <c r="B3" i="21" s="1"/>
  <c r="C48" i="21"/>
  <c r="E43" i="35"/>
  <c r="F43" i="35" s="1"/>
  <c r="E42" i="35"/>
  <c r="F42" i="35" s="1"/>
  <c r="E47" i="37"/>
  <c r="F47" i="37" s="1"/>
  <c r="E46" i="37"/>
  <c r="F46" i="37" s="1"/>
  <c r="C39" i="35"/>
  <c r="B2" i="35" s="1"/>
  <c r="B3" i="35" s="1"/>
  <c r="C38" i="35"/>
  <c r="C42" i="37"/>
  <c r="C43" i="37"/>
  <c r="B2" i="37" s="1"/>
  <c r="B3" i="37" s="1"/>
  <c r="E52" i="21"/>
  <c r="F52" i="21" s="1"/>
  <c r="E53" i="21"/>
  <c r="F53" i="21" s="1"/>
  <c r="I53" i="21"/>
  <c r="J53" i="21" s="1"/>
  <c r="I43" i="35"/>
  <c r="J43" i="35" s="1"/>
  <c r="C56" i="11"/>
  <c r="C57" i="11" s="1"/>
  <c r="L51" i="15"/>
  <c r="C36" i="67" l="1"/>
  <c r="Q49" i="67"/>
  <c r="J19" i="67"/>
  <c r="J59" i="67"/>
  <c r="J60" i="67" s="1"/>
  <c r="Q48" i="67" s="1"/>
  <c r="C57" i="67"/>
  <c r="J14" i="67"/>
  <c r="C13" i="67"/>
  <c r="L57" i="15"/>
  <c r="L60" i="15" s="1"/>
  <c r="Q57" i="15" s="1"/>
  <c r="Q67" i="15"/>
  <c r="C57" i="68"/>
  <c r="C56" i="68" s="1"/>
  <c r="C46" i="15"/>
  <c r="N65" i="40"/>
  <c r="O63" i="40"/>
  <c r="O65" i="40" s="1"/>
  <c r="J70" i="39"/>
  <c r="K68" i="39"/>
  <c r="Q47" i="15"/>
  <c r="Q53" i="15" s="1"/>
  <c r="C43" i="15"/>
  <c r="B2" i="15"/>
  <c r="B3" i="15" s="1"/>
  <c r="C83" i="15"/>
  <c r="C82" i="15" s="1"/>
  <c r="Q56" i="15"/>
  <c r="Q65" i="15"/>
  <c r="R19" i="6"/>
  <c r="H27" i="6"/>
  <c r="Q66" i="15"/>
  <c r="J22" i="67" l="1"/>
  <c r="J13" i="67"/>
  <c r="J23" i="67" s="1"/>
  <c r="C37" i="67"/>
  <c r="Q70" i="67"/>
  <c r="C75" i="67"/>
  <c r="C56" i="67"/>
  <c r="C65" i="67" s="1"/>
  <c r="C61" i="67"/>
  <c r="C64" i="67"/>
  <c r="Q62" i="15"/>
  <c r="Q75" i="15"/>
  <c r="K70" i="39"/>
  <c r="L68" i="39"/>
  <c r="F7" i="40"/>
  <c r="H7" i="40"/>
  <c r="J7" i="40"/>
  <c r="R27" i="6"/>
  <c r="R6" i="1"/>
  <c r="M21" i="67"/>
  <c r="F35" i="67"/>
  <c r="J20" i="67" l="1"/>
  <c r="J17" i="67" s="1"/>
  <c r="J16" i="67" s="1"/>
  <c r="J25" i="67" s="1"/>
  <c r="F63" i="67"/>
  <c r="C62" i="67" s="1"/>
  <c r="C59" i="67" s="1"/>
  <c r="C58" i="67" s="1"/>
  <c r="C67" i="67" s="1"/>
  <c r="C68" i="67" s="1"/>
  <c r="C34" i="67"/>
  <c r="C31" i="67" s="1"/>
  <c r="C30" i="67" s="1"/>
  <c r="C39" i="67" s="1"/>
  <c r="R16" i="1"/>
  <c r="AB7" i="40"/>
  <c r="T42" i="40" s="1"/>
  <c r="G42" i="40" s="1"/>
  <c r="U7" i="40"/>
  <c r="M68" i="39"/>
  <c r="L70" i="39"/>
  <c r="AC7" i="40"/>
  <c r="V42" i="40" s="1"/>
  <c r="I42" i="40" s="1"/>
  <c r="I46" i="40" s="1"/>
  <c r="J46" i="40" s="1"/>
  <c r="W7" i="40"/>
  <c r="AA7" i="40"/>
  <c r="R42" i="40" s="1"/>
  <c r="S7" i="40"/>
  <c r="L51" i="67"/>
  <c r="L57" i="67" l="1"/>
  <c r="L60" i="67" s="1"/>
  <c r="Q67" i="67"/>
  <c r="Q69" i="67"/>
  <c r="Q68" i="67" s="1"/>
  <c r="C80" i="67"/>
  <c r="C79" i="67" s="1"/>
  <c r="C40" i="67"/>
  <c r="C45" i="67" s="1"/>
  <c r="C46" i="67" s="1"/>
  <c r="C71" i="67"/>
  <c r="R43" i="40"/>
  <c r="E42" i="40"/>
  <c r="M70" i="39"/>
  <c r="N68" i="39"/>
  <c r="G47" i="40"/>
  <c r="H47" i="40" s="1"/>
  <c r="G46" i="40"/>
  <c r="H46" i="40" s="1"/>
  <c r="Q65" i="67" l="1"/>
  <c r="Q56" i="67"/>
  <c r="C83" i="67"/>
  <c r="C82" i="67" s="1"/>
  <c r="Q47" i="67"/>
  <c r="Q53" i="67" s="1"/>
  <c r="C43" i="67"/>
  <c r="L46" i="67"/>
  <c r="D2" i="67" s="1"/>
  <c r="Q57" i="67"/>
  <c r="Q66" i="67"/>
  <c r="N70" i="39"/>
  <c r="O68" i="39"/>
  <c r="O70" i="39" s="1"/>
  <c r="J7" i="39" s="1"/>
  <c r="I47" i="40"/>
  <c r="J47" i="40" s="1"/>
  <c r="E46" i="40"/>
  <c r="F46" i="40" s="1"/>
  <c r="E47" i="40"/>
  <c r="F47" i="40" s="1"/>
  <c r="C42" i="40"/>
  <c r="C43" i="40"/>
  <c r="Q62" i="67" l="1"/>
  <c r="Q75" i="67"/>
  <c r="B2" i="67"/>
  <c r="B3" i="67"/>
  <c r="AC7" i="39"/>
  <c r="V47" i="39" s="1"/>
  <c r="I47" i="39" s="1"/>
  <c r="I51" i="39" s="1"/>
  <c r="J51" i="39" s="1"/>
  <c r="W7" i="39"/>
  <c r="B54" i="40"/>
  <c r="F54" i="40" s="1"/>
  <c r="B57" i="40"/>
  <c r="F57" i="40" s="1"/>
  <c r="B53" i="40"/>
  <c r="F53" i="40" s="1"/>
  <c r="B51" i="40"/>
  <c r="F51" i="40" s="1"/>
  <c r="B59" i="40"/>
  <c r="F59" i="40" s="1"/>
  <c r="F61" i="40"/>
  <c r="B2" i="40" s="1"/>
  <c r="B3" i="40" s="1"/>
  <c r="B55" i="40"/>
  <c r="F55" i="40" s="1"/>
  <c r="B56" i="40"/>
  <c r="F56" i="40" s="1"/>
  <c r="B58" i="40"/>
  <c r="F58" i="40" s="1"/>
  <c r="B60" i="40"/>
  <c r="F60" i="40" s="1"/>
  <c r="B52" i="40"/>
  <c r="F52" i="40" s="1"/>
  <c r="H7" i="39"/>
  <c r="F7" i="39"/>
  <c r="D19" i="9"/>
  <c r="D20" i="9"/>
  <c r="AO6" i="1"/>
  <c r="D103" i="9" l="1"/>
  <c r="D21" i="9"/>
  <c r="D102" i="9"/>
  <c r="B6" i="70"/>
  <c r="B2" i="70" s="1"/>
  <c r="B3" i="70" s="1"/>
  <c r="AB7" i="39"/>
  <c r="T47" i="39" s="1"/>
  <c r="G47" i="39" s="1"/>
  <c r="U7" i="39"/>
  <c r="S7" i="39"/>
  <c r="AA7" i="39"/>
  <c r="R47" i="39" s="1"/>
  <c r="G52" i="39" l="1"/>
  <c r="H52" i="39" s="1"/>
  <c r="G51" i="39"/>
  <c r="H51" i="39" s="1"/>
  <c r="E47" i="39"/>
  <c r="R48" i="39"/>
  <c r="I52" i="39" l="1"/>
  <c r="J52" i="39" s="1"/>
  <c r="E51" i="39"/>
  <c r="F51" i="39" s="1"/>
  <c r="E52" i="39"/>
  <c r="F52" i="39" s="1"/>
  <c r="C48" i="39"/>
  <c r="C47" i="39"/>
  <c r="B59" i="39" l="1"/>
  <c r="F59" i="39" s="1"/>
  <c r="B63" i="39"/>
  <c r="F63" i="39" s="1"/>
  <c r="B58" i="39"/>
  <c r="F58" i="39" s="1"/>
  <c r="B57" i="39"/>
  <c r="F57" i="39" s="1"/>
  <c r="B61" i="39"/>
  <c r="F61" i="39" s="1"/>
  <c r="B65" i="39"/>
  <c r="F65" i="39" s="1"/>
  <c r="B60" i="39"/>
  <c r="F60" i="39" s="1"/>
  <c r="B64" i="39"/>
  <c r="F64" i="39" s="1"/>
  <c r="B62" i="39"/>
  <c r="F62" i="39" s="1"/>
  <c r="B56" i="39"/>
  <c r="F56" i="39" s="1"/>
  <c r="F66" i="39" l="1"/>
  <c r="B2" i="39" s="1"/>
  <c r="B3" i="39" l="1"/>
  <c r="C6" i="69"/>
  <c r="C7" i="69" l="1"/>
  <c r="C5" i="69" s="1"/>
  <c r="C23" i="69" l="1"/>
  <c r="C20" i="69"/>
  <c r="C25" i="69" s="1"/>
  <c r="C28" i="69" l="1"/>
  <c r="C27" i="69" s="1"/>
  <c r="C22" i="69"/>
  <c r="C31" i="69" l="1"/>
  <c r="C52" i="69" s="1"/>
  <c r="B2" i="69" s="1"/>
  <c r="B3" i="69" s="1"/>
  <c r="C19" i="9"/>
  <c r="C20" i="9"/>
  <c r="C21" i="9" l="1"/>
  <c r="G19" i="9"/>
  <c r="C32" i="9" s="1"/>
  <c r="C102" i="9"/>
  <c r="D22" i="9"/>
  <c r="C57" i="69"/>
  <c r="C56" i="69" s="1"/>
  <c r="C103" i="9"/>
  <c r="G20" i="9"/>
  <c r="G21" i="9"/>
  <c r="S24" i="31" l="1"/>
  <c r="R38" i="31"/>
  <c r="S38" i="31" s="1"/>
  <c r="R34" i="31"/>
  <c r="S34" i="31" s="1"/>
  <c r="R30" i="31"/>
  <c r="S30" i="31" s="1"/>
  <c r="R26" i="31"/>
  <c r="S26" i="31" s="1"/>
  <c r="R37" i="31"/>
  <c r="S37" i="31" s="1"/>
  <c r="R33" i="31"/>
  <c r="S33" i="31" s="1"/>
  <c r="R29" i="31"/>
  <c r="S29" i="31" s="1"/>
  <c r="R25" i="31"/>
  <c r="S25" i="31" s="1"/>
  <c r="R36" i="31"/>
  <c r="S36" i="31" s="1"/>
  <c r="R32" i="31"/>
  <c r="S32" i="31" s="1"/>
  <c r="R28" i="31"/>
  <c r="S28" i="31" s="1"/>
  <c r="R39" i="31"/>
  <c r="S39" i="31" s="1"/>
  <c r="R35" i="31"/>
  <c r="S35" i="31" s="1"/>
  <c r="R31" i="31"/>
  <c r="S31" i="31" s="1"/>
  <c r="R27" i="31"/>
  <c r="S27" i="31" s="1"/>
  <c r="C35" i="9"/>
  <c r="F118" i="9" s="1"/>
  <c r="H118" i="9"/>
  <c r="C34" i="9" l="1"/>
  <c r="D118" i="9" s="1"/>
  <c r="D119" i="9" s="1"/>
  <c r="D5" i="52" s="1"/>
  <c r="B49" i="72" s="1"/>
  <c r="S22" i="31"/>
  <c r="D4" i="52"/>
  <c r="B47" i="72" s="1"/>
  <c r="I118" i="9"/>
  <c r="H4" i="52"/>
  <c r="H119" i="9"/>
  <c r="H5" i="52" s="1"/>
  <c r="H101" i="9"/>
  <c r="C104" i="9"/>
  <c r="F4" i="52"/>
  <c r="B51" i="72" s="1"/>
  <c r="F119" i="9"/>
  <c r="F5" i="52" s="1"/>
  <c r="B53" i="72" s="1"/>
  <c r="G118" i="9"/>
  <c r="G4" i="52" s="1"/>
  <c r="B52" i="72" s="1"/>
  <c r="D14" i="74" l="1"/>
  <c r="B20" i="31"/>
  <c r="R22" i="31"/>
  <c r="D45" i="9"/>
  <c r="D5" i="53"/>
  <c r="H107" i="9"/>
  <c r="M48" i="9"/>
  <c r="H102" i="9"/>
  <c r="D7" i="53" s="1"/>
  <c r="B21" i="72" s="1"/>
  <c r="I4" i="52"/>
  <c r="E118" i="9"/>
  <c r="E4" i="52" s="1"/>
  <c r="B48" i="72" s="1"/>
  <c r="C105" i="9"/>
  <c r="B21" i="31" l="1"/>
  <c r="E14" i="74"/>
  <c r="G14" i="74"/>
  <c r="F14" i="74"/>
  <c r="D122" i="9"/>
  <c r="M49" i="9"/>
  <c r="D13" i="53"/>
  <c r="H108" i="9"/>
  <c r="D15" i="53" s="1"/>
  <c r="B31" i="72" s="1"/>
  <c r="D6" i="53"/>
  <c r="B22" i="72" s="1"/>
  <c r="B20" i="72"/>
  <c r="D55" i="9"/>
  <c r="M53" i="9" s="1"/>
  <c r="C85" i="9"/>
  <c r="D52" i="9"/>
  <c r="D53" i="9"/>
  <c r="C64" i="9"/>
  <c r="C63" i="9" s="1"/>
  <c r="C67" i="9" s="1"/>
  <c r="C68" i="9" s="1"/>
  <c r="D54" i="9" s="1"/>
  <c r="C78" i="9"/>
  <c r="C73" i="9" s="1"/>
  <c r="C72" i="9"/>
  <c r="C93" i="9"/>
  <c r="C86" i="9" s="1"/>
  <c r="C79" i="9" l="1"/>
  <c r="C80" i="9" s="1"/>
  <c r="E80" i="9" s="1"/>
  <c r="E81" i="9" s="1"/>
  <c r="C95" i="9"/>
  <c r="L63" i="9"/>
  <c r="M63" i="9" s="1"/>
  <c r="L64" i="9"/>
  <c r="M64" i="9" s="1"/>
  <c r="L66" i="9"/>
  <c r="M66" i="9" s="1"/>
  <c r="L65" i="9"/>
  <c r="M65" i="9" s="1"/>
  <c r="L68" i="9"/>
  <c r="M68" i="9" s="1"/>
  <c r="L67" i="9"/>
  <c r="M67" i="9" s="1"/>
  <c r="B30" i="72"/>
  <c r="D14" i="53"/>
  <c r="B32" i="72" s="1"/>
  <c r="D123" i="9"/>
  <c r="D9" i="52" s="1"/>
  <c r="D8" i="52"/>
  <c r="M69" i="9" l="1"/>
  <c r="N69" i="9" s="1"/>
  <c r="C81" i="9"/>
  <c r="C96" i="9"/>
  <c r="E96" i="9" s="1"/>
  <c r="E97" i="9" s="1"/>
  <c r="C97" i="9" l="1"/>
  <c r="D58" i="9" s="1"/>
  <c r="D56" i="9" s="1"/>
  <c r="M54" i="9" s="1"/>
  <c r="N57" i="9" s="1"/>
  <c r="N58" i="9" l="1"/>
  <c r="P57" i="9"/>
  <c r="N59" i="9"/>
  <c r="N61" i="9" l="1"/>
  <c r="N60" i="9"/>
  <c r="D15" i="74" l="1"/>
  <c r="G15" i="74" l="1"/>
  <c r="E15" i="74"/>
  <c r="F15" i="74"/>
  <c r="D18" i="74" l="1"/>
  <c r="E18" i="74" l="1"/>
  <c r="G18" i="74"/>
  <c r="F18" i="74"/>
  <c r="B17" i="74" l="1"/>
  <c r="C17" i="74" l="1"/>
  <c r="D17" i="74" l="1"/>
  <c r="F17" i="74" l="1"/>
  <c r="E17" i="74"/>
  <c r="G17" i="74"/>
  <c r="B16" i="74" l="1"/>
  <c r="B1" i="74" s="1"/>
  <c r="C8" i="74" l="1"/>
  <c r="C7" i="74"/>
  <c r="C16" i="74"/>
  <c r="B2" i="74" s="1"/>
  <c r="D8" i="74" l="1"/>
  <c r="D7" i="74"/>
  <c r="D16" i="74" l="1"/>
  <c r="G16" i="74" l="1"/>
  <c r="B6" i="74" s="1"/>
  <c r="F16" i="74"/>
  <c r="E16"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<sst xmlns="http://schemas.openxmlformats.org/spreadsheetml/2006/main" count="7697" uniqueCount="3221">
  <si>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</si>
  <si>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</si>
  <si>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</si>
  <si>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</si>
  <si>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</si>
  <si>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</si>
  <si>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</si>
  <si>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</si>
  <si>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</si>
  <si>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</si>
  <si>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</si>
  <si>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</si>
  <si>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</si>
  <si>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</si>
  <si>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</si>
  <si>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</si>
  <si>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</si>
  <si>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</si>
  <si>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</si>
  <si>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</si>
  <si>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</si>
  <si>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</si>
  <si>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</si>
  <si>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</si>
  <si>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</si>
  <si>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</si>
  <si>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</si>
  <si>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</si>
  <si>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</si>
  <si>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</si>
  <si>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</si>
  <si>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</si>
  <si>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</si>
  <si>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</si>
  <si>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</si>
  <si>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</si>
  <si>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</si>
  <si>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</si>
  <si>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</si>
  <si>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</si>
  <si>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</si>
  <si>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</si>
  <si>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</si>
  <si>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</si>
  <si>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</si>
  <si>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</si>
  <si>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</si>
  <si>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</si>
  <si>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</si>
  <si>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</si>
  <si>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</si>
  <si>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</si>
  <si>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</si>
  <si>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</si>
  <si>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</si>
  <si>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</si>
  <si>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</si>
  <si>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</si>
  <si>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</si>
  <si>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</si>
  <si>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</si>
  <si>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</si>
  <si>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</si>
  <si>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</si>
  <si>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</si>
  <si>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</si>
  <si>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</si>
  <si>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</si>
  <si>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</si>
  <si>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</si>
  <si>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</si>
  <si>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</si>
  <si>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</si>
  <si>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</si>
  <si>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</si>
  <si>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</si>
  <si>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</si>
  <si>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</si>
  <si>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</si>
  <si>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</si>
  <si>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</si>
  <si>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</si>
  <si>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</si>
  <si>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</si>
  <si>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</si>
  <si>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</si>
  <si>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</si>
  <si>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</si>
  <si>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</si>
  <si>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</si>
  <si>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</si>
  <si>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</si>
  <si>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</si>
  <si>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</si>
  <si>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</si>
  <si>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</si>
  <si>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</si>
  <si>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</si>
  <si>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</si>
  <si>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</si>
  <si>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</si>
  <si>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</si>
  <si>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</si>
  <si>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</si>
  <si>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</si>
  <si>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</si>
  <si>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</si>
  <si>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</si>
  <si>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</si>
  <si>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</si>
  <si>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</si>
  <si>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</si>
  <si>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</si>
  <si>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</si>
  <si>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</si>
  <si>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</si>
  <si>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</si>
  <si>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</si>
  <si>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</si>
  <si>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</si>
  <si>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</si>
  <si>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</si>
  <si>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</si>
  <si>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</si>
  <si>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</si>
  <si>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</si>
  <si>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</si>
  <si>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</si>
  <si>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</si>
  <si>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</si>
  <si>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</si>
  <si>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</si>
  <si>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</si>
  <si>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</si>
  <si>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</si>
  <si>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</si>
  <si>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</si>
  <si>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</si>
  <si>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</si>
  <si>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</si>
  <si>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</si>
  <si>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</si>
  <si>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</si>
  <si>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</si>
  <si>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</si>
  <si>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</si>
  <si>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</si>
  <si>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</si>
  <si>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</si>
  <si>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</si>
  <si>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</si>
  <si>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</si>
  <si>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</si>
  <si>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</si>
  <si>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</si>
  <si>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</si>
  <si>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</si>
  <si>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</si>
  <si>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</si>
  <si>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</si>
  <si>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</si>
  <si>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</si>
  <si>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</si>
  <si>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</si>
  <si>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</si>
  <si>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</si>
  <si>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</si>
  <si>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</si>
  <si>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</si>
  <si>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</si>
  <si>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</si>
  <si>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</si>
  <si>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</si>
  <si>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</si>
  <si>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</si>
  <si>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</si>
  <si>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</si>
  <si>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</si>
  <si>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</si>
  <si>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</si>
  <si>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</si>
  <si>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</si>
  <si>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</si>
  <si>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</si>
  <si>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</si>
  <si>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</si>
  <si>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</si>
  <si>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</si>
  <si>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</si>
  <si>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</si>
  <si>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</si>
  <si>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</si>
  <si>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</si>
  <si>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</si>
  <si>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</si>
  <si>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</si>
  <si>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</si>
  <si>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</si>
  <si>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</si>
  <si>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</si>
  <si>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</si>
  <si>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</si>
  <si>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</si>
  <si>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</si>
  <si>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</si>
  <si>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</si>
  <si>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</si>
  <si>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</si>
  <si>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</si>
  <si>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</si>
  <si>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</si>
  <si>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</si>
  <si>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</si>
  <si>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</si>
  <si>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</si>
  <si>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</si>
  <si>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</si>
  <si>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</si>
  <si>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</si>
  <si>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</si>
  <si>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</si>
  <si>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</si>
  <si>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</si>
  <si>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</si>
  <si>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</si>
  <si>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</si>
  <si>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</si>
  <si>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</si>
  <si>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</si>
  <si>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</si>
  <si>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</si>
  <si>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</si>
  <si>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</si>
  <si>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</si>
  <si>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</si>
  <si>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</si>
  <si>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</si>
  <si>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</si>
  <si>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</si>
  <si>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</si>
  <si>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</si>
  <si>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</si>
  <si>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</si>
  <si>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</si>
  <si>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</si>
  <si>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</si>
  <si>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</si>
  <si>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</si>
  <si>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</si>
  <si>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</si>
  <si>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</si>
  <si>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</si>
  <si>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</si>
  <si>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</si>
  <si>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</si>
  <si>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</si>
  <si>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</si>
  <si>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</si>
  <si>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</si>
  <si>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</si>
  <si>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</si>
  <si>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</si>
  <si>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</si>
  <si>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</si>
  <si>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</si>
  <si>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</si>
  <si>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</si>
  <si>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</si>
  <si>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</si>
  <si>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</si>
  <si>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</si>
  <si>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</si>
  <si>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</si>
  <si>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</si>
  <si>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</si>
  <si>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</si>
  <si>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</si>
  <si>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</si>
  <si>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</si>
  <si>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</si>
  <si>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</si>
  <si>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</si>
  <si>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</si>
  <si>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</si>
  <si>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</si>
  <si>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</si>
  <si>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</si>
  <si>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</si>
  <si>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</si>
  <si>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</si>
  <si>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</si>
  <si>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</si>
  <si>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</si>
  <si>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</si>
  <si>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</si>
  <si>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</si>
  <si>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</si>
  <si>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</si>
  <si>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</si>
  <si>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</si>
  <si>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</si>
  <si>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</si>
  <si>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</si>
  <si>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</si>
  <si>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</si>
  <si>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</si>
  <si>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</si>
  <si>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</si>
  <si>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</si>
  <si>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</si>
  <si>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</si>
  <si>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</si>
  <si>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</si>
  <si>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</si>
  <si>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</si>
  <si>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</si>
  <si>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</si>
  <si>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</si>
  <si>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</si>
  <si>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</si>
  <si>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</si>
  <si>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</si>
  <si>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</si>
  <si>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</si>
  <si>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</si>
  <si>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</si>
  <si>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</si>
  <si>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</si>
  <si>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</si>
  <si>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</si>
  <si>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</si>
  <si>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</si>
  <si>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</si>
  <si>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</si>
  <si>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</si>
  <si>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</si>
  <si>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</si>
  <si>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</si>
  <si>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</si>
  <si>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</si>
  <si>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</si>
  <si>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</si>
  <si>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</si>
  <si>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</si>
  <si>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</si>
  <si>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</si>
  <si>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</si>
  <si>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</si>
  <si>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</si>
  <si>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</si>
  <si>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</si>
  <si>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</si>
  <si>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</si>
  <si>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</si>
  <si>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</si>
  <si>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</si>
  <si>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</si>
  <si>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</si>
  <si>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</si>
  <si>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</si>
  <si>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</si>
  <si>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</si>
  <si>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</si>
  <si>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</si>
  <si>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</si>
  <si>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</si>
  <si>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</si>
  <si>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</si>
  <si>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</si>
  <si>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</si>
  <si>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</si>
  <si>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</si>
  <si>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</si>
  <si>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</si>
  <si>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</si>
  <si>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</si>
  <si>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</si>
  <si>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</si>
  <si>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</si>
  <si>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</si>
  <si>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</si>
  <si>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</si>
  <si>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</si>
  <si>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</si>
  <si>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</si>
  <si>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</si>
  <si>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</si>
  <si>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</si>
  <si>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</si>
  <si>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</si>
  <si>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</si>
  <si>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</si>
  <si>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</si>
  <si>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</si>
  <si>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</si>
  <si>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</si>
  <si>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</si>
  <si>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</si>
  <si>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</si>
  <si>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</si>
  <si>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</si>
  <si>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</si>
  <si>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</si>
  <si>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</si>
  <si>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</si>
  <si>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</si>
  <si>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</si>
  <si>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</si>
  <si>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</si>
  <si>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</si>
  <si>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</si>
  <si>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</si>
  <si>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</si>
  <si>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</si>
  <si>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</si>
  <si>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</si>
  <si>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</si>
  <si>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</si>
  <si>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</si>
  <si>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</si>
  <si>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</si>
  <si>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</si>
  <si>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</si>
  <si>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</si>
  <si>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</si>
  <si>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</si>
  <si>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</si>
  <si>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</si>
  <si>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</si>
  <si>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</si>
  <si>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</si>
  <si>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</si>
  <si>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</si>
  <si>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</si>
  <si>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</si>
  <si>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</si>
  <si>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</si>
  <si>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</si>
  <si>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</si>
  <si>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</si>
  <si>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</si>
  <si>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</si>
  <si>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</si>
  <si>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</si>
  <si>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</si>
  <si>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</si>
  <si>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</si>
  <si>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</si>
  <si>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</si>
  <si>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</si>
  <si>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</si>
  <si>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</si>
  <si>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</si>
  <si>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</si>
  <si>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</si>
  <si>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</si>
  <si>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</si>
  <si>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</si>
  <si>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</si>
  <si>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</si>
  <si>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</si>
  <si>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</si>
  <si>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</si>
  <si>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</si>
  <si>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</si>
  <si>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</si>
  <si>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</si>
  <si>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</si>
  <si>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</si>
  <si>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</si>
  <si>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</si>
  <si>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</si>
  <si>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</si>
  <si>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</si>
  <si>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</si>
  <si>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</si>
  <si>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</si>
  <si>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</si>
  <si>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</si>
  <si>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</si>
  <si>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</si>
  <si>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</si>
  <si>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</si>
  <si>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</si>
  <si>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</si>
  <si>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</si>
  <si>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</si>
  <si>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</si>
  <si>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</si>
  <si>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</si>
  <si>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</si>
  <si>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</si>
  <si>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</si>
  <si>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</si>
  <si>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</si>
  <si>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</si>
  <si>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</si>
  <si>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</si>
  <si>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</si>
  <si>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</si>
  <si>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</si>
  <si>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</si>
  <si>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</si>
  <si>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</si>
  <si>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</si>
  <si>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</si>
  <si>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</si>
  <si>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</si>
  <si>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</si>
  <si>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</si>
  <si>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</si>
  <si>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</si>
  <si>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</si>
  <si>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</si>
  <si>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</si>
  <si>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</si>
  <si>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</si>
  <si>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</si>
  <si>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</si>
  <si>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</si>
  <si>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</si>
  <si>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</si>
  <si>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</si>
  <si>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</si>
  <si>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</si>
  <si>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</si>
  <si>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</si>
  <si>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</si>
  <si>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</si>
  <si>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</si>
  <si>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</si>
  <si>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</si>
  <si>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</si>
  <si>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</si>
  <si>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</si>
  <si>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</si>
  <si>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</si>
  <si>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</si>
  <si>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</si>
  <si>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</si>
  <si>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</si>
  <si>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</si>
  <si>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</si>
  <si>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</si>
  <si>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</si>
  <si>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</si>
  <si>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</si>
  <si>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</si>
  <si>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</si>
  <si>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</si>
  <si>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</si>
  <si>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</si>
  <si>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</si>
  <si>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</si>
  <si>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</si>
  <si>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</si>
  <si>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</si>
  <si>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</si>
  <si>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</si>
  <si>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</si>
  <si>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</si>
  <si>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</si>
  <si>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</si>
  <si>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</si>
  <si>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</si>
  <si>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</si>
  <si>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</si>
  <si>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</si>
  <si>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</si>
  <si>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</si>
  <si>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</si>
  <si>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</si>
  <si>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</si>
  <si>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</si>
  <si>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</si>
  <si>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</si>
  <si>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</si>
  <si>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</si>
  <si>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</si>
  <si>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</si>
  <si>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</si>
  <si>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</si>
  <si>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</si>
  <si>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</si>
  <si>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</si>
  <si>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</si>
  <si>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</si>
  <si>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</si>
  <si>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</si>
  <si>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</si>
  <si>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</si>
  <si>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</si>
  <si>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</si>
  <si>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</si>
  <si>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</si>
  <si>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</si>
  <si>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</si>
  <si>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</si>
  <si>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</si>
  <si>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</si>
  <si>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</si>
  <si>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</si>
  <si>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</si>
  <si>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</si>
  <si>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</si>
  <si>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</si>
  <si>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</si>
  <si>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</si>
  <si>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</si>
  <si>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</si>
  <si>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</si>
  <si>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</si>
  <si>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</si>
  <si>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</si>
  <si>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</si>
  <si>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</si>
  <si>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</si>
  <si>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</si>
  <si>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</si>
  <si>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</si>
  <si>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</si>
  <si>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</si>
  <si>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</si>
  <si>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</si>
  <si>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</si>
  <si>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</si>
  <si>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</si>
  <si>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</si>
  <si>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</si>
  <si>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</si>
  <si>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</si>
  <si>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</si>
  <si>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</si>
  <si>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</si>
  <si>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</si>
  <si>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</si>
  <si>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</si>
  <si>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</si>
  <si>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</si>
  <si>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</si>
  <si>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</si>
  <si>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</si>
  <si>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</si>
  <si>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</si>
  <si>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</si>
  <si>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</si>
  <si>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</si>
  <si>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</si>
  <si>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</si>
  <si>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</si>
  <si>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</si>
  <si>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</si>
  <si>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</si>
  <si>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</si>
  <si>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</si>
  <si>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</si>
  <si>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</si>
  <si>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</si>
  <si>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</si>
  <si>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</si>
  <si>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</si>
  <si>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</si>
  <si>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</si>
  <si>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</si>
  <si>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</si>
  <si>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</si>
  <si>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</si>
  <si>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</si>
  <si>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</si>
  <si>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</si>
  <si>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</si>
  <si>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</si>
  <si>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</si>
  <si>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</si>
  <si>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</si>
  <si>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</si>
  <si>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</si>
  <si>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</si>
  <si>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</si>
  <si>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</si>
  <si>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</si>
  <si>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</si>
  <si>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</si>
  <si>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</si>
  <si>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</si>
  <si>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</si>
  <si>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</si>
  <si>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</si>
  <si>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</si>
  <si>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</si>
  <si>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</si>
  <si>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</si>
  <si>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</si>
  <si>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</si>
  <si>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</si>
  <si>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</si>
  <si>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</si>
  <si>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</si>
  <si>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</si>
  <si>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</si>
  <si>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</si>
  <si>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</si>
  <si>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</si>
  <si>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</si>
  <si>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</si>
  <si>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</si>
  <si>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</si>
  <si>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</si>
  <si>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</si>
  <si>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</si>
  <si>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</si>
  <si>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</si>
  <si>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</si>
  <si>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</si>
  <si>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</si>
  <si>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</si>
  <si>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</si>
  <si>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</si>
  <si>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</si>
  <si>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</si>
  <si>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</si>
  <si>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</si>
  <si>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</si>
  <si>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</si>
  <si>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</si>
  <si>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</si>
  <si>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</si>
  <si>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</si>
  <si>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</si>
  <si>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</si>
  <si>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</si>
  <si>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</si>
  <si>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</si>
  <si>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</si>
  <si>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</si>
  <si>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</si>
  <si>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</si>
  <si>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</si>
  <si>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</si>
  <si>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</si>
  <si>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</si>
  <si>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</si>
  <si>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</si>
  <si>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</si>
  <si>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</si>
  <si>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</si>
  <si>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</si>
  <si>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</si>
  <si>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</si>
  <si>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</si>
  <si>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</si>
  <si>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</si>
  <si>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</si>
  <si>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</si>
  <si>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</si>
  <si>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</si>
  <si>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</si>
  <si>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</si>
  <si>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</si>
  <si>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</si>
  <si>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</si>
  <si>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</si>
  <si>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</si>
  <si>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</si>
  <si>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</si>
  <si>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</si>
  <si>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</si>
  <si>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</si>
  <si>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</si>
  <si>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</si>
  <si>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</si>
  <si>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</si>
  <si>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</si>
  <si>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</si>
  <si>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</si>
  <si>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</si>
  <si>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</si>
  <si>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</si>
  <si>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</si>
  <si>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</si>
  <si>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</si>
  <si>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</si>
  <si>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</si>
  <si>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</si>
  <si>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</si>
  <si>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</si>
  <si>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</si>
  <si>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</si>
  <si>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</si>
  <si>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</si>
  <si>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</si>
  <si>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</si>
  <si>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</si>
  <si>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</si>
  <si>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</si>
  <si>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</si>
  <si>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</si>
  <si>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</si>
  <si>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</si>
  <si>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</si>
  <si>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</si>
  <si>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</si>
  <si>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</si>
  <si>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</si>
  <si>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</si>
  <si>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</si>
  <si>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</si>
  <si>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</si>
  <si>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</si>
  <si>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</si>
  <si>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</si>
  <si>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</si>
  <si>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</si>
  <si>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</si>
  <si>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</si>
  <si>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</si>
  <si>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</si>
  <si>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</si>
  <si>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</si>
  <si>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</si>
  <si>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</si>
  <si>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</si>
  <si>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</si>
  <si>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</si>
  <si>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</si>
  <si>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</si>
  <si>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</si>
  <si>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</si>
  <si>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</si>
  <si>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</si>
  <si>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</si>
  <si>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</si>
  <si>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</si>
  <si>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</si>
  <si>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</si>
  <si>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</si>
  <si>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</si>
  <si>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</si>
  <si>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</si>
  <si>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</si>
  <si>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</si>
  <si>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</si>
  <si>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</si>
  <si>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</si>
  <si>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</si>
  <si>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</si>
  <si>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</si>
  <si>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</si>
  <si>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</si>
  <si>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</si>
  <si>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</si>
  <si>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</si>
  <si>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</si>
  <si>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</si>
  <si>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</si>
  <si>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</si>
  <si>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</si>
  <si>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</si>
  <si>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</si>
  <si>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</si>
  <si>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</si>
  <si>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</si>
  <si>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</si>
  <si>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</si>
  <si>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</si>
  <si>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</si>
  <si>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</si>
  <si>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</si>
  <si>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</si>
  <si>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</si>
  <si>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</si>
  <si>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</si>
  <si>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</si>
  <si>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</si>
  <si>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</si>
  <si>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</si>
  <si>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</si>
  <si>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</si>
  <si>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</si>
  <si>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</si>
  <si>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</si>
  <si>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</si>
  <si>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</si>
  <si>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</si>
  <si>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</si>
  <si>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</si>
  <si>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</si>
  <si>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</si>
  <si>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</si>
  <si>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</si>
  <si>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</si>
  <si>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</si>
  <si>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</si>
  <si>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</si>
  <si>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</si>
  <si>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</si>
  <si>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</si>
  <si>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</si>
  <si>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</si>
  <si>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</si>
  <si>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</si>
  <si>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</si>
  <si>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</si>
  <si>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</si>
  <si>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</si>
  <si>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</si>
  <si>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</si>
  <si>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</si>
  <si>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</si>
  <si>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</si>
  <si>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</si>
  <si>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</si>
  <si>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</si>
  <si>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</si>
  <si>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</si>
  <si>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</si>
  <si>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</si>
  <si>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</si>
  <si>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</si>
  <si>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</si>
  <si>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</si>
  <si>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</si>
  <si>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</si>
  <si>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</si>
  <si>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</si>
  <si>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</si>
  <si>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</si>
  <si>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</si>
  <si>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</si>
  <si>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</si>
  <si>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</si>
  <si>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</si>
  <si>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</si>
  <si>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</si>
  <si>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</si>
  <si>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</si>
  <si>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</si>
  <si>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</si>
  <si>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</si>
  <si>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</si>
  <si>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</si>
  <si>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</si>
  <si>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</si>
  <si>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</si>
  <si>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</si>
  <si>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</si>
  <si>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</si>
  <si>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</si>
  <si>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</si>
  <si>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</si>
  <si>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</si>
  <si>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</si>
  <si>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</si>
  <si>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</si>
  <si>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</si>
  <si>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</si>
  <si>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</si>
  <si>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</si>
  <si>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</si>
  <si>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</si>
  <si>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</si>
  <si>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</si>
  <si>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</si>
  <si>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</si>
  <si>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</si>
  <si>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</si>
  <si>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</si>
  <si>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</si>
  <si>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</si>
  <si>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</si>
  <si>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</si>
  <si>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</si>
  <si>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</si>
  <si>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</si>
  <si>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</si>
  <si>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</si>
  <si>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</si>
  <si>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</si>
  <si>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</si>
  <si>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</si>
  <si>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</si>
  <si>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</si>
  <si>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</si>
  <si>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</si>
  <si>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</si>
  <si>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</si>
  <si>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</si>
  <si>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</si>
  <si>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</si>
  <si>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</si>
  <si>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</si>
  <si>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</si>
  <si>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</si>
  <si>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</si>
  <si>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</si>
  <si>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</si>
  <si>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</si>
  <si>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</si>
  <si>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</si>
  <si>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</si>
  <si>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</si>
  <si>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</si>
  <si>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</si>
  <si>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</si>
  <si>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</si>
  <si>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</si>
  <si>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</si>
  <si>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</si>
  <si>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</si>
  <si>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</si>
  <si>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</si>
  <si>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</si>
  <si>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</si>
  <si>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</si>
  <si>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</si>
  <si>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</si>
  <si>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</si>
  <si>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</si>
  <si>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</si>
  <si>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</si>
  <si>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</si>
  <si>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</si>
  <si>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</si>
  <si>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</si>
  <si>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</si>
  <si>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</si>
  <si>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</si>
  <si>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</si>
  <si>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</si>
  <si>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</si>
  <si>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</si>
  <si>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</si>
  <si>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</si>
  <si>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</si>
  <si>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</si>
  <si>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</si>
  <si>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</si>
  <si>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</si>
  <si>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</si>
  <si>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</si>
  <si>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</si>
  <si>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</si>
  <si>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</si>
  <si>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</si>
  <si>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</si>
  <si>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</si>
  <si>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</si>
  <si>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</si>
  <si>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</si>
  <si>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</si>
  <si>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</si>
  <si>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</si>
  <si>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</si>
  <si>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</si>
  <si>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</si>
  <si>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</si>
  <si>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</si>
  <si>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</si>
  <si>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</si>
  <si>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</si>
  <si>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</si>
  <si>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</si>
  <si>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</si>
  <si>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</si>
  <si>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</si>
  <si>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</si>
  <si>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</si>
  <si>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</si>
  <si>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</si>
  <si>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</si>
  <si>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</si>
  <si>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</si>
  <si>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</si>
  <si>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</si>
  <si>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</si>
  <si>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</si>
  <si>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</si>
  <si>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</si>
  <si>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</si>
  <si>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</si>
  <si>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</si>
  <si>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</si>
  <si>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</si>
  <si>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</si>
  <si>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</si>
  <si>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</si>
  <si>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</si>
  <si>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</si>
  <si>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</si>
  <si>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</si>
  <si>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</si>
  <si>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</si>
  <si>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</si>
  <si>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</si>
  <si>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</si>
  <si>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</si>
  <si>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</si>
  <si>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</si>
  <si>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</si>
  <si>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</si>
  <si>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</si>
  <si>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</si>
  <si>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</si>
  <si>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</si>
  <si>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</si>
  <si>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</si>
  <si>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</si>
  <si>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</si>
  <si>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</si>
  <si>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</si>
  <si>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</si>
  <si>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</si>
  <si>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</si>
  <si>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</si>
  <si>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</si>
  <si>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</si>
  <si>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</si>
  <si>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</si>
  <si>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</si>
  <si>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</si>
  <si>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</si>
  <si>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</si>
  <si>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</si>
  <si>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</si>
  <si>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</si>
  <si>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</si>
  <si>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</si>
  <si>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</si>
  <si>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</si>
  <si>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</si>
  <si>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</si>
  <si>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</si>
  <si>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</si>
  <si>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</si>
  <si>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</si>
  <si>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</si>
  <si>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</si>
  <si>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</si>
  <si>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</si>
  <si>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</si>
  <si>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</si>
  <si>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</si>
  <si>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</si>
  <si>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</si>
  <si>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</si>
  <si>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</si>
  <si>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</si>
  <si>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</si>
  <si>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</si>
  <si>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</si>
  <si>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</si>
  <si>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</si>
  <si>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</si>
  <si>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</si>
  <si>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</si>
  <si>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</si>
  <si>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</si>
  <si>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</si>
  <si>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</si>
  <si>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</si>
  <si>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</si>
  <si>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</si>
  <si>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</si>
  <si>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</si>
  <si>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</si>
  <si>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</si>
  <si>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</si>
  <si>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</si>
  <si>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</si>
  <si>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</si>
  <si>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</si>
  <si>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</si>
  <si>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</si>
  <si>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</si>
  <si>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</si>
  <si>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</si>
  <si>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</si>
  <si>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</si>
  <si>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</si>
  <si>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</si>
  <si>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</si>
  <si>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</si>
  <si>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</si>
  <si>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</si>
  <si>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</si>
  <si>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</si>
  <si>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</si>
  <si>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</si>
  <si>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</si>
  <si>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</si>
  <si>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</si>
  <si>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</si>
  <si>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</si>
  <si>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</si>
  <si>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</si>
  <si>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</si>
  <si>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</si>
  <si>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</si>
  <si>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</si>
  <si>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</si>
  <si>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</si>
  <si>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</si>
  <si>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</si>
  <si>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</si>
  <si>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</si>
  <si>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</si>
  <si>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</si>
  <si>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</si>
  <si>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</si>
  <si>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</si>
  <si>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</si>
  <si>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</si>
  <si>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</si>
  <si>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</si>
  <si>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</si>
  <si>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</si>
  <si>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</si>
  <si>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</si>
  <si>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</si>
  <si>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</si>
  <si>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</si>
  <si>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</si>
  <si>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</si>
  <si>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</si>
  <si>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</si>
  <si>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</si>
  <si>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</si>
  <si>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</si>
  <si>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</si>
  <si>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</si>
  <si>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</si>
  <si>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</si>
  <si>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</si>
  <si>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</si>
  <si>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</si>
  <si>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</si>
  <si>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</si>
  <si>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</si>
  <si>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</si>
  <si>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</si>
  <si>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</si>
  <si>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</si>
  <si>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</si>
  <si>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</si>
  <si>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</si>
  <si>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</si>
  <si>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</si>
  <si>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</si>
  <si>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</si>
  <si>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</si>
  <si>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</si>
  <si>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</si>
  <si>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</si>
  <si>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</si>
  <si>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</si>
  <si>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</si>
  <si>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</si>
  <si>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</si>
  <si>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</si>
  <si>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</si>
  <si>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</si>
  <si>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</si>
  <si>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</si>
  <si>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</si>
  <si>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</si>
  <si>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</si>
  <si>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</si>
  <si>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</si>
  <si>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</si>
  <si>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</si>
  <si>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</si>
  <si>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</si>
  <si>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</si>
  <si>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</si>
  <si>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</si>
  <si>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</si>
  <si>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</si>
  <si>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</si>
  <si>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</si>
  <si>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</si>
  <si>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</si>
  <si>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</si>
  <si>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</si>
  <si>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</si>
  <si>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</si>
  <si>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</si>
  <si>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</si>
  <si>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</si>
  <si>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</si>
  <si>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</si>
  <si>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</si>
  <si>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</si>
  <si>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</si>
  <si>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</si>
  <si>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</si>
  <si>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</si>
  <si>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</si>
  <si>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</si>
  <si>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</si>
  <si>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</si>
  <si>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</si>
  <si>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</si>
  <si>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</si>
  <si>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</si>
  <si>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</si>
  <si>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</si>
  <si>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</si>
  <si>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</si>
  <si>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</si>
  <si>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</si>
  <si>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</si>
  <si>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</si>
  <si>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</si>
  <si>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</si>
  <si>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</si>
  <si>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</si>
  <si>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</si>
  <si>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</si>
  <si>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</si>
  <si>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</si>
  <si>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</si>
  <si>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</si>
  <si>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</si>
  <si>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</si>
  <si>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</si>
  <si>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</si>
  <si>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</si>
  <si>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</si>
  <si>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</si>
  <si>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</si>
  <si>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</si>
  <si>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</si>
  <si>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</si>
  <si>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</si>
  <si>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</si>
  <si>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</si>
  <si>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</si>
  <si>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</si>
  <si>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</si>
  <si>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</si>
  <si>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</si>
  <si>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</si>
  <si>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</si>
  <si>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</si>
  <si>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</si>
  <si>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</si>
  <si>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</si>
  <si>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</si>
  <si>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</si>
  <si>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</si>
  <si>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</si>
  <si>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</si>
  <si>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</si>
  <si>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</si>
  <si>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</si>
  <si>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</si>
  <si>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</si>
  <si>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</si>
  <si>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</si>
  <si>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</si>
  <si>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</si>
  <si>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</si>
  <si>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</si>
  <si>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</si>
  <si>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</si>
  <si>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</si>
  <si>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</si>
  <si>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</si>
  <si>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</si>
  <si>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</si>
  <si>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</si>
  <si>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</si>
  <si>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</si>
  <si>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</si>
  <si>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</si>
  <si>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</si>
  <si>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</si>
  <si>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</si>
  <si>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</si>
  <si>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</si>
  <si>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</si>
  <si>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</si>
  <si>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</si>
  <si>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</si>
  <si>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</si>
  <si>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</si>
  <si>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</si>
  <si>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</si>
  <si>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</si>
  <si>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</si>
  <si>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</si>
  <si>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</si>
  <si>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</si>
  <si>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</si>
  <si>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</si>
  <si>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</si>
  <si>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</si>
  <si>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</si>
  <si>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</si>
  <si>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</si>
  <si>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</si>
  <si>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</si>
  <si>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</si>
  <si>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</si>
  <si>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</si>
  <si>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</si>
  <si>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</si>
  <si>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</si>
  <si>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</si>
  <si>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</si>
  <si>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</si>
  <si>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</si>
  <si>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</si>
  <si>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</si>
  <si>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</si>
  <si>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</si>
  <si>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</si>
  <si>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</si>
  <si>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</si>
  <si>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</si>
  <si>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</si>
  <si>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</si>
  <si>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</si>
  <si>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</si>
  <si>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</si>
  <si>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</si>
  <si>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</si>
  <si>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</si>
  <si>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</si>
  <si>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</si>
  <si>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</si>
  <si>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</si>
  <si>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</si>
  <si>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</si>
  <si>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</si>
  <si>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</si>
  <si>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</si>
  <si>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</si>
  <si>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</si>
  <si>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</si>
  <si>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</si>
  <si>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</si>
  <si>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</si>
  <si>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</si>
  <si>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</si>
  <si>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</si>
  <si>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</si>
  <si>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</si>
  <si>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</si>
  <si>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</si>
  <si>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</si>
  <si>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</si>
  <si>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</si>
  <si>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</si>
  <si>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</si>
  <si>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</si>
  <si>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</si>
  <si>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</si>
  <si>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</si>
  <si>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</si>
  <si>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</si>
  <si>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</si>
  <si>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</si>
  <si>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</si>
  <si>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</si>
  <si>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</si>
  <si>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</si>
  <si>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</si>
  <si>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</si>
  <si>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</si>
  <si>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</si>
  <si>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</si>
  <si>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</si>
  <si>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</si>
  <si>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</si>
  <si>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</si>
  <si>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</si>
  <si>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</si>
  <si>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</si>
  <si>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</si>
  <si>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</si>
  <si>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</si>
  <si>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</si>
  <si>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</si>
  <si>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</si>
  <si>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</si>
  <si>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</si>
  <si>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</si>
  <si>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</si>
  <si>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</si>
  <si>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</si>
  <si>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</si>
  <si>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</si>
  <si>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</si>
  <si>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</si>
  <si>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</si>
  <si>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</si>
  <si>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</si>
  <si>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</si>
  <si>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</si>
  <si>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</si>
  <si>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</si>
  <si>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</si>
  <si>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</si>
  <si>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</si>
  <si>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</si>
  <si>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</si>
  <si>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</si>
  <si>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</si>
  <si>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</si>
  <si>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</si>
  <si>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</si>
  <si>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</si>
  <si>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</si>
  <si>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</si>
  <si>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</si>
  <si>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</si>
  <si>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</si>
  <si>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</si>
  <si>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</si>
  <si>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</si>
  <si>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</si>
  <si>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</si>
  <si>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</si>
  <si>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</si>
  <si>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</si>
  <si>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</si>
  <si>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</si>
  <si>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</si>
  <si>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</si>
  <si>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</si>
  <si>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</si>
  <si>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</si>
  <si>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</si>
  <si>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</si>
  <si>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</si>
  <si>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</si>
  <si>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</si>
  <si>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</si>
  <si>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</si>
  <si>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</si>
  <si>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</si>
  <si>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</si>
  <si>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</si>
  <si>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</si>
  <si>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</si>
  <si>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</si>
  <si>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</si>
  <si>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</si>
  <si>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</si>
  <si>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</si>
  <si>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</si>
  <si>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</si>
  <si>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</si>
  <si>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</si>
  <si>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</si>
  <si>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</si>
  <si>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</si>
  <si>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</si>
  <si>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</si>
  <si>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</si>
  <si>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</si>
  <si>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</si>
  <si>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</si>
  <si>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</si>
  <si>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</si>
  <si>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</si>
  <si>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</si>
  <si>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</si>
  <si>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</si>
  <si>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</si>
  <si>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</si>
  <si>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</si>
  <si>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</si>
  <si>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</si>
  <si>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</si>
  <si>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</si>
  <si>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</si>
  <si>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</si>
  <si>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</si>
  <si>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</si>
  <si>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</si>
  <si>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</si>
  <si>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</si>
  <si>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</si>
  <si>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</si>
  <si>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</si>
  <si>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</si>
  <si>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</si>
  <si>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</si>
  <si>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</si>
  <si>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</si>
  <si>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</si>
  <si>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</si>
  <si>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</si>
  <si>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</si>
  <si>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</si>
  <si>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</si>
  <si>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</si>
  <si>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</si>
  <si>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</si>
  <si>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</si>
  <si>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</si>
  <si>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</si>
  <si>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</si>
  <si>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</si>
  <si>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</si>
  <si>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</si>
  <si>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</si>
  <si>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</si>
  <si>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</si>
  <si>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</si>
  <si>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</si>
  <si>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</si>
  <si>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</si>
  <si>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</si>
  <si>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</si>
  <si>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</si>
  <si>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</si>
  <si>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</si>
  <si>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</si>
  <si>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</si>
  <si>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</si>
  <si>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</si>
  <si>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</si>
  <si>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</si>
  <si>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</si>
  <si>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</si>
  <si>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</si>
  <si>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</si>
  <si>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</si>
  <si>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</si>
  <si>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</si>
  <si>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</si>
  <si>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</si>
  <si>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</si>
  <si>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</si>
  <si>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</si>
  <si>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</si>
  <si>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</si>
  <si>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</si>
  <si>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</si>
  <si>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</si>
  <si>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</si>
  <si>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</si>
  <si>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</si>
  <si>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</si>
  <si>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</si>
  <si>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</si>
  <si>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</si>
  <si>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</si>
  <si>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</si>
  <si>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</si>
  <si>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</si>
  <si>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</si>
  <si>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</si>
  <si>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</si>
  <si>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</si>
  <si>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</si>
  <si>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</si>
  <si>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</si>
  <si>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</si>
  <si>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</si>
  <si>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</si>
  <si>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</si>
  <si>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</si>
  <si>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</si>
  <si>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</si>
  <si>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</si>
  <si>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</si>
  <si>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</si>
  <si>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</si>
  <si>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</si>
  <si>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</si>
  <si>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</si>
  <si>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</si>
  <si>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</si>
  <si>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</si>
  <si>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</si>
  <si>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</si>
  <si>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</si>
  <si>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</si>
  <si>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</si>
  <si>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</si>
  <si>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</si>
  <si>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</si>
  <si>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</si>
  <si>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</si>
  <si>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</si>
  <si>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</si>
  <si>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</si>
  <si>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</si>
  <si>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</si>
  <si>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</si>
  <si>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</si>
  <si>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</si>
  <si>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</si>
  <si>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</si>
  <si>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</si>
  <si>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</si>
  <si>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</si>
  <si>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</si>
  <si>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</si>
  <si>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</si>
  <si>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</si>
  <si>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</si>
  <si>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</si>
  <si>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</si>
  <si>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</si>
  <si>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</si>
  <si>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</si>
  <si>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</si>
  <si>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</si>
  <si>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</si>
  <si>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</si>
  <si>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</si>
  <si>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</si>
  <si>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</si>
  <si>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</si>
  <si>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</si>
  <si>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</si>
  <si>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</si>
  <si>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</si>
  <si>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</si>
  <si>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</si>
  <si>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</si>
  <si>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</si>
  <si>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</si>
  <si>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</si>
  <si>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</si>
  <si>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</si>
  <si>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</si>
  <si>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</si>
  <si>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</si>
  <si>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</si>
  <si>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</si>
  <si>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</si>
  <si>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</si>
  <si>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</si>
  <si>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</si>
  <si>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</si>
  <si>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</si>
  <si>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</si>
  <si>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</si>
  <si>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</si>
  <si>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</si>
  <si>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</si>
  <si>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</si>
  <si>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</si>
  <si>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</si>
  <si>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</si>
  <si>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</si>
  <si>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</si>
  <si>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</si>
  <si>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</si>
  <si>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</si>
  <si>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</si>
  <si>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</si>
  <si>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</si>
  <si>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</si>
  <si>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</si>
  <si>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</si>
  <si>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</si>
  <si>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</si>
  <si>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</si>
  <si>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</si>
  <si>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</si>
  <si>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</si>
  <si>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</si>
  <si>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</si>
  <si>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</si>
  <si>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</si>
  <si>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</si>
  <si>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</si>
  <si>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</si>
  <si>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</si>
  <si>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</si>
  <si>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</si>
  <si>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</si>
  <si>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</si>
  <si>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</si>
  <si>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</si>
  <si>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</si>
  <si>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</si>
  <si>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</si>
  <si>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</si>
  <si>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</si>
  <si>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</si>
  <si>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</si>
  <si>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</si>
  <si>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</si>
  <si>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</si>
  <si>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</si>
  <si>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</si>
  <si>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</si>
  <si>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</si>
  <si>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</si>
  <si>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</si>
  <si>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</si>
  <si>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</si>
  <si>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</si>
  <si>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</si>
  <si>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</si>
  <si>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</si>
  <si>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</si>
  <si>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</si>
  <si>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</si>
  <si>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</si>
  <si>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</si>
  <si>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</si>
  <si>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</si>
  <si>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</si>
  <si>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</si>
  <si>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</si>
  <si>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</si>
  <si>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</si>
  <si>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</si>
  <si>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</si>
  <si>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</si>
  <si>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</si>
  <si>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</si>
  <si>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</si>
  <si>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</si>
  <si>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</si>
  <si>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</si>
  <si>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</si>
  <si>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</si>
  <si>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</si>
  <si>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</si>
  <si>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</si>
  <si>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</si>
  <si>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</si>
  <si>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</si>
  <si>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</si>
  <si>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</si>
  <si>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</si>
  <si>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</si>
  <si>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</si>
  <si>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</si>
  <si>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</si>
  <si>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</si>
  <si>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</si>
  <si>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</si>
  <si>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</si>
  <si>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</si>
  <si>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</si>
  <si>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</si>
  <si>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</si>
  <si>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</si>
  <si>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</si>
  <si>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</si>
  <si>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</si>
  <si>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</si>
  <si>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</si>
  <si>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</si>
  <si>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</si>
  <si>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</si>
  <si>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</si>
  <si>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</si>
  <si>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</si>
  <si>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</si>
  <si>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</si>
  <si>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</si>
  <si>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</si>
  <si>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</si>
  <si>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</si>
  <si>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</si>
  <si>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</si>
  <si>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</si>
  <si>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</si>
  <si>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</si>
  <si>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</si>
  <si>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</si>
  <si>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</si>
  <si>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</si>
  <si>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</si>
  <si>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</si>
  <si>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</si>
  <si>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</si>
  <si>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</si>
  <si>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</si>
  <si>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</si>
  <si>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</si>
  <si>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</si>
  <si>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</si>
  <si>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</si>
  <si>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</si>
  <si>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</si>
  <si>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</si>
  <si>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</si>
  <si>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</si>
  <si>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</si>
  <si>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</si>
  <si>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</si>
  <si>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</si>
  <si>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</si>
  <si>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</si>
  <si>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</si>
  <si>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</si>
  <si>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</si>
  <si>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</si>
  <si>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</si>
  <si>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</si>
  <si>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</si>
  <si>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</si>
  <si>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</si>
  <si>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</si>
  <si>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</si>
  <si>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</si>
  <si>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</si>
  <si>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</si>
  <si>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</si>
  <si>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</si>
  <si>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</si>
  <si>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</si>
  <si>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</si>
  <si>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</si>
  <si>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</si>
  <si>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</si>
  <si>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</si>
  <si>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</si>
  <si>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</si>
  <si>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</si>
  <si>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</si>
  <si>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</si>
  <si>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</si>
  <si>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</si>
  <si>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</si>
  <si>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</si>
  <si>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</si>
  <si>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</si>
  <si>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</si>
  <si>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</si>
  <si>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</si>
  <si>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</si>
  <si>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</si>
  <si>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</si>
  <si>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</si>
  <si>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</si>
  <si>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</si>
  <si>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</si>
  <si>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</si>
  <si>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</si>
  <si>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</si>
  <si>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</si>
  <si>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</si>
  <si>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</si>
  <si>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</si>
  <si>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</si>
  <si>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</si>
  <si>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</si>
  <si>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</si>
  <si>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</si>
  <si>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</si>
  <si>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</si>
  <si>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</si>
  <si>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</si>
  <si>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</si>
  <si>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</si>
  <si>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</si>
  <si>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</si>
  <si>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</si>
  <si>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</si>
  <si>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</si>
  <si>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</si>
  <si>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</si>
  <si>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</si>
  <si>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</si>
  <si>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</si>
  <si>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</si>
  <si>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</si>
  <si>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</si>
  <si>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</si>
  <si>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</si>
  <si>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</si>
  <si>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</si>
  <si>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</si>
  <si>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</si>
  <si>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</si>
  <si>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</si>
  <si>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</si>
  <si>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</si>
  <si>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</si>
  <si>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</si>
  <si>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</si>
  <si>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</si>
  <si>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</si>
  <si>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</si>
  <si>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</si>
  <si>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</si>
  <si>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</si>
  <si>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</si>
  <si>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</si>
  <si>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</si>
  <si>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</si>
  <si>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</si>
  <si>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</si>
  <si>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</si>
  <si>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</si>
  <si>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</si>
  <si>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</si>
  <si>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</si>
  <si>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</si>
  <si>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</si>
  <si>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</si>
  <si>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</si>
  <si>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</si>
  <si>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</si>
  <si>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</si>
  <si>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</si>
  <si>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</si>
  <si>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</si>
  <si>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</si>
  <si>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</si>
  <si>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</si>
  <si>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</si>
  <si>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</si>
  <si>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</si>
  <si>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</si>
  <si>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</si>
  <si>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</si>
  <si>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</si>
  <si>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</si>
  <si>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</si>
  <si>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</si>
  <si>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</si>
  <si>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</si>
  <si>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</si>
  <si>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</si>
  <si>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</si>
  <si>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</si>
  <si>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</si>
  <si>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</si>
  <si>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</si>
  <si>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</si>
  <si>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</si>
  <si>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</si>
  <si>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</si>
  <si>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</si>
  <si>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</si>
  <si>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</si>
  <si>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</si>
  <si>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</si>
  <si>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</si>
  <si>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</si>
  <si>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</si>
  <si>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</si>
  <si>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</si>
  <si>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</si>
  <si>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</si>
  <si>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</si>
  <si>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</si>
  <si>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</si>
  <si>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</si>
  <si>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</si>
  <si>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</si>
  <si>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</si>
  <si>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</si>
  <si>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</si>
  <si>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</si>
  <si>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</si>
  <si>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</si>
  <si>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</si>
  <si>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</si>
  <si>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</si>
  <si>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</si>
  <si>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</si>
  <si>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</si>
  <si>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</si>
  <si>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</si>
  <si>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</si>
  <si>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</si>
  <si>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</si>
  <si>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</si>
  <si>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</si>
  <si>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</si>
  <si>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</si>
  <si>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</si>
  <si>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</si>
  <si>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</si>
  <si>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</si>
  <si>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</si>
  <si>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</si>
  <si>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</si>
  <si>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</si>
  <si>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</si>
  <si>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</si>
  <si>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</si>
  <si>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</si>
  <si>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</si>
  <si>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</si>
  <si>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</si>
  <si>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</si>
  <si>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</si>
  <si>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</si>
  <si>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</si>
  <si>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</si>
  <si>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</si>
  <si>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</si>
  <si>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</si>
  <si>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</si>
  <si>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</si>
  <si>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</si>
  <si>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</si>
  <si>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</si>
  <si>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</si>
  <si>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</si>
  <si>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</si>
  <si>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</si>
  <si>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</si>
  <si>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</si>
  <si>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</si>
  <si>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</si>
  <si>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</si>
  <si>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</si>
  <si>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</si>
  <si>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</si>
  <si>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</si>
  <si>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</si>
  <si>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</si>
  <si>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</si>
  <si>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</si>
  <si>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</si>
  <si>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</si>
  <si>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</si>
  <si>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</si>
  <si>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</si>
  <si>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</si>
  <si>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</si>
  <si>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</si>
  <si>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</si>
  <si>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</si>
  <si>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</si>
  <si>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</si>
  <si>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</si>
  <si>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</si>
  <si>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</si>
  <si>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</si>
  <si>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</si>
  <si>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</si>
  <si>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</si>
  <si>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</si>
  <si>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</si>
  <si>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</si>
  <si>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</si>
  <si>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</si>
  <si>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</si>
  <si>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</si>
  <si>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</si>
  <si>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</si>
  <si>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</si>
  <si>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</si>
  <si>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</si>
  <si>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</si>
  <si>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</si>
  <si>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</si>
  <si>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</si>
  <si>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</si>
  <si>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</si>
  <si>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</si>
  <si>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</si>
  <si>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</si>
  <si>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</si>
  <si>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</si>
  <si>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</si>
  <si>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</si>
  <si>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</si>
  <si>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</si>
  <si>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</si>
  <si>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</si>
  <si>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</si>
  <si>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</si>
  <si>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</si>
  <si>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</si>
  <si>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</si>
  <si>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</si>
  <si>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</si>
  <si>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</si>
  <si>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</si>
  <si>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</si>
  <si>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</si>
  <si>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</si>
  <si>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</si>
  <si>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</si>
  <si>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</si>
  <si>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</si>
  <si>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</si>
  <si>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</si>
  <si>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</si>
  <si>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</si>
  <si>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</si>
  <si>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</si>
  <si>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</si>
  <si>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</si>
  <si>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</si>
  <si>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</si>
  <si>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</si>
  <si>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</si>
  <si>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</si>
  <si>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</si>
  <si>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</si>
  <si>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</si>
  <si>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</si>
  <si>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</si>
  <si>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</si>
  <si>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</si>
  <si>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</si>
  <si>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</si>
  <si>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</si>
  <si>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</si>
  <si>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</si>
  <si>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</si>
  <si>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</si>
  <si>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</si>
  <si>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</si>
  <si>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</si>
  <si>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</si>
  <si>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</si>
  <si>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</si>
  <si>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</si>
  <si>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</si>
  <si>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</si>
  <si>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</si>
  <si>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</si>
  <si>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</si>
  <si>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</si>
  <si>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</si>
  <si>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</si>
  <si>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</si>
  <si>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</si>
  <si>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</si>
  <si>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</si>
  <si>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</si>
  <si>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</si>
  <si>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</si>
  <si>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</si>
  <si>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</si>
  <si>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</si>
  <si>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</si>
  <si>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</si>
  <si>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</si>
  <si>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</si>
  <si>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</si>
  <si>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</si>
  <si>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</si>
  <si>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</si>
  <si>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</si>
  <si>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</si>
  <si>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</si>
  <si>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</si>
  <si>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</si>
  <si>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</si>
  <si>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</si>
  <si>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</si>
  <si>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</si>
  <si>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</si>
  <si>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</si>
  <si>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</si>
  <si>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</si>
  <si>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</si>
  <si>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</si>
  <si>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</si>
  <si>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</si>
  <si>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</si>
  <si>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</si>
  <si>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</si>
  <si>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</si>
  <si>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</si>
  <si>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</si>
  <si>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</si>
  <si>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</si>
  <si>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</si>
  <si>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</si>
  <si>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</si>
  <si>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</si>
  <si>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</si>
  <si>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</si>
  <si>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</si>
  <si>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</si>
  <si>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</si>
  <si>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</si>
  <si>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</si>
  <si>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</si>
  <si>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</si>
  <si>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</si>
  <si>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</si>
  <si>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</si>
  <si>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</si>
  <si>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</si>
  <si>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</si>
  <si>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</si>
  <si>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</si>
  <si>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</si>
  <si>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</si>
  <si>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</si>
  <si>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</si>
  <si>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</si>
  <si>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</si>
  <si>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</si>
  <si>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</si>
  <si>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</si>
  <si>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</si>
  <si>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</si>
  <si>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</si>
  <si>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</si>
  <si>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</si>
  <si>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</si>
  <si>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</si>
  <si>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</si>
  <si>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</si>
  <si>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</si>
  <si>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</si>
  <si>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</si>
  <si>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</si>
  <si>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</si>
  <si>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</si>
  <si>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</si>
  <si>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</si>
  <si>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</si>
  <si>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</si>
  <si>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</si>
  <si>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</si>
  <si>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</si>
  <si>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</si>
  <si>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</si>
  <si>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</si>
  <si>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</si>
  <si>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</si>
  <si>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</si>
  <si>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</si>
  <si>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</si>
  <si>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</si>
  <si>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</si>
  <si>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</si>
  <si>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</si>
  <si>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</si>
  <si>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</si>
  <si>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</si>
  <si>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</si>
  <si>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</si>
  <si>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</si>
  <si>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</si>
  <si>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</si>
  <si>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</si>
  <si>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</si>
  <si>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</si>
  <si>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</si>
  <si>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</si>
  <si>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</si>
  <si>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</si>
  <si>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</si>
  <si>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</si>
  <si>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</si>
  <si>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</si>
  <si>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</si>
  <si>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</si>
  <si>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</si>
  <si>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</si>
  <si>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</si>
  <si>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</si>
  <si>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</si>
  <si>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</si>
  <si>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</si>
  <si>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</si>
  <si>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</si>
  <si>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</si>
  <si>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</si>
  <si>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</si>
  <si>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</si>
  <si>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</si>
  <si>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</si>
  <si>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</si>
  <si>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</si>
  <si>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</si>
  <si>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</si>
  <si>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</si>
  <si>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</si>
  <si>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</si>
  <si>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</si>
  <si>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</si>
  <si>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</si>
  <si>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</si>
  <si>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</si>
  <si>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</si>
  <si>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</si>
  <si>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</si>
  <si>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</si>
  <si>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</si>
  <si>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</si>
  <si>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</si>
  <si>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</si>
  <si>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</si>
  <si>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</si>
  <si>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</si>
  <si>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</si>
  <si>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</si>
  <si>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</si>
  <si>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</si>
  <si>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</si>
  <si>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</si>
  <si>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</si>
  <si>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</si>
  <si>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</si>
  <si>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</si>
  <si>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</si>
  <si>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</si>
  <si>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</si>
  <si>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</si>
  <si>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</si>
  <si>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</si>
  <si>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</si>
  <si>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</si>
  <si>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</si>
  <si>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</si>
  <si>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</si>
  <si>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</si>
  <si>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</si>
  <si>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</si>
  <si>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</si>
  <si>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</si>
  <si>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</si>
  <si>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</si>
  <si>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</si>
  <si>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</si>
  <si>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</si>
  <si>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</si>
  <si>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</si>
  <si>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</si>
  <si>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</si>
  <si>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</si>
  <si>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</si>
  <si>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</si>
  <si>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</si>
  <si>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</si>
  <si>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</si>
  <si>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</si>
  <si>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</si>
  <si>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</si>
  <si>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</si>
  <si>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</si>
  <si>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</si>
  <si>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</si>
  <si>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</si>
  <si>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</si>
  <si>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</si>
  <si>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</si>
  <si>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</si>
  <si>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</si>
  <si>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</si>
  <si>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</si>
  <si>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</si>
  <si>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</si>
  <si>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</si>
  <si>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</si>
  <si>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</si>
  <si>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</si>
  <si>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</si>
  <si>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</si>
  <si>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</si>
  <si>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</si>
  <si>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</si>
  <si>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</si>
  <si>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</si>
  <si>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</si>
  <si>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</si>
  <si>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</si>
  <si>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</si>
  <si>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</si>
  <si>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</si>
  <si>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</si>
  <si>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</si>
  <si>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</si>
  <si>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</si>
  <si>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</si>
  <si>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</si>
  <si>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</si>
  <si>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</si>
  <si>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</si>
  <si>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</si>
  <si>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</si>
  <si>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</si>
  <si>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</si>
  <si>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</si>
  <si>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</si>
  <si>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</si>
  <si>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</si>
  <si>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</si>
  <si>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</si>
  <si>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</si>
  <si>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</si>
  <si>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</si>
  <si>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</si>
  <si>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</si>
  <si>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</si>
  <si>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</si>
  <si>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</si>
  <si>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</si>
  <si>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</si>
  <si>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</si>
  <si>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</si>
  <si>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</si>
  <si>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</si>
  <si>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</si>
  <si>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</si>
  <si>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</si>
  <si>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</si>
  <si>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</si>
  <si>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</si>
  <si>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</si>
  <si>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</si>
  <si>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</si>
  <si>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</si>
  <si>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</si>
  <si>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</si>
  <si>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</si>
  <si>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</si>
  <si>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</si>
  <si>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</si>
  <si>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</si>
  <si>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</si>
  <si>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</si>
  <si>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</si>
  <si>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</si>
  <si>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</si>
  <si>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</si>
  <si>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</si>
  <si>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</si>
  <si>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</si>
  <si>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</si>
  <si>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</si>
  <si>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</si>
  <si>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</si>
  <si>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</si>
  <si>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</si>
  <si>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</si>
  <si>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</si>
  <si>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</si>
  <si>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</si>
  <si>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</si>
  <si>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</si>
  <si>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</si>
  <si>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</si>
  <si>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</si>
  <si>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</si>
  <si>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</si>
  <si>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</si>
  <si>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</si>
  <si>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</si>
  <si>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</si>
  <si>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</si>
  <si>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</si>
  <si>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</si>
  <si>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</si>
  <si>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</si>
  <si>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</si>
  <si>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</si>
  <si>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</si>
  <si>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</si>
  <si>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</si>
  <si>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</si>
  <si>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</si>
  <si>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</si>
  <si>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</si>
  <si>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</si>
  <si>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</si>
  <si>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</si>
  <si>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</si>
  <si>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</si>
  <si>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</si>
  <si>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</si>
  <si>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</si>
  <si>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</si>
  <si>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</si>
  <si>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</si>
  <si>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</si>
  <si>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</si>
  <si>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</si>
  <si>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</si>
  <si>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</si>
  <si>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</si>
  <si>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</si>
  <si>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</si>
  <si>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</si>
  <si>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</si>
  <si>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</si>
  <si>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</si>
  <si>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</si>
  <si>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</si>
  <si>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</si>
  <si>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</si>
  <si>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</si>
  <si>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</si>
  <si>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</si>
  <si>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</si>
  <si>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</si>
  <si>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</si>
  <si>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</si>
  <si>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</si>
  <si>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</si>
  <si>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</si>
  <si>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</si>
  <si>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</si>
  <si>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</si>
  <si>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</si>
  <si>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</si>
  <si>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</si>
  <si>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</si>
  <si>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</si>
  <si>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</si>
  <si>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</si>
  <si>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</si>
  <si>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</si>
  <si>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</si>
  <si>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</si>
  <si>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</si>
  <si>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</si>
  <si>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</si>
  <si>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</si>
  <si>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</si>
  <si>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</si>
  <si>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</si>
  <si>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</si>
  <si>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</si>
  <si>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</si>
  <si>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</si>
  <si>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</si>
  <si>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</si>
  <si>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</si>
  <si>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</si>
  <si>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</si>
  <si>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</si>
  <si>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</si>
  <si>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</si>
  <si>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</si>
  <si>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</si>
  <si>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</si>
  <si>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</si>
  <si>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</si>
  <si>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</si>
  <si>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</si>
  <si>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</si>
  <si>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</si>
  <si>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</si>
  <si>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</si>
  <si>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</si>
  <si>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</si>
  <si>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</si>
  <si>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</si>
  <si>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</si>
  <si>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</si>
  <si>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</si>
  <si>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</si>
  <si>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</si>
  <si>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</si>
  <si>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</si>
  <si>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</si>
  <si>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</si>
  <si>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</si>
  <si>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</si>
  <si>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</si>
  <si>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</si>
  <si>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</si>
  <si>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</si>
  <si>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</si>
  <si>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</si>
  <si>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</si>
  <si>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</si>
  <si>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</si>
  <si>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</si>
  <si>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</si>
  <si>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</si>
  <si>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</si>
  <si>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</si>
  <si>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</si>
  <si>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</si>
  <si>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</si>
  <si>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</si>
  <si>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</si>
  <si>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</si>
  <si>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</si>
  <si>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</si>
  <si>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</si>
  <si>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</si>
  <si>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</si>
  <si>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</si>
  <si>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</si>
  <si>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</si>
  <si>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</si>
  <si>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</si>
  <si>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</si>
  <si>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</si>
  <si>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</si>
  <si>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</si>
  <si>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</si>
  <si>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</si>
  <si>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</si>
  <si>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</si>
  <si>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</si>
  <si>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</si>
  <si>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</si>
  <si>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</si>
  <si>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</si>
  <si>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</si>
  <si>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</si>
  <si>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</si>
  <si>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</si>
  <si>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</si>
  <si>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</si>
  <si>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</si>
  <si>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</si>
  <si>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</si>
  <si>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</si>
  <si>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</si>
  <si>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</si>
  <si>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</si>
  <si>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</si>
  <si>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</si>
  <si>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</si>
  <si>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</si>
  <si>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</si>
  <si>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</si>
  <si>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</si>
  <si>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</si>
  <si>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</si>
  <si>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</si>
  <si>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</si>
  <si>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</si>
  <si>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</si>
  <si>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</si>
  <si>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</si>
  <si>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</si>
  <si>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</si>
  <si>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</si>
  <si>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</si>
  <si>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</si>
  <si>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</si>
  <si>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</si>
  <si>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</si>
  <si>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</si>
  <si>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</si>
  <si>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</si>
  <si>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</si>
  <si>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</si>
  <si>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</si>
  <si>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</si>
  <si>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</si>
  <si>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</si>
  <si>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</si>
  <si>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</si>
  <si>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</si>
  <si>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</si>
  <si>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</si>
  <si>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</si>
  <si>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</si>
  <si>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</si>
  <si>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</si>
  <si>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</si>
  <si>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</si>
  <si>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</si>
  <si>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</si>
  <si>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</si>
  <si>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</si>
  <si>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</si>
  <si>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</si>
  <si>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</si>
  <si>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</si>
  <si>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</si>
  <si>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</si>
  <si>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</si>
  <si>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</si>
  <si>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</si>
  <si>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</si>
  <si>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</si>
  <si>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</si>
  <si>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</si>
  <si>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</si>
  <si>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</si>
  <si>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</si>
  <si>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</si>
  <si>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</si>
  <si>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</si>
  <si>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</si>
  <si>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</si>
  <si>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</si>
  <si>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</si>
  <si>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</si>
  <si>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</si>
  <si>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</si>
  <si>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</si>
  <si>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</si>
  <si>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</si>
  <si>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</si>
  <si>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</si>
  <si>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</si>
  <si>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</si>
  <si>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</si>
  <si>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</si>
  <si>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</si>
  <si>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</si>
  <si>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</si>
  <si>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</si>
  <si>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</si>
  <si>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</si>
  <si>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</si>
  <si>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</si>
  <si>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</si>
  <si>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</si>
  <si>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</si>
  <si>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</si>
  <si>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</si>
  <si>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</si>
  <si>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</si>
  <si>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</si>
  <si>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</si>
  <si>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</si>
  <si>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</si>
  <si>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</si>
  <si>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</si>
  <si>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</si>
  <si>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</si>
  <si>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</si>
  <si>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</si>
  <si>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</si>
  <si>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</si>
  <si>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</si>
  <si>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</si>
  <si>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</si>
  <si>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</si>
  <si>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</si>
  <si>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</si>
  <si>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</si>
  <si>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</si>
  <si>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</si>
  <si>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</si>
  <si>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</si>
  <si>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</si>
  <si>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</si>
  <si>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</si>
  <si>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</si>
  <si>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</si>
  <si>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</si>
  <si>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</si>
  <si>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</si>
  <si>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</si>
  <si>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</si>
  <si>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</si>
  <si>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</si>
  <si>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</si>
  <si>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</si>
  <si>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</si>
  <si>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</si>
  <si>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</si>
  <si>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</si>
  <si>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</si>
  <si>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</si>
  <si>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</si>
  <si>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</si>
  <si>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</si>
  <si>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</si>
  <si>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</si>
  <si>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</si>
  <si>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</si>
  <si>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</si>
  <si>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</si>
  <si>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</si>
  <si>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</si>
  <si>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</si>
  <si>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</si>
  <si>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</si>
  <si>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</si>
  <si>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</si>
  <si>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</si>
  <si>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</si>
  <si>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</si>
  <si>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</si>
  <si>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</si>
  <si>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</si>
  <si>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</si>
  <si>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</si>
  <si>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</si>
  <si>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</si>
  <si>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</si>
  <si>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</si>
  <si>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</si>
  <si>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</si>
  <si>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</si>
  <si>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</si>
  <si>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</si>
  <si>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</si>
  <si>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</si>
  <si>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</si>
  <si>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</si>
  <si>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</si>
  <si>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</si>
  <si>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</si>
  <si>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</si>
  <si>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</si>
  <si>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</si>
  <si>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</si>
  <si>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</si>
  <si>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</si>
  <si>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</si>
  <si>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</si>
  <si>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</si>
  <si>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</si>
  <si>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</si>
  <si>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</si>
  <si>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</si>
  <si>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</si>
  <si>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</si>
  <si>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</si>
  <si>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</si>
  <si>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</si>
  <si>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</si>
  <si>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</si>
  <si>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</si>
  <si>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</si>
  <si>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</si>
  <si>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</si>
  <si>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</si>
  <si>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</si>
  <si>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</si>
  <si>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</si>
  <si>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</si>
  <si>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</si>
  <si>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</si>
  <si>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</si>
  <si>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</si>
  <si>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</si>
  <si>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</si>
  <si>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</si>
  <si>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</si>
  <si>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</si>
  <si>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</si>
  <si>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</si>
  <si>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</si>
  <si>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</si>
  <si>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</si>
  <si>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</si>
  <si>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</si>
  <si>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</si>
  <si>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</si>
  <si>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</si>
  <si>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</si>
  <si>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</si>
  <si>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</si>
  <si>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</si>
  <si>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</si>
  <si>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</si>
  <si>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</si>
  <si>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</si>
  <si>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</si>
  <si>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</si>
  <si>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</si>
  <si>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</si>
  <si>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</si>
  <si>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</si>
  <si>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</si>
  <si>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</si>
  <si>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</si>
  <si>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</si>
  <si>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</si>
  <si>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</si>
  <si>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</si>
  <si>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</si>
  <si>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</si>
  <si>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</si>
  <si>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</si>
  <si>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</si>
  <si>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</si>
  <si>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</si>
  <si>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</si>
  <si>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</si>
  <si>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</si>
  <si>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</si>
  <si>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</si>
  <si>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</si>
  <si>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</si>
  <si>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</si>
  <si>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</si>
  <si>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</si>
  <si>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</si>
  <si>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</si>
  <si>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</si>
  <si>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</si>
  <si>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</si>
  <si>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</si>
  <si>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</si>
  <si>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</si>
  <si>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</si>
  <si>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</si>
  <si>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</si>
  <si>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</si>
  <si>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</si>
  <si>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</si>
  <si>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</si>
  <si>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</si>
  <si>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</si>
  <si>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</si>
  <si>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</si>
  <si>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</si>
  <si>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</si>
  <si>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</si>
  <si>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</si>
  <si>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</si>
  <si>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</si>
  <si>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</si>
  <si>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</si>
  <si>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</si>
  <si>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</si>
  <si>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</si>
  <si>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</si>
  <si>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</si>
  <si>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</si>
  <si>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</si>
  <si>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</si>
  <si>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</si>
  <si>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</si>
  <si>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</si>
  <si>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</si>
  <si>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</si>
  <si>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</si>
  <si>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</si>
  <si>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</si>
  <si>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</si>
  <si>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</si>
  <si>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</si>
  <si>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</si>
  <si>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</si>
  <si>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</si>
  <si>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</si>
  <si>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</si>
  <si>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</si>
  <si>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</si>
  <si>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</si>
  <si>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</si>
  <si>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</si>
  <si>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</si>
  <si>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</si>
  <si>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</si>
  <si>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</si>
  <si>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</si>
  <si>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</si>
  <si>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</si>
  <si>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</si>
  <si>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</si>
  <si>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</si>
  <si>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</si>
  <si>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</si>
  <si>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</si>
  <si>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</si>
  <si>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</si>
  <si>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</si>
  <si>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</si>
  <si>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</si>
  <si>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地块名称</t>
  </si>
  <si>
    <t>城市</t>
  </si>
  <si>
    <t>用地性质</t>
  </si>
  <si>
    <t>出让方式</t>
  </si>
  <si>
    <t>建设用地面积(㎡)</t>
  </si>
  <si>
    <t>规划建筑面积(㎡)</t>
  </si>
  <si>
    <t>容积率</t>
  </si>
  <si>
    <t>截止日期</t>
  </si>
  <si>
    <t>受让单位</t>
  </si>
  <si>
    <t>起始价(万元)</t>
  </si>
  <si>
    <t>成交价(万元)</t>
  </si>
  <si>
    <t>成交每亩价(万元/亩)</t>
  </si>
  <si>
    <t>成交楼面价(元/㎡)</t>
  </si>
  <si>
    <t>溢价率</t>
  </si>
  <si>
    <t>土地星级</t>
  </si>
  <si>
    <t>人民南路东、严桥路南侧地块</t>
  </si>
  <si>
    <t>盐城市</t>
  </si>
  <si>
    <t>商业/办公用地</t>
  </si>
  <si>
    <t>挂牌</t>
  </si>
  <si>
    <t>大于1并且小于或等于2</t>
  </si>
  <si>
    <t>2019-08-06</t>
  </si>
  <si>
    <t>建湖县新农村建设投资有限公司</t>
  </si>
  <si>
    <t>3星</t>
  </si>
  <si>
    <t>西葛庄路北、湖中路东侧地块</t>
  </si>
  <si>
    <t>大于或等于1.5并且小于或等于2</t>
  </si>
  <si>
    <t>江苏开诚置业有限公司</t>
  </si>
  <si>
    <t>331省道南侧地块</t>
  </si>
  <si>
    <t>小于或等于0.3</t>
  </si>
  <si>
    <t>中国石化销售股份有限公司江苏盐城石油分公司</t>
  </si>
  <si>
    <t>1星</t>
  </si>
  <si>
    <t>南环路北侧、234省道以西地块</t>
  </si>
  <si>
    <t>≤2.7</t>
  </si>
  <si>
    <t>2019-01-24</t>
  </si>
  <si>
    <t>建湖县国投高科实业有限公司</t>
  </si>
  <si>
    <t>5星</t>
  </si>
  <si>
    <t>嘉定园中心路南侧、经六路西侧地块</t>
  </si>
  <si>
    <t>≤2</t>
  </si>
  <si>
    <t>建湖县高新投资发展有限公司</t>
  </si>
  <si>
    <t>2星</t>
  </si>
  <si>
    <t>向阳路北、建湖西高速出口处地块</t>
  </si>
  <si>
    <t>≤0.8</t>
  </si>
  <si>
    <t>2019-01-23</t>
  </si>
  <si>
    <t>中国石化销售有限公司江苏盐城石油分公司</t>
  </si>
  <si>
    <t>上冈建材城西侧地块</t>
  </si>
  <si>
    <t>＞1,≤1.2</t>
  </si>
  <si>
    <t>2018-12-28</t>
  </si>
  <si>
    <t>建湖县国投东部建设投资有限公司</t>
  </si>
  <si>
    <t>合荡拆迁地块二</t>
  </si>
  <si>
    <t>≥1.2,≤1.8</t>
  </si>
  <si>
    <t>2018-12-26</t>
  </si>
  <si>
    <t>建湖县九龙口旅游建设投资有限公司</t>
  </si>
  <si>
    <t>服务中心地块二</t>
  </si>
  <si>
    <t>合荡拆迁地块四</t>
  </si>
  <si>
    <t>嘉定园中心路南侧、经五路东侧地块</t>
  </si>
  <si>
    <t>S234北侧、黄泥沟西侧地块</t>
  </si>
  <si>
    <t>2018-07-18</t>
  </si>
  <si>
    <t>建湖县汽车工业贸易公司</t>
  </si>
  <si>
    <t>331省道北侧地块</t>
  </si>
  <si>
    <t>≤0.3</t>
  </si>
  <si>
    <t>未来城南侧、城南高中西侧地块</t>
  </si>
  <si>
    <t>＞1,≤2</t>
  </si>
  <si>
    <t>江苏通银实业集团有限公司</t>
  </si>
  <si>
    <t>长兴路东侧、森达路南侧</t>
  </si>
  <si>
    <t>≤1</t>
  </si>
  <si>
    <t>2018-04-13</t>
  </si>
  <si>
    <t>建湖县城市建设投资有限公司</t>
  </si>
  <si>
    <t>4星</t>
  </si>
  <si>
    <t>城南初中西侧、严桥路南侧地块</t>
  </si>
  <si>
    <t>2018-03-08</t>
  </si>
  <si>
    <t>常州新城房地产开发有限公司</t>
  </si>
  <si>
    <t>开发区S231西侧、汇文路南侧地块</t>
  </si>
  <si>
    <t>2018-01-23</t>
  </si>
  <si>
    <t>建湖百盛公路服务有限公司</t>
  </si>
  <si>
    <t>环城西路东侧、水源路南侧地块</t>
  </si>
  <si>
    <t>2017-12-29</t>
  </si>
  <si>
    <t>航空路南侧、经三路东侧地块</t>
  </si>
  <si>
    <t>环城西路东侧、崔墩路南侧地块</t>
  </si>
  <si>
    <t>芦沟镇231省道东侧地块</t>
  </si>
  <si>
    <t>2017-10-31</t>
  </si>
  <si>
    <t>建湖顺达加油站有限公司</t>
  </si>
  <si>
    <t>双湖路北、滨湖路西侧地块一</t>
  </si>
  <si>
    <t>＞1.5,≤2</t>
  </si>
  <si>
    <t>2017-10-20</t>
  </si>
  <si>
    <t>建湖县惠民置业有限公司</t>
  </si>
  <si>
    <t>双湖路北、滨湖路西侧地块二</t>
  </si>
  <si>
    <t>芦沟镇南环路北侧地块</t>
  </si>
  <si>
    <t>≥1</t>
  </si>
  <si>
    <t>国网江苏省电力公司建湖县供电公司</t>
  </si>
  <si>
    <t>双湖一品西侧地块一(东侧)</t>
  </si>
  <si>
    <t>2017-08-30</t>
  </si>
  <si>
    <t>增城市碧桂园物业发展有限公司</t>
  </si>
  <si>
    <t>颜单镇沈杨村(乡村夜市)建宝路东侧地块</t>
  </si>
  <si>
    <t>＞1且≤1.2</t>
  </si>
  <si>
    <t>2017-01-24</t>
  </si>
  <si>
    <t>建湖耀颜实业有限公司</t>
  </si>
  <si>
    <t>府前路北、湖中南路东侧地块</t>
  </si>
  <si>
    <t>≤2.8</t>
  </si>
  <si>
    <t>2016-03-15</t>
  </si>
  <si>
    <t>九龙口镇九龙大道北侧地块</t>
  </si>
  <si>
    <t>≥0.3</t>
  </si>
  <si>
    <t>2016-01-13</t>
  </si>
  <si>
    <t>恒济镇新恒蒋路西侧地块</t>
  </si>
  <si>
    <t>中国石油天然气股份有限公司江苏盐城销售分公司</t>
  </si>
  <si>
    <t>上冈镇冈东社区运河路东侧地块</t>
  </si>
  <si>
    <t>上冈镇冈中路北侧地块</t>
  </si>
  <si>
    <t>＞1,≤1.4</t>
  </si>
  <si>
    <t>裔兆群</t>
  </si>
  <si>
    <t>芦沟镇镇南路北侧地块</t>
  </si>
  <si>
    <t>≤1.2</t>
  </si>
  <si>
    <t>2015-10-16</t>
  </si>
  <si>
    <t>经六路西侧、嘉定园中心路南侧</t>
  </si>
  <si>
    <t>≥1.2,≤2</t>
  </si>
  <si>
    <t>2015-09-23</t>
  </si>
  <si>
    <t>湖中南路东侧、严桥路北侧</t>
  </si>
  <si>
    <t>≤3</t>
  </si>
  <si>
    <t>2015-08-21</t>
  </si>
  <si>
    <t>江苏建湖农村商业银行股份有限公司</t>
  </si>
  <si>
    <t>湖中路东侧、兴建路南侧地块(原石油公司地块)</t>
  </si>
  <si>
    <t>大于1并且小于或等于2.2</t>
  </si>
  <si>
    <t>2015-01-08</t>
  </si>
  <si>
    <t>沈文道</t>
  </si>
  <si>
    <t>颜单镇颜阳路东侧地块</t>
  </si>
  <si>
    <t>小于或等于1.8</t>
  </si>
  <si>
    <t>2014-12-10</t>
  </si>
  <si>
    <t>建湖兴颜房地产开发有限公司</t>
  </si>
  <si>
    <t>建阳镇冠华路南侧、建东路西侧地块</t>
  </si>
  <si>
    <t>小于或等于1</t>
  </si>
  <si>
    <t>2014-09-17</t>
  </si>
  <si>
    <t>中国石油天燃气股份有限公司江苏盐城销售分公司</t>
  </si>
  <si>
    <t>原蒋营砖瓦厂地块</t>
  </si>
  <si>
    <t>大于1并且小于或等于1.8</t>
  </si>
  <si>
    <t>九龙口镇芦城线西侧、九龙大道南侧地块</t>
  </si>
  <si>
    <t>2013-12-18</t>
  </si>
  <si>
    <t>S234西侧、南环路北侧地块</t>
  </si>
  <si>
    <t>大于或等于2.5并且小于或等于3</t>
  </si>
  <si>
    <t>建湖县国投高科建设投资有限公司</t>
  </si>
  <si>
    <t>南环路北、规划支路东侧地块</t>
  </si>
  <si>
    <t>南环路北、府右路西侧地块</t>
  </si>
  <si>
    <t>小于或等于2.5</t>
  </si>
  <si>
    <t>2013-11-28</t>
  </si>
  <si>
    <t>双湖路南侧地块二</t>
  </si>
  <si>
    <t>大于或等于1并且小于或等于2.8</t>
  </si>
  <si>
    <t>建湖县国有资产投资管理有限公司</t>
  </si>
  <si>
    <t>湖中路东侧、森达小学南侧地块</t>
  </si>
  <si>
    <t>双湖路南侧地块三</t>
  </si>
  <si>
    <t>湖中路东侧地块</t>
  </si>
  <si>
    <t>双湖路南侧地块四</t>
  </si>
  <si>
    <t>双湖路南侧地块一</t>
  </si>
  <si>
    <t>双湖路南侧地块五</t>
  </si>
  <si>
    <t>抵押</t>
  </si>
  <si>
    <t>房地产抵押价值</t>
  </si>
  <si>
    <t>出让</t>
  </si>
  <si>
    <t>是</t>
  </si>
  <si>
    <t>地上</t>
  </si>
  <si>
    <t>商业</t>
    <phoneticPr fontId="7" type="noConversion"/>
  </si>
  <si>
    <t>成新度</t>
  </si>
  <si>
    <t>成本法 (元)</t>
  </si>
  <si>
    <t>收益法 (元)</t>
  </si>
  <si>
    <t>现房</t>
  </si>
  <si>
    <t>楼面地价</t>
  </si>
  <si>
    <t>正常</t>
  </si>
  <si>
    <t>自定义</t>
  </si>
  <si>
    <t>按租金收入计税</t>
  </si>
  <si>
    <t>钢混</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</si>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</sst>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494553</xdr:colOff>
      <xdr:row>33</xdr:row>
      <xdr:rowOff>65960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980953" cy="5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0919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5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5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36012.6</v>
          </cell>
          <cell r="C14">
            <v>20007</v>
          </cell>
          <cell r="D14">
            <v>3110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22999.5</v>
          </cell>
          <cell r="C14">
            <v>15333</v>
          </cell>
          <cell r="D14">
            <v>3978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38061.760000000002</v>
          </cell>
          <cell r="C14">
            <v>25374.5</v>
          </cell>
          <cell r="D14">
            <v>6747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196687.5</v>
          </cell>
          <cell r="C14">
            <v>131125</v>
          </cell>
          <cell r="D14">
            <v>3413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受贵公司委托，我公司对房地产抵押价值进行了预评估。</v>
      </c>
    </row>
    <row r="7" spans="1:2" s="1592" customFormat="1">
      <c r="A7" s="1590" t="s">
        <v>1260</v>
      </c>
      <c r="B7" s="1591" t="str">
        <f>'预评函-1'!A7</f>
        <v>估价对象为房地产，为所有。根据《国有土地使用证》[]，估价对象（分摊）出让国有建设用地使用权面积为0平方米，建筑面积为1526.7平方米。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估价对象为房地产,属开发建设的，该项目尚在开发建设中。根据《国有土地使用证》[]，估价对象（分摊）出让国有建设用地使用权面积为0平方米，规划建筑面积为1526.7平方米。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2019年11月1日（评估专业人员实地查勘之日）</v>
      </c>
    </row>
    <row r="13" spans="1:2" s="1592" customFormat="1">
      <c r="A13" s="1590" t="s">
        <v>1223</v>
      </c>
      <c r="B13" s="1591" t="str">
        <f>'预评函-1'!A18</f>
        <v>本次估价的“房地产价值”是指在正常市场情况下，在价值时点2019年11月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724</v>
      </c>
    </row>
    <row r="21" spans="1:2" s="1592" customFormat="1">
      <c r="A21" s="1590" t="s">
        <v>1231</v>
      </c>
      <c r="B21" s="1591">
        <f ca="1">'预评函-2'!D7</f>
        <v>4742</v>
      </c>
    </row>
    <row r="22" spans="1:2" s="1592" customFormat="1">
      <c r="A22" s="1590" t="s">
        <v>1232</v>
      </c>
      <c r="B22" s="1591" t="str">
        <f ca="1">'预评函-2'!D6</f>
        <v>柒佰贰拾肆万元整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724</v>
      </c>
    </row>
    <row r="31" spans="1:2" s="1592" customFormat="1">
      <c r="A31" s="1590" t="s">
        <v>1270</v>
      </c>
      <c r="B31" s="1591">
        <f ca="1">'预评函-2'!D15</f>
        <v>4742</v>
      </c>
    </row>
    <row r="32" spans="1:2" s="1592" customFormat="1">
      <c r="A32" s="1590" t="s">
        <v>1237</v>
      </c>
      <c r="B32" s="1591" t="str">
        <f ca="1">'预评函-2'!D14</f>
        <v>柒佰贰拾肆万元整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房地产</v>
      </c>
    </row>
    <row r="42" spans="1:2" s="1592" customFormat="1">
      <c r="A42" s="1590" t="s">
        <v>1284</v>
      </c>
      <c r="B42" s="1591" t="str">
        <f>'预评函-3'!B2</f>
        <v>建筑面积</v>
      </c>
    </row>
    <row r="43" spans="1:2" s="1592" customFormat="1">
      <c r="A43" s="1590" t="s">
        <v>1285</v>
      </c>
      <c r="B43" s="1591">
        <f>'预评函-3'!B4</f>
        <v>1526.7</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299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0" t="s">
        <v>861</v>
      </c>
      <c r="C54" s="2017" t="s">
        <v>1277</v>
      </c>
    </row>
    <row r="55" spans="1:4">
      <c r="A55" s="2997"/>
      <c r="B55" s="2020" t="s">
        <v>862</v>
      </c>
      <c r="C55" s="2017" t="s">
        <v>1278</v>
      </c>
    </row>
    <row r="56" spans="1:4">
      <c r="A56" s="2997"/>
      <c r="B56" s="2020" t="s">
        <v>863</v>
      </c>
      <c r="C56" s="2017" t="s">
        <v>1282</v>
      </c>
    </row>
    <row r="57" spans="1:4">
      <c r="A57" s="299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2998" t="str">
        <f>IF(B10="北京市","北京市",C10)&amp;F10&amp;IF(结果表!G1="在建","出让国有建设用地使用权及在建建筑物",IF(结果表!G1="土地","出让国有建设用地使用权",))&amp;B9&amp;"预评估"</f>
        <v>房地产抵押价值预评估</v>
      </c>
      <c r="C1" s="2999"/>
      <c r="D1" s="2999"/>
      <c r="E1" s="2999"/>
      <c r="F1" s="2999"/>
      <c r="G1" s="2999"/>
      <c r="H1" s="2999"/>
      <c r="I1" s="300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1773</v>
      </c>
      <c r="B3" s="2034">
        <v>43770</v>
      </c>
      <c r="C3" s="2035" t="s">
        <v>1774</v>
      </c>
      <c r="D3" s="2034">
        <v>43770</v>
      </c>
      <c r="E3" s="2024"/>
      <c r="F3" s="2024"/>
      <c r="G3" s="2024"/>
      <c r="H3" s="2024"/>
      <c r="I3" s="2024"/>
      <c r="J3" s="2024"/>
      <c r="K3" s="2025"/>
      <c r="L3" s="2026"/>
      <c r="M3" s="2026"/>
      <c r="N3" s="2027"/>
      <c r="O3" s="2028"/>
      <c r="P3" s="2027"/>
      <c r="Q3" s="2027"/>
      <c r="R3" s="2027"/>
      <c r="S3" s="2029"/>
    </row>
    <row r="4" spans="1:19" ht="18" customHeight="1" thickBot="1">
      <c r="A4" s="2036" t="s">
        <v>1775</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3204</v>
      </c>
      <c r="C8" s="2054"/>
      <c r="D8" s="3001" t="s">
        <v>1780</v>
      </c>
      <c r="E8" s="2055" t="s">
        <v>3205</v>
      </c>
      <c r="F8" s="2056"/>
      <c r="G8" s="2024"/>
      <c r="H8" s="2024"/>
      <c r="I8" s="2024"/>
      <c r="J8" s="2040"/>
      <c r="K8" s="2041"/>
      <c r="L8" s="2026"/>
      <c r="M8" s="2026"/>
      <c r="N8" s="2027"/>
      <c r="O8" s="2028"/>
      <c r="P8" s="2027"/>
      <c r="Q8" s="2027"/>
      <c r="R8" s="2027"/>
    </row>
    <row r="9" spans="1:19" ht="18" customHeight="1" thickBot="1">
      <c r="A9" s="2038" t="s">
        <v>1781</v>
      </c>
      <c r="B9" s="2057" t="s">
        <v>3205</v>
      </c>
      <c r="C9" s="2058"/>
      <c r="D9" s="3002"/>
      <c r="E9" s="2057"/>
      <c r="F9" s="2059"/>
      <c r="G9" s="2060"/>
      <c r="H9" s="2060"/>
      <c r="I9" s="2060"/>
      <c r="J9" s="2040"/>
      <c r="K9" s="2052"/>
      <c r="L9" s="2026"/>
      <c r="M9" s="2026"/>
      <c r="N9" s="2027"/>
      <c r="O9" s="2028"/>
      <c r="P9" s="2027"/>
      <c r="Q9" s="2027"/>
      <c r="R9" s="2027"/>
    </row>
    <row r="10" spans="1:19" ht="18" customHeight="1" thickTop="1">
      <c r="A10" s="2061" t="s">
        <v>1782</v>
      </c>
      <c r="B10" s="2062"/>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3206</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55928</v>
      </c>
      <c r="F13" s="2078"/>
      <c r="G13" s="2078"/>
      <c r="H13" s="2078"/>
      <c r="I13" s="1047"/>
      <c r="J13" s="2040"/>
      <c r="K13" s="2052"/>
      <c r="L13" s="2026"/>
      <c r="M13" s="2026"/>
      <c r="N13" s="2027"/>
      <c r="O13" s="2028"/>
      <c r="P13" s="2027"/>
      <c r="Q13" s="2027"/>
      <c r="R13" s="2027"/>
    </row>
    <row r="14" spans="1:19" ht="18" customHeight="1">
      <c r="A14" s="2075"/>
      <c r="B14" s="2076"/>
      <c r="C14" s="2077" t="s">
        <v>1794</v>
      </c>
      <c r="D14" s="1050"/>
      <c r="E14" s="1050">
        <v>40</v>
      </c>
      <c r="F14" s="1050"/>
      <c r="G14" s="1050"/>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f>IF(B12="出让",IF(E13="","",ROUNDDOWN(MIN((E13-$D$3)/365,E14),2)),E14)</f>
        <v>33.299999999999997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08"/>
      <c r="C16" s="3009"/>
      <c r="D16" s="3010"/>
      <c r="E16" s="2084" t="s">
        <v>1797</v>
      </c>
      <c r="F16" s="3011"/>
      <c r="G16" s="3012"/>
      <c r="H16" s="3012"/>
      <c r="I16" s="3013"/>
      <c r="J16" s="2027"/>
      <c r="K16" s="2081"/>
      <c r="L16" s="2082"/>
      <c r="M16" s="2082"/>
      <c r="N16" s="2083"/>
      <c r="O16" s="2082"/>
      <c r="P16" s="2083"/>
      <c r="Q16" s="2027"/>
      <c r="R16" s="2027"/>
    </row>
    <row r="17" spans="1:22" ht="18" customHeight="1">
      <c r="A17" s="2085" t="s">
        <v>1798</v>
      </c>
      <c r="B17" s="2033" t="s">
        <v>1799</v>
      </c>
      <c r="C17" s="1054">
        <f>'数据-汇总表'!E3</f>
        <v>1526.7</v>
      </c>
      <c r="D17" s="2086" t="s">
        <v>1800</v>
      </c>
      <c r="E17" s="3014" t="s">
        <v>1801</v>
      </c>
      <c r="F17" s="3015"/>
      <c r="G17" s="3015"/>
      <c r="H17" s="3015"/>
      <c r="I17" s="3016"/>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0</v>
      </c>
      <c r="D18" s="2089" t="s">
        <v>1800</v>
      </c>
      <c r="E18" s="3017" t="s">
        <v>1804</v>
      </c>
      <c r="F18" s="3018"/>
      <c r="G18" s="3018"/>
      <c r="H18" s="3018"/>
      <c r="I18" s="3019"/>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04" t="s">
        <v>1809</v>
      </c>
      <c r="C20" s="3005"/>
      <c r="D20" s="3006" t="s">
        <v>1810</v>
      </c>
      <c r="E20" s="3007"/>
      <c r="F20" s="2096" t="s">
        <v>1811</v>
      </c>
      <c r="G20" s="2040"/>
      <c r="H20" s="2040"/>
      <c r="I20" s="2040"/>
      <c r="J20" s="2040"/>
      <c r="K20" s="300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1"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1"/>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1"/>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2"/>
      <c r="B30" s="2033" t="s">
        <v>1828</v>
      </c>
      <c r="C30" s="3023"/>
      <c r="D30" s="302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5"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2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2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20" t="s">
        <v>1838</v>
      </c>
      <c r="T34" s="2133" t="str">
        <f>NUMBERSTRING(7-K34,1)&amp;"通"</f>
        <v>七通</v>
      </c>
      <c r="U34" s="2027"/>
      <c r="V34" s="2027"/>
    </row>
    <row r="35" spans="1:22" ht="18" customHeight="1">
      <c r="A35" s="2134"/>
      <c r="B35" s="3027" t="s">
        <v>1839</v>
      </c>
      <c r="C35" s="3027"/>
      <c r="D35" s="3027"/>
      <c r="E35" s="302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1526.7</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2"/>
      <c r="C5" s="1802"/>
      <c r="D5" s="1805"/>
      <c r="E5" s="16" t="s">
        <v>1</v>
      </c>
      <c r="F5" s="16">
        <f>SUM(F13:F587)</f>
        <v>0</v>
      </c>
      <c r="G5" s="16">
        <f>SUM(G13:G587)</f>
        <v>1526.7</v>
      </c>
      <c r="H5" s="16">
        <f t="shared" ref="H5:AT5" si="0">SUM(H13:H656)</f>
        <v>1526.7</v>
      </c>
      <c r="I5" s="16">
        <f t="shared" si="0"/>
        <v>1526.7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1526.7</v>
      </c>
      <c r="BA5" s="18">
        <f t="shared" si="1"/>
        <v>1526.7</v>
      </c>
      <c r="BB5" s="18">
        <f t="shared" si="1"/>
        <v>1526.7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1884</v>
      </c>
      <c r="AV7" s="23" t="s">
        <v>1885</v>
      </c>
      <c r="AW7" s="2165" t="s">
        <v>1886</v>
      </c>
      <c r="AX7" s="23" t="s">
        <v>1879</v>
      </c>
      <c r="AY7" s="1802"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7"/>
      <c r="K8" s="1817"/>
      <c r="L8" s="1817"/>
      <c r="M8" s="1817"/>
      <c r="N8" s="1817"/>
      <c r="O8" s="1817"/>
      <c r="P8" s="1817"/>
      <c r="Q8" s="1817"/>
      <c r="R8" s="1817"/>
      <c r="S8" s="1817"/>
      <c r="T8" s="1817"/>
      <c r="U8" s="1817"/>
      <c r="V8" s="2185"/>
      <c r="W8" s="1817"/>
      <c r="X8" s="1817"/>
      <c r="Y8" s="1817"/>
      <c r="Z8" s="1817"/>
      <c r="AA8" s="2185"/>
      <c r="AB8" s="2186"/>
      <c r="AC8" s="981" t="s">
        <v>1890</v>
      </c>
      <c r="AD8" s="2187"/>
      <c r="AE8" s="2179"/>
      <c r="AF8" s="1817"/>
      <c r="AG8" s="1817"/>
      <c r="AH8" s="1817"/>
      <c r="AI8" s="1817"/>
      <c r="AJ8" s="1817"/>
      <c r="AK8" s="1817"/>
      <c r="AL8" s="1817"/>
      <c r="AM8" s="1817"/>
      <c r="AN8" s="1817"/>
      <c r="AO8" s="1817"/>
      <c r="AP8" s="1817"/>
      <c r="AQ8" s="1817"/>
      <c r="AR8" s="1817"/>
      <c r="AS8" s="1817"/>
      <c r="AT8" s="1291" t="s">
        <v>1891</v>
      </c>
      <c r="AU8" s="2181" t="s">
        <v>1892</v>
      </c>
      <c r="AV8" s="1291"/>
      <c r="AW8" s="2164"/>
      <c r="AX8" s="1291"/>
      <c r="AY8" s="2165"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1895</v>
      </c>
      <c r="I9" s="2190" t="s">
        <v>3208</v>
      </c>
      <c r="J9" s="981"/>
      <c r="K9" s="2190"/>
      <c r="L9" s="981"/>
      <c r="M9" s="2190"/>
      <c r="N9" s="981"/>
      <c r="O9" s="2190"/>
      <c r="P9" s="981"/>
      <c r="Q9" s="2190"/>
      <c r="R9" s="981"/>
      <c r="S9" s="2190"/>
      <c r="T9" s="981"/>
      <c r="U9" s="2190"/>
      <c r="V9" s="981"/>
      <c r="W9" s="2190"/>
      <c r="X9" s="2191"/>
      <c r="Y9" s="2190"/>
      <c r="Z9" s="981"/>
      <c r="AA9" s="2190"/>
      <c r="AB9" s="981"/>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7"/>
      <c r="BN9" s="2184"/>
      <c r="BO9" s="1817"/>
      <c r="BP9" s="1817"/>
      <c r="BQ9" s="1817"/>
      <c r="BR9" s="1817"/>
      <c r="BS9" s="1817"/>
      <c r="BT9" s="26"/>
    </row>
    <row r="10" spans="1:72" s="2188" customFormat="1" ht="12.75">
      <c r="A10" s="2181"/>
      <c r="B10" s="2181"/>
      <c r="C10" s="2181"/>
      <c r="D10" s="2181"/>
      <c r="E10" s="2181"/>
      <c r="F10" s="2181"/>
      <c r="G10" s="1291"/>
      <c r="H10" s="28"/>
      <c r="I10" s="2190" t="s">
        <v>1373</v>
      </c>
      <c r="J10" s="981"/>
      <c r="K10" s="2196"/>
      <c r="L10" s="981"/>
      <c r="M10" s="2196"/>
      <c r="N10" s="981"/>
      <c r="O10" s="2196"/>
      <c r="P10" s="981"/>
      <c r="Q10" s="2196"/>
      <c r="R10" s="981"/>
      <c r="S10" s="2196"/>
      <c r="T10" s="981"/>
      <c r="U10" s="2196"/>
      <c r="V10" s="981"/>
      <c r="W10" s="2196"/>
      <c r="X10" s="981"/>
      <c r="Y10" s="2196"/>
      <c r="Z10" s="981"/>
      <c r="AA10" s="2196"/>
      <c r="AB10" s="981"/>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8"/>
      <c r="AF11" s="2203" t="s">
        <v>1905</v>
      </c>
      <c r="AG11" s="1818"/>
      <c r="AH11" s="2203" t="s">
        <v>1906</v>
      </c>
      <c r="AI11" s="2204"/>
      <c r="AJ11" s="2203" t="s">
        <v>1906</v>
      </c>
      <c r="AK11" s="1818"/>
      <c r="AL11" s="1816"/>
      <c r="AM11" s="1818"/>
      <c r="AN11" s="1816"/>
      <c r="AO11" s="1818"/>
      <c r="AP11" s="1816"/>
      <c r="AQ11" s="1818"/>
      <c r="AR11" s="1816"/>
      <c r="AS11" s="1818"/>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8"/>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c r="D13" s="2212" t="s">
        <v>3207</v>
      </c>
      <c r="E13" s="16">
        <f>IF($C$3="是",ROUND($A$3*G13/$B$3,2),ROUND($A$3*(G13-AT13)/$B$3,2))</f>
        <v>0</v>
      </c>
      <c r="F13" s="32"/>
      <c r="G13" s="33">
        <f>H13+AC13+AT13</f>
        <v>1526.7</v>
      </c>
      <c r="H13" s="20">
        <f>SUMIF(I$12:AB$12,"总值",I13:AB13)</f>
        <v>1526.7</v>
      </c>
      <c r="I13" s="2213">
        <v>1526.7</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5">
        <f>ROUND($AY$6*AZ13/$AZ$5,2)</f>
        <v>0</v>
      </c>
      <c r="AZ13" s="16">
        <f>BA13+BL13</f>
        <v>1526.7</v>
      </c>
      <c r="BA13" s="16">
        <f>SUM(BB13:BK13)</f>
        <v>1526.7</v>
      </c>
      <c r="BB13" s="16">
        <f>IF($D13="是",I13-J13,0)</f>
        <v>1526.7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39" t="s">
        <v>1935</v>
      </c>
      <c r="B2" s="3039"/>
      <c r="C2" s="3039"/>
      <c r="D2" s="967" t="s">
        <v>1911</v>
      </c>
      <c r="E2" s="2226" t="s">
        <v>1912</v>
      </c>
      <c r="F2" s="1391"/>
      <c r="G2" s="2227"/>
      <c r="H2" s="2228"/>
      <c r="I2" s="2229" t="s">
        <v>1936</v>
      </c>
      <c r="J2" s="1391"/>
      <c r="K2" s="1391"/>
      <c r="L2" s="1391"/>
      <c r="M2" s="1391"/>
      <c r="N2" s="1426"/>
      <c r="O2" s="1391"/>
      <c r="P2" s="1391"/>
    </row>
    <row r="3" spans="1:16" ht="15.75" thickBot="1">
      <c r="A3" s="3040" t="s">
        <v>1909</v>
      </c>
      <c r="B3" s="3040"/>
      <c r="C3" s="3040"/>
      <c r="D3" s="46">
        <f>'数据-基础表'!AY6</f>
        <v>0</v>
      </c>
      <c r="E3" s="46">
        <f>'数据-基础表'!AZ5</f>
        <v>1526.7</v>
      </c>
      <c r="F3" s="1391"/>
      <c r="G3" s="1398"/>
      <c r="H3" s="1246" t="s">
        <v>1910</v>
      </c>
      <c r="I3" s="55" t="e">
        <f>ROUND('数据-基础表'!B3/'数据-基础表'!A3,2)</f>
        <v>#DIV/0!</v>
      </c>
      <c r="J3" s="1391"/>
      <c r="K3" s="1391"/>
      <c r="L3" s="1391"/>
      <c r="M3" s="1391"/>
      <c r="N3" s="1426"/>
      <c r="O3" s="1391"/>
      <c r="P3" s="1391"/>
    </row>
    <row r="4" spans="1:16" ht="15">
      <c r="A4" s="3041"/>
      <c r="B4" s="3042"/>
      <c r="C4" s="3043"/>
      <c r="D4" s="2230" t="s">
        <v>1911</v>
      </c>
      <c r="E4" s="2231" t="s">
        <v>1912</v>
      </c>
      <c r="F4" s="1391"/>
      <c r="G4" s="2232" t="s">
        <v>1937</v>
      </c>
      <c r="H4" s="1246" t="s">
        <v>1917</v>
      </c>
      <c r="I4" s="55" t="e">
        <f>ROUND(SUMIF('数据-基础表'!I9:AS9,"地上",'数据-基础表'!I5:AS5)/'数据-基础表'!A3,2)</f>
        <v>#DIV/0!</v>
      </c>
      <c r="J4" s="1391"/>
      <c r="K4" s="1391"/>
      <c r="L4" s="1391"/>
      <c r="M4" s="1391"/>
      <c r="N4" s="1426"/>
      <c r="O4" s="1391"/>
      <c r="P4" s="1391"/>
    </row>
    <row r="5" spans="1:16">
      <c r="A5" s="47" t="s">
        <v>1913</v>
      </c>
      <c r="B5" s="3044" t="s">
        <v>1914</v>
      </c>
      <c r="C5" s="3044"/>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3"/>
      <c r="B6" s="3044" t="s">
        <v>1915</v>
      </c>
      <c r="C6" s="3044"/>
      <c r="D6" s="48">
        <f>ROUND($D$3*E6/$E$3,2)</f>
        <v>0</v>
      </c>
      <c r="E6" s="49">
        <f>E3-E5</f>
        <v>1526.7</v>
      </c>
      <c r="F6" s="1391"/>
      <c r="G6" s="2234" t="s">
        <v>1916</v>
      </c>
      <c r="H6" s="1398" t="s">
        <v>1917</v>
      </c>
      <c r="I6" s="939" t="e">
        <f>ROUND(F31/D31,2)</f>
        <v>#DIV/0!</v>
      </c>
      <c r="J6" s="1391"/>
      <c r="K6" s="1391"/>
      <c r="L6" s="1391"/>
      <c r="M6" s="1391"/>
      <c r="N6" s="1391"/>
      <c r="O6" s="1391"/>
      <c r="P6" s="1391"/>
    </row>
    <row r="7" spans="1:16" ht="15">
      <c r="A7" s="3036"/>
      <c r="B7" s="3037"/>
      <c r="C7" s="3038"/>
      <c r="D7" s="2230" t="s">
        <v>1911</v>
      </c>
      <c r="E7" s="2235" t="s">
        <v>1918</v>
      </c>
      <c r="F7" s="1391"/>
      <c r="G7" s="2227" t="s">
        <v>1919</v>
      </c>
      <c r="H7" s="64"/>
      <c r="I7" s="420"/>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1526.7</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0</v>
      </c>
      <c r="E16" s="53">
        <f>SUM(E8:E15)</f>
        <v>1526.7</v>
      </c>
      <c r="F16" s="1391"/>
      <c r="G16" s="2236"/>
      <c r="H16" s="2239" t="s">
        <v>1939</v>
      </c>
      <c r="I16" s="2240"/>
      <c r="J16" s="1391"/>
      <c r="K16" s="3033" t="s">
        <v>1939</v>
      </c>
      <c r="L16" s="3034"/>
      <c r="M16" s="3034"/>
      <c r="N16" s="3034"/>
      <c r="O16" s="3034"/>
      <c r="P16" s="3035"/>
    </row>
    <row r="17" spans="1:19" ht="15">
      <c r="A17" s="2241" t="s">
        <v>1940</v>
      </c>
      <c r="B17" s="2242" t="s">
        <v>1941</v>
      </c>
      <c r="C17" s="2243" t="s">
        <v>1942</v>
      </c>
      <c r="D17" s="2244" t="s">
        <v>1930</v>
      </c>
      <c r="E17" s="2245" t="s">
        <v>1931</v>
      </c>
      <c r="F17" s="2246"/>
      <c r="G17" s="2247"/>
      <c r="H17" s="2248" t="s">
        <v>1943</v>
      </c>
      <c r="I17" s="2249" t="s">
        <v>1928</v>
      </c>
      <c r="J17" s="1391"/>
      <c r="K17" s="3030" t="s">
        <v>1944</v>
      </c>
      <c r="L17" s="3031"/>
      <c r="M17" s="3032"/>
      <c r="N17" s="3030" t="s">
        <v>1945</v>
      </c>
      <c r="O17" s="3031"/>
      <c r="P17" s="3032"/>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6" t="s">
        <v>1954</v>
      </c>
      <c r="N18" s="1261" t="s">
        <v>1952</v>
      </c>
      <c r="O18" s="2257" t="s">
        <v>1953</v>
      </c>
      <c r="P18" s="1046" t="s">
        <v>1954</v>
      </c>
      <c r="R18" s="1246" t="s">
        <v>1955</v>
      </c>
      <c r="S18" s="1246" t="s">
        <v>1956</v>
      </c>
    </row>
    <row r="19" spans="1:19">
      <c r="A19" s="2258"/>
      <c r="B19" s="50" t="s">
        <v>1929</v>
      </c>
      <c r="C19" s="2953" t="s">
        <v>3209</v>
      </c>
      <c r="D19" s="48">
        <f>ROUND($D$3*E19/$E$3,2)</f>
        <v>0</v>
      </c>
      <c r="E19" s="56">
        <f t="shared" ref="E19:E26" si="1">SUM(F19:G19)</f>
        <v>1526.7</v>
      </c>
      <c r="F19" s="57">
        <f>'数据-基础表'!I13</f>
        <v>1526.7</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1526.7</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0</v>
      </c>
      <c r="E27" s="1393">
        <f>IF(SUM(E19:E26)='数据-基础表'!BA5,SUM(E19:E26),IF(F27="地上面积有误","面积有误","地下面积有误"))</f>
        <v>1526.7</v>
      </c>
      <c r="F27" s="1392">
        <f>IF(SUM(F19:F26)=E8,SUM(F19:F26),"地上面积有误")</f>
        <v>1526.7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1526.7</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1962</v>
      </c>
      <c r="D31" s="729">
        <f>D27+D30</f>
        <v>0</v>
      </c>
      <c r="E31" s="729">
        <f>E27+E30</f>
        <v>1526.7</v>
      </c>
      <c r="F31" s="730">
        <f>F27+F30</f>
        <v>1526.7</v>
      </c>
      <c r="G31" s="731">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8" sqref="F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43770</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3210</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1373</v>
      </c>
      <c r="D6" s="1051">
        <f>SUMIF(项目基本情况!D$12:I$12,C6,项目基本情况!D$14:I$14)</f>
        <v>40</v>
      </c>
      <c r="E6" s="1048">
        <f>IF(B6="","",SUMIF(项目基本情况!D$12:I$12,C6,项目基本情况!D$13:I$13))</f>
        <v>55928</v>
      </c>
      <c r="F6" s="72">
        <f>SUMIF(项目基本情况!D$12:I$12,C6,项目基本情况!D$15:I$15)</f>
        <v>33.299999999999997</v>
      </c>
      <c r="G6" s="73">
        <f>IF(ISERROR(ROUND(POWER(1+H6,D6-F6)*(POWER(1+H6,F6)-1)/(POWER(1+H6,D6)-1),3)),0,ROUND(POWER(1+H6,D6-F6)*(POWER(1+H6,F6)-1)/(POWER(1+H6,D6)-1),3))</f>
        <v>0.93600000000000005</v>
      </c>
      <c r="H6" s="802">
        <v>0.05</v>
      </c>
      <c r="I6" s="802">
        <v>5.5E-2</v>
      </c>
      <c r="J6" s="74">
        <v>8.5000000000000006E-2</v>
      </c>
      <c r="K6" s="1250">
        <f>SUMIF('数据-汇总表'!C$19:C$33,A6,'数据-汇总表'!E$19:E$33)</f>
        <v>1526.7</v>
      </c>
      <c r="L6" s="803">
        <v>2400</v>
      </c>
      <c r="M6" s="75">
        <f t="shared" ref="M6:M14" si="0">ROUND(K6*L6/10000,0)</f>
        <v>366</v>
      </c>
      <c r="N6" s="801">
        <v>0.99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1.2</v>
      </c>
      <c r="V6" s="79">
        <v>0.03</v>
      </c>
      <c r="W6" s="79">
        <v>0.1</v>
      </c>
      <c r="X6" s="1260"/>
      <c r="Y6" s="80">
        <v>1</v>
      </c>
      <c r="Z6" s="81"/>
      <c r="AA6" s="74"/>
      <c r="AB6" s="74"/>
      <c r="AC6" s="1260"/>
      <c r="AD6" s="82"/>
      <c r="AE6" s="1261">
        <f ca="1">IF(AN6="",0,SUMIF(INDIRECT("'"&amp;AN6&amp;"'"&amp;"!E:E"),$AE$5,INDIRECT("'"&amp;AN6&amp;"'"&amp;"!F:F")))</f>
        <v>33.299999999999997</v>
      </c>
      <c r="AF6" s="1803"/>
      <c r="AG6" s="147">
        <f>IF(AF6="",0,AE6-AF6)</f>
        <v>0</v>
      </c>
      <c r="AH6" s="83"/>
      <c r="AI6" s="85">
        <v>365</v>
      </c>
      <c r="AJ6" s="86"/>
      <c r="AK6" s="87">
        <v>1.4999999999999999E-2</v>
      </c>
      <c r="AL6" s="88">
        <v>1.5E-3</v>
      </c>
      <c r="AM6" s="89">
        <v>0.01</v>
      </c>
      <c r="AN6" s="2308" t="s">
        <v>3212</v>
      </c>
      <c r="AO6" s="55">
        <f ca="1">SUMIF(INDIRECT("'"&amp;AN6&amp;"'"&amp;"!A:A"),"总价",INDIRECT("'"&amp;AN6&amp;"'"&amp;"!B:B"))</f>
        <v>898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0.93600000000000005</v>
      </c>
      <c r="H16" s="99">
        <f>ROUND(SUMPRODUCT(H6:H13,K6:K13)/SUMPRODUCT((H6:H13&gt;0)*(K6:K13)),3)</f>
        <v>0.05</v>
      </c>
      <c r="I16" s="100"/>
      <c r="J16" s="100"/>
      <c r="K16" s="101">
        <f>SUM(K6:K15)</f>
        <v>1526.7</v>
      </c>
      <c r="L16" s="102">
        <f>ROUND(M16*10000/SUM(K6:K14),0)</f>
        <v>2397</v>
      </c>
      <c r="M16" s="102">
        <f>SUM(M6:M14)</f>
        <v>366</v>
      </c>
      <c r="N16" s="103">
        <f>ROUND(SUMPRODUCT(M6:M14,N6:N14)/M16,3)</f>
        <v>0.99</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2</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2276"/>
      <c r="AD23" s="2276"/>
      <c r="AE23" s="168"/>
      <c r="AF23" s="168"/>
      <c r="AG23" s="1580"/>
      <c r="AH23" s="1580"/>
      <c r="AI23" s="1580"/>
      <c r="AJ23" s="1580"/>
      <c r="AK23" s="1580"/>
      <c r="AL23" s="1580"/>
      <c r="AM23" s="1580"/>
      <c r="AN23" s="1580"/>
      <c r="AO23" s="1580"/>
      <c r="AP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2276"/>
      <c r="AD24" s="2276"/>
      <c r="AE24" s="168"/>
      <c r="AF24" s="168"/>
      <c r="AG24" s="1580"/>
      <c r="AH24" s="1580"/>
      <c r="AI24" s="1580"/>
      <c r="AJ24" s="1580"/>
      <c r="AK24" s="1580"/>
      <c r="AL24" s="1580"/>
      <c r="AM24" s="1580"/>
      <c r="AN24" s="1580"/>
      <c r="AO24" s="1580"/>
      <c r="AP24" s="1580"/>
    </row>
    <row r="25" spans="1:67" ht="15" thickBot="1">
      <c r="A25" s="2027"/>
      <c r="B25" s="2279"/>
      <c r="C25" s="2276"/>
      <c r="D25" s="2277"/>
      <c r="E25" s="2276"/>
      <c r="F25" s="2276"/>
      <c r="G25" s="2276"/>
      <c r="H25" s="2276"/>
      <c r="I25" s="2273"/>
      <c r="J25" s="2273"/>
      <c r="K25" s="27"/>
      <c r="L25" s="27"/>
      <c r="M25" s="2273"/>
      <c r="N25" s="2273"/>
      <c r="O25" s="2273"/>
      <c r="P25" s="2273"/>
      <c r="Q25" s="2273"/>
      <c r="R25" s="2273"/>
      <c r="S25" s="2273"/>
      <c r="T25" s="2273"/>
      <c r="U25" s="2273"/>
      <c r="V25" s="2273"/>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3"/>
      <c r="J26" s="2273"/>
      <c r="K26" s="27"/>
      <c r="L26" s="27"/>
      <c r="M26" s="2273"/>
      <c r="N26" s="2273"/>
      <c r="O26" s="2273"/>
      <c r="P26" s="2273"/>
      <c r="Q26" s="2273"/>
      <c r="R26" s="2273"/>
      <c r="S26" s="2273"/>
      <c r="T26" s="2273"/>
      <c r="U26" s="2273"/>
      <c r="V26" s="2273"/>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90</v>
      </c>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0.05</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8</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442</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v>16</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12</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v>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5" t="s">
        <v>2080</v>
      </c>
      <c r="B1" s="3046"/>
      <c r="C1" s="3046"/>
      <c r="D1" s="3046"/>
      <c r="E1" s="3046"/>
      <c r="F1" s="3046"/>
      <c r="G1" s="304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7" sqref="F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310555.06</v>
      </c>
      <c r="C1" s="1741"/>
      <c r="D1" s="1741"/>
      <c r="E1" s="1741"/>
      <c r="F1" s="1741"/>
      <c r="G1" s="1739"/>
    </row>
    <row r="2" spans="1:10" ht="16.5">
      <c r="A2" s="1742" t="s">
        <v>1349</v>
      </c>
      <c r="B2" s="1742">
        <f>SUM(C14:C23)</f>
        <v>191839.5</v>
      </c>
      <c r="C2" s="1741"/>
      <c r="D2" s="1741"/>
      <c r="E2" s="1741"/>
      <c r="F2" s="1741"/>
      <c r="G2" s="1739"/>
    </row>
    <row r="3" spans="1:10" ht="16.5">
      <c r="A3" s="1742" t="s">
        <v>1358</v>
      </c>
      <c r="B3" s="1743">
        <f>项目基本情况!D3</f>
        <v>43770</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23296</v>
      </c>
      <c r="C5" s="1742">
        <f ca="1">ROUND(B5*10000/$B$1,0)</f>
        <v>750</v>
      </c>
      <c r="D5" s="1742">
        <f ca="1">ROUND(B5*10000/$B$2,0)</f>
        <v>1214</v>
      </c>
      <c r="E5" s="1741"/>
      <c r="F5" s="1739"/>
      <c r="G5" s="1739"/>
    </row>
    <row r="6" spans="1:10" ht="16.5">
      <c r="A6" s="1742" t="s">
        <v>1352</v>
      </c>
      <c r="B6" s="1742">
        <f ca="1">SUM(G14:G23)</f>
        <v>23296</v>
      </c>
      <c r="C6" s="1742">
        <f ca="1">ROUND(B6*10000/$B$1,0)</f>
        <v>750</v>
      </c>
      <c r="D6" s="1742">
        <f ca="1">ROUND(B6*10000/$B$2,0)</f>
        <v>1214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典型户型修正!B22</f>
        <v>16793.700000000004</v>
      </c>
      <c r="C14" s="1740">
        <f>结果表!C118</f>
        <v>0</v>
      </c>
      <c r="D14" s="1740">
        <f>典型户型修正!S22</f>
        <v>6048</v>
      </c>
      <c r="E14" s="1740">
        <f>典型户型修正!R22</f>
        <v>3601</v>
      </c>
      <c r="F14" s="1740" t="e">
        <f>ROUND(D14*10000/C14,0)</f>
        <v>#DIV/0!</v>
      </c>
      <c r="G14" s="1740">
        <f>D14</f>
        <v>6048</v>
      </c>
      <c r="H14" s="1740" t="str">
        <f>结果表!D124</f>
        <v>——</v>
      </c>
      <c r="I14" s="1740" t="str">
        <f>结果表!D126</f>
        <v>——</v>
      </c>
      <c r="J14" s="1739"/>
    </row>
    <row r="15" spans="1:10" ht="16.5">
      <c r="A15" s="1738" t="s">
        <v>1345</v>
      </c>
      <c r="B15" s="1745">
        <f>[1]系统读取表!$B$14</f>
        <v>36012.6</v>
      </c>
      <c r="C15" s="1745">
        <f>[1]系统读取表!$C$14</f>
        <v>20007</v>
      </c>
      <c r="D15" s="1745">
        <f ca="1">[1]系统读取表!$D$14</f>
        <v>3110</v>
      </c>
      <c r="E15" s="1740">
        <f t="shared" ref="E15:E23" ca="1" si="0">ROUND(D15*10000/B15,0)</f>
        <v>864</v>
      </c>
      <c r="F15" s="1740">
        <f t="shared" ref="F15:F23" ca="1" si="1">ROUND(D15*10000/C15,0)</f>
        <v>1554</v>
      </c>
      <c r="G15" s="1746">
        <f ca="1">D15</f>
        <v>3110</v>
      </c>
      <c r="H15" s="1746"/>
      <c r="I15" s="1745"/>
      <c r="J15" s="1739"/>
    </row>
    <row r="16" spans="1:10" ht="16.5">
      <c r="A16" s="1738" t="s">
        <v>1344</v>
      </c>
      <c r="B16" s="1745">
        <f>[2]系统读取表!$B$14</f>
        <v>22999.5</v>
      </c>
      <c r="C16" s="1745">
        <f>[2]系统读取表!$C$14</f>
        <v>15333</v>
      </c>
      <c r="D16" s="1745">
        <f ca="1">[2]系统读取表!$D$14</f>
        <v>3978</v>
      </c>
      <c r="E16" s="1740">
        <f t="shared" ca="1" si="0"/>
        <v>1730</v>
      </c>
      <c r="F16" s="1740">
        <f t="shared" ca="1" si="1"/>
        <v>2594</v>
      </c>
      <c r="G16" s="1746">
        <f ca="1">D16</f>
        <v>3978</v>
      </c>
      <c r="H16" s="1746"/>
      <c r="I16" s="1745"/>
    </row>
    <row r="17" spans="1:9" ht="16.5">
      <c r="A17" s="1738" t="s">
        <v>1343</v>
      </c>
      <c r="B17" s="1745">
        <f>[3]系统读取表!$B$14</f>
        <v>38061.760000000002</v>
      </c>
      <c r="C17" s="1745">
        <f>[3]系统读取表!$C$14</f>
        <v>25374.5</v>
      </c>
      <c r="D17" s="1745">
        <f ca="1">[3]系统读取表!$D$14</f>
        <v>6747</v>
      </c>
      <c r="E17" s="1740">
        <f t="shared" ca="1" si="0"/>
        <v>1773</v>
      </c>
      <c r="F17" s="1740">
        <f t="shared" ca="1" si="1"/>
        <v>2659</v>
      </c>
      <c r="G17" s="1746">
        <f ca="1">D17</f>
        <v>6747</v>
      </c>
      <c r="H17" s="1746"/>
      <c r="I17" s="1745"/>
    </row>
    <row r="18" spans="1:9" ht="16.5">
      <c r="A18" s="1738" t="s">
        <v>1342</v>
      </c>
      <c r="B18" s="1745">
        <f>[4]系统读取表!$B$14</f>
        <v>196687.5</v>
      </c>
      <c r="C18" s="1745">
        <f>[4]系统读取表!$C$14</f>
        <v>131125</v>
      </c>
      <c r="D18" s="1745">
        <f ca="1">[4]系统读取表!$D$14</f>
        <v>3413</v>
      </c>
      <c r="E18" s="1740">
        <f t="shared" ca="1" si="0"/>
        <v>174</v>
      </c>
      <c r="F18" s="1740">
        <f t="shared" ca="1" si="1"/>
        <v>260</v>
      </c>
      <c r="G18" s="1745">
        <f ca="1">D18</f>
        <v>3413</v>
      </c>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1373</v>
      </c>
      <c r="D1" s="2417"/>
      <c r="E1" s="2417"/>
      <c r="F1" s="2419" t="s">
        <v>2118</v>
      </c>
      <c r="G1" s="2069" t="s">
        <v>3213</v>
      </c>
      <c r="H1" s="2420" t="str">
        <f>IF(G1="现房","——","估价对象范围")</f>
        <v>——</v>
      </c>
      <c r="I1" s="2421"/>
    </row>
    <row r="2" spans="1:12" ht="21.75" customHeight="1" thickBot="1">
      <c r="A2" s="3119" t="str">
        <f>项目基本情况!S2</f>
        <v>房地产</v>
      </c>
      <c r="B2" s="3120"/>
      <c r="C2" s="3120"/>
      <c r="D2" s="3120"/>
      <c r="E2" s="3120"/>
      <c r="F2" s="3120"/>
      <c r="G2" s="3120"/>
      <c r="H2" s="3120"/>
      <c r="I2" s="3121"/>
    </row>
    <row r="3" spans="1:12" ht="12.75">
      <c r="A3" s="3122" t="s">
        <v>2119</v>
      </c>
      <c r="B3" s="3123"/>
      <c r="C3" s="3123"/>
      <c r="D3" s="3123"/>
      <c r="E3" s="3123"/>
      <c r="F3" s="3123"/>
      <c r="G3" s="3123"/>
      <c r="H3" s="3123"/>
      <c r="I3" s="3123"/>
    </row>
    <row r="4" spans="1:12" ht="14.25">
      <c r="A4" s="2424" t="s">
        <v>2120</v>
      </c>
      <c r="B4" s="2425" t="s">
        <v>2121</v>
      </c>
      <c r="C4" s="2426" t="s">
        <v>3211</v>
      </c>
      <c r="D4" s="2426" t="s">
        <v>3212</v>
      </c>
      <c r="E4" s="3103" t="s">
        <v>2122</v>
      </c>
      <c r="F4" s="3116"/>
      <c r="G4" s="3116"/>
      <c r="H4" s="3116"/>
      <c r="I4" s="310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2123</v>
      </c>
      <c r="B5" s="3020">
        <v>25</v>
      </c>
      <c r="C5" s="3124"/>
      <c r="D5" s="3112"/>
      <c r="E5" s="140" t="s">
        <v>2124</v>
      </c>
      <c r="F5" s="2428"/>
      <c r="G5" s="2428"/>
      <c r="H5" s="2428"/>
      <c r="I5" s="1830"/>
    </row>
    <row r="6" spans="1:12" ht="12.75">
      <c r="A6" s="3094"/>
      <c r="B6" s="3020"/>
      <c r="C6" s="3126"/>
      <c r="D6" s="3112"/>
      <c r="E6" s="140" t="s">
        <v>2125</v>
      </c>
      <c r="F6" s="2428"/>
      <c r="G6" s="2428"/>
      <c r="H6" s="2428"/>
      <c r="I6" s="1830"/>
    </row>
    <row r="7" spans="1:12" ht="12.75">
      <c r="A7" s="3094"/>
      <c r="B7" s="3020"/>
      <c r="C7" s="3125"/>
      <c r="D7" s="3112"/>
      <c r="E7" s="140" t="s">
        <v>2126</v>
      </c>
      <c r="F7" s="2428"/>
      <c r="G7" s="2428"/>
      <c r="H7" s="2428"/>
      <c r="I7" s="1830"/>
    </row>
    <row r="8" spans="1:12" ht="12.75">
      <c r="A8" s="3094" t="s">
        <v>2127</v>
      </c>
      <c r="B8" s="3020">
        <v>15</v>
      </c>
      <c r="C8" s="3124"/>
      <c r="D8" s="3112"/>
      <c r="E8" s="140" t="s">
        <v>2128</v>
      </c>
      <c r="F8" s="2428"/>
      <c r="G8" s="2428"/>
      <c r="H8" s="2428"/>
      <c r="I8" s="1830"/>
    </row>
    <row r="9" spans="1:12" ht="12.75">
      <c r="A9" s="3094"/>
      <c r="B9" s="3020"/>
      <c r="C9" s="3125"/>
      <c r="D9" s="3112"/>
      <c r="E9" s="140" t="s">
        <v>2129</v>
      </c>
      <c r="F9" s="2428"/>
      <c r="G9" s="2428"/>
      <c r="H9" s="2428"/>
      <c r="I9" s="1830"/>
    </row>
    <row r="10" spans="1:12" ht="12.75">
      <c r="A10" s="3094" t="s">
        <v>2130</v>
      </c>
      <c r="B10" s="3020">
        <v>15</v>
      </c>
      <c r="C10" s="3124"/>
      <c r="D10" s="3112"/>
      <c r="E10" s="140" t="s">
        <v>2131</v>
      </c>
      <c r="F10" s="2428"/>
      <c r="G10" s="2428"/>
      <c r="H10" s="2428"/>
      <c r="I10" s="1830"/>
    </row>
    <row r="11" spans="1:12" ht="12.75">
      <c r="A11" s="3094"/>
      <c r="B11" s="3020"/>
      <c r="C11" s="3125"/>
      <c r="D11" s="3112"/>
      <c r="E11" s="140" t="s">
        <v>2132</v>
      </c>
      <c r="F11" s="2428"/>
      <c r="G11" s="2428"/>
      <c r="H11" s="2428"/>
      <c r="I11" s="1830"/>
    </row>
    <row r="12" spans="1:12" ht="12.75">
      <c r="A12" s="3094" t="s">
        <v>2133</v>
      </c>
      <c r="B12" s="3020">
        <v>15</v>
      </c>
      <c r="C12" s="3124"/>
      <c r="D12" s="3112"/>
      <c r="E12" s="140" t="s">
        <v>2134</v>
      </c>
      <c r="F12" s="2428"/>
      <c r="G12" s="2428"/>
      <c r="H12" s="2428"/>
      <c r="I12" s="1830"/>
    </row>
    <row r="13" spans="1:12" ht="12.75">
      <c r="A13" s="3094"/>
      <c r="B13" s="3020"/>
      <c r="C13" s="3125"/>
      <c r="D13" s="3112"/>
      <c r="E13" s="140" t="s">
        <v>2135</v>
      </c>
      <c r="F13" s="2428"/>
      <c r="G13" s="2428"/>
      <c r="H13" s="2428"/>
      <c r="I13" s="1830"/>
    </row>
    <row r="14" spans="1:12" ht="12.75">
      <c r="A14" s="3094" t="s">
        <v>2136</v>
      </c>
      <c r="B14" s="3020">
        <v>30</v>
      </c>
      <c r="C14" s="3124">
        <v>6</v>
      </c>
      <c r="D14" s="3112">
        <v>4</v>
      </c>
      <c r="E14" s="140" t="s">
        <v>2137</v>
      </c>
      <c r="F14" s="2428"/>
      <c r="G14" s="2428"/>
      <c r="H14" s="2428"/>
      <c r="I14" s="1830"/>
    </row>
    <row r="15" spans="1:12" ht="12.75">
      <c r="A15" s="3094"/>
      <c r="B15" s="3020"/>
      <c r="C15" s="3126"/>
      <c r="D15" s="3112"/>
      <c r="E15" s="140" t="s">
        <v>2138</v>
      </c>
      <c r="F15" s="2428"/>
      <c r="G15" s="2428"/>
      <c r="H15" s="2428"/>
      <c r="I15" s="1830"/>
    </row>
    <row r="16" spans="1:12" ht="12.75">
      <c r="A16" s="3094"/>
      <c r="B16" s="3020"/>
      <c r="C16" s="3125"/>
      <c r="D16" s="3112"/>
      <c r="E16" s="140" t="s">
        <v>2139</v>
      </c>
      <c r="F16" s="2428"/>
      <c r="G16" s="2428"/>
      <c r="H16" s="2428"/>
      <c r="I16" s="1830"/>
    </row>
    <row r="17" spans="1:35" ht="15">
      <c r="A17" s="2429" t="s">
        <v>2140</v>
      </c>
      <c r="B17" s="64"/>
      <c r="C17" s="141">
        <f>SUM(C5:C16)</f>
        <v>6</v>
      </c>
      <c r="D17" s="141">
        <f>SUM(D5:D16)</f>
        <v>4</v>
      </c>
      <c r="E17" s="138"/>
      <c r="F17" s="138"/>
      <c r="G17" s="138"/>
      <c r="H17" s="138"/>
      <c r="I17" s="138"/>
      <c r="K17" s="2427"/>
      <c r="L17" s="2430" t="s">
        <v>2141</v>
      </c>
      <c r="M17" s="2430" t="s">
        <v>2142</v>
      </c>
    </row>
    <row r="18" spans="1:35" ht="15.75" thickBot="1">
      <c r="A18" s="2431" t="s">
        <v>2143</v>
      </c>
      <c r="B18" s="2432"/>
      <c r="C18" s="142">
        <f>ROUND(C17/SUM(C17:D17),2)</f>
        <v>0.6</v>
      </c>
      <c r="D18" s="142">
        <f>1-C18</f>
        <v>0.4</v>
      </c>
      <c r="E18" s="138"/>
      <c r="F18" s="138"/>
      <c r="G18" s="138"/>
      <c r="H18" s="138"/>
      <c r="I18" s="138"/>
      <c r="K18" s="2427" t="s">
        <v>2144</v>
      </c>
      <c r="L18" s="2427">
        <f>IF(C1="",'数据-汇总表'!E3,SUMIF(项目类型,C1,'数据-汇总表'!E17:E26)+SUMIF(项目类型,C1,'数据-汇总表'!I17:I26))</f>
        <v>1526.7</v>
      </c>
      <c r="M18" s="2427">
        <f>IF(C1="",'数据-汇总表'!E3,SUMIF(项目类型,C1,'数据-汇总表'!E17:E26))</f>
        <v>1526.7</v>
      </c>
    </row>
    <row r="19" spans="1:35" ht="15">
      <c r="A19" s="2433" t="s">
        <v>2145</v>
      </c>
      <c r="B19" s="2434" t="s">
        <v>2146</v>
      </c>
      <c r="C19" s="143">
        <f ca="1">SUMIF(INDIRECT("'"&amp;C4&amp;"'"&amp;"!A:A"),结果表!B19,INDIRECT("'"&amp;C4&amp;"'"&amp;"!B:B"))</f>
        <v>608</v>
      </c>
      <c r="D19" s="144">
        <f ca="1">SUMIF(INDIRECT("'"&amp;D4&amp;"'"&amp;"!A:A"),结果表!B19,INDIRECT("'"&amp;D4&amp;"'"&amp;"!B:B"))</f>
        <v>898</v>
      </c>
      <c r="E19" s="2433" t="s">
        <v>2147</v>
      </c>
      <c r="F19" s="2434" t="s">
        <v>2146</v>
      </c>
      <c r="G19" s="145">
        <f ca="1">ROUND(C19*$C$18+D19*$D$18,0)</f>
        <v>724</v>
      </c>
      <c r="H19" s="2435" t="s">
        <v>2148</v>
      </c>
      <c r="I19" s="138"/>
      <c r="K19" s="2427" t="s">
        <v>2149</v>
      </c>
      <c r="L19" s="2427">
        <f>IF(C1="",'数据-汇总表'!D3,SUMIF(项目类型,C1,'数据-汇总表'!D17:D26)+SUMIF(项目类型,C1,'数据-汇总表'!H17:H27))</f>
        <v>0</v>
      </c>
      <c r="M19" s="2427">
        <f>IF(C1="",'数据-汇总表'!D3,SUMIF(项目类型,C1,'数据-汇总表'!D17:D26))</f>
        <v>0</v>
      </c>
    </row>
    <row r="20" spans="1:35" ht="15">
      <c r="A20" s="2436"/>
      <c r="B20" s="1246" t="s">
        <v>2150</v>
      </c>
      <c r="C20" s="146">
        <f ca="1">SUMIF(INDIRECT("'"&amp;C4&amp;"'"&amp;"!A:A"),结果表!B20,INDIRECT("'"&amp;C4&amp;"'"&amp;"!B:B"))</f>
        <v>3982</v>
      </c>
      <c r="D20" s="147">
        <f ca="1">SUMIF(INDIRECT("'"&amp;D4&amp;"'"&amp;"!A:A"),结果表!B20,INDIRECT("'"&amp;D4&amp;"'"&amp;"!B:B"))</f>
        <v>5879</v>
      </c>
      <c r="E20" s="2436"/>
      <c r="F20" s="1246" t="s">
        <v>2150</v>
      </c>
      <c r="G20" s="148">
        <f ca="1">ROUND(C20*$C$18+D20*$D$18,0)</f>
        <v>4741</v>
      </c>
      <c r="H20" s="980" t="s">
        <v>2151</v>
      </c>
      <c r="I20" s="138"/>
    </row>
    <row r="21" spans="1:35" ht="15" customHeight="1" thickBot="1">
      <c r="A21" s="1000"/>
      <c r="B21" s="2437" t="s">
        <v>2152</v>
      </c>
      <c r="C21" s="789" t="e">
        <f ca="1">ROUND(C19*10000/L19,0)</f>
        <v>#DIV/0!</v>
      </c>
      <c r="D21" s="790" t="e">
        <f ca="1">ROUND(D19*10000/L19,0)</f>
        <v>#DIV/0!</v>
      </c>
      <c r="E21" s="1000"/>
      <c r="F21" s="2437" t="s">
        <v>2152</v>
      </c>
      <c r="G21" s="149" t="e">
        <f ca="1">ROUND(G19*10000/L19,0)</f>
        <v>#DIV/0!</v>
      </c>
      <c r="H21" s="2438" t="s">
        <v>2151</v>
      </c>
      <c r="I21" s="138"/>
    </row>
    <row r="22" spans="1:35" ht="15" thickBot="1">
      <c r="A22" s="2280" t="s">
        <v>2153</v>
      </c>
      <c r="B22" s="2439"/>
      <c r="C22" s="2440"/>
      <c r="D22" s="791">
        <f ca="1">IF(C19&lt;D19,D19/C19-1,C19/D19-1)</f>
        <v>0.47697368421052633</v>
      </c>
      <c r="E22" s="138"/>
      <c r="F22" s="138"/>
      <c r="G22" s="138"/>
      <c r="H22" s="138"/>
      <c r="I22" s="138"/>
    </row>
    <row r="23" spans="1:35" ht="13.5" thickBot="1">
      <c r="A23" s="2417"/>
      <c r="B23" s="2417"/>
      <c r="C23" s="2417"/>
      <c r="D23" s="2417"/>
      <c r="E23" s="138"/>
      <c r="F23" s="138"/>
      <c r="G23" s="138"/>
      <c r="H23" s="138"/>
      <c r="I23" s="138"/>
    </row>
    <row r="24" spans="1:35" ht="14.25">
      <c r="A24" s="3133" t="s">
        <v>2154</v>
      </c>
      <c r="B24" s="2434" t="s">
        <v>2146</v>
      </c>
      <c r="C24" s="145">
        <f>IF(B30=0,0,D30)</f>
        <v>0</v>
      </c>
      <c r="D24" s="2441"/>
      <c r="E24" s="138"/>
      <c r="F24" s="138"/>
      <c r="G24" s="138"/>
      <c r="H24" s="138"/>
      <c r="I24" s="138"/>
    </row>
    <row r="25" spans="1:35" ht="14.25">
      <c r="A25" s="3134"/>
      <c r="B25" s="1246" t="s">
        <v>2150</v>
      </c>
      <c r="C25" s="150">
        <f>IF(B30=0,0,C30)</f>
        <v>0</v>
      </c>
      <c r="D25" s="2442"/>
      <c r="E25" s="138"/>
      <c r="F25" s="138"/>
      <c r="G25" s="138"/>
      <c r="H25" s="138"/>
      <c r="I25" s="138"/>
    </row>
    <row r="26" spans="1:35" ht="13.5" customHeight="1">
      <c r="A26" s="2443" t="s">
        <v>2155</v>
      </c>
      <c r="B26" s="151" t="s">
        <v>2156</v>
      </c>
      <c r="C26" s="151" t="s">
        <v>2157</v>
      </c>
      <c r="D26" s="152" t="s">
        <v>2158</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2159</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2160</v>
      </c>
      <c r="B32" s="2447"/>
      <c r="C32" s="153">
        <f ca="1">IF(D32="总价",G19-C24,G20-C25)</f>
        <v>724</v>
      </c>
      <c r="D32" s="2448" t="s">
        <v>2161</v>
      </c>
      <c r="E32" s="138"/>
      <c r="F32" s="138"/>
      <c r="G32" s="138"/>
      <c r="H32" s="138"/>
      <c r="I32" s="138"/>
    </row>
    <row r="33" spans="1:15" ht="15">
      <c r="A33" s="957" t="s">
        <v>2162</v>
      </c>
      <c r="B33" s="2449"/>
      <c r="C33" s="2450"/>
      <c r="D33" s="2451"/>
      <c r="E33" s="2452" t="s">
        <v>2163</v>
      </c>
      <c r="F33" s="2453" t="str">
        <f>IF(D32="楼面单价","取值（单价）","取值（总价）")</f>
        <v>取值（总价）</v>
      </c>
      <c r="G33" s="138"/>
      <c r="H33" s="138"/>
      <c r="I33" s="138"/>
    </row>
    <row r="34" spans="1:15" ht="15">
      <c r="A34" s="2454"/>
      <c r="B34" s="2455"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2165</v>
      </c>
      <c r="F34" s="1735"/>
      <c r="G34" s="138"/>
      <c r="H34" s="138"/>
      <c r="I34" s="138"/>
    </row>
    <row r="35" spans="1:15" ht="15.75" thickBot="1">
      <c r="A35" s="2457"/>
      <c r="B35" s="2458"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2167</v>
      </c>
      <c r="F35" s="163"/>
      <c r="G35" s="138"/>
      <c r="H35" s="138"/>
      <c r="I35" s="138"/>
    </row>
    <row r="36" spans="1:15" ht="15.75" thickBot="1">
      <c r="A36" s="3113" t="s">
        <v>2168</v>
      </c>
      <c r="B36" s="2460" t="s">
        <v>2169</v>
      </c>
      <c r="C36" s="154"/>
      <c r="D36" s="2461"/>
      <c r="E36" s="2462"/>
      <c r="F36" s="2463"/>
      <c r="G36" s="138"/>
      <c r="H36" s="138"/>
      <c r="I36" s="138"/>
    </row>
    <row r="37" spans="1:15" ht="15.75" thickBot="1">
      <c r="A37" s="3114"/>
      <c r="B37" s="2266" t="s">
        <v>2170</v>
      </c>
      <c r="C37" s="156"/>
      <c r="D37" s="1391"/>
      <c r="E37" s="1391"/>
      <c r="F37" s="2463"/>
      <c r="G37" s="138"/>
      <c r="H37" s="138"/>
      <c r="I37" s="138"/>
    </row>
    <row r="38" spans="1:15" ht="15.75" thickBot="1">
      <c r="A38" s="3115"/>
      <c r="B38" s="2464" t="s">
        <v>2171</v>
      </c>
      <c r="C38" s="727"/>
      <c r="D38" s="2465" t="s">
        <v>2172</v>
      </c>
      <c r="E38" s="1391"/>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30" t="s">
        <v>2182</v>
      </c>
      <c r="B45" s="3131"/>
      <c r="C45" s="3132"/>
      <c r="D45" s="164">
        <f ca="1">ROUND(H101*F45,0)</f>
        <v>724</v>
      </c>
      <c r="E45" s="165" t="s">
        <v>2183</v>
      </c>
      <c r="F45" s="166">
        <v>1</v>
      </c>
      <c r="G45" s="167" t="s">
        <v>2184</v>
      </c>
      <c r="H45" s="138"/>
      <c r="I45" s="138"/>
      <c r="J45" s="3049" t="s">
        <v>2185</v>
      </c>
      <c r="K45" s="3049"/>
      <c r="L45" s="3049"/>
      <c r="M45" s="3049"/>
      <c r="N45" s="3049"/>
      <c r="O45" s="3049"/>
    </row>
    <row r="46" spans="1:15" ht="14.25" customHeight="1">
      <c r="A46" s="3127" t="s">
        <v>2186</v>
      </c>
      <c r="B46" s="3128"/>
      <c r="C46" s="3128"/>
      <c r="D46" s="3128"/>
      <c r="E46" s="3128"/>
      <c r="F46" s="3128"/>
      <c r="G46" s="3129"/>
      <c r="H46" s="2479"/>
      <c r="I46" s="168"/>
      <c r="J46" s="1808">
        <v>1</v>
      </c>
      <c r="K46" s="3049" t="s">
        <v>2187</v>
      </c>
      <c r="L46" s="3049"/>
      <c r="M46" s="3050"/>
      <c r="N46" s="3050"/>
      <c r="O46" s="3050"/>
    </row>
    <row r="47" spans="1:15" ht="12" customHeight="1">
      <c r="A47" s="169" t="s">
        <v>2188</v>
      </c>
      <c r="B47" s="170"/>
      <c r="C47" s="171"/>
      <c r="D47" s="172" t="s">
        <v>2189</v>
      </c>
      <c r="E47" s="24" t="s">
        <v>2190</v>
      </c>
      <c r="F47" s="173" t="s">
        <v>2191</v>
      </c>
      <c r="G47" s="174" t="s">
        <v>2192</v>
      </c>
      <c r="H47" s="2479"/>
      <c r="I47" s="168"/>
      <c r="J47" s="1808">
        <v>2</v>
      </c>
      <c r="K47" s="3049" t="s">
        <v>2193</v>
      </c>
      <c r="L47" s="3049"/>
      <c r="M47" s="3051">
        <f>'数据-取费表'!B2</f>
        <v>43770</v>
      </c>
      <c r="N47" s="3051"/>
      <c r="O47" s="3051"/>
    </row>
    <row r="48" spans="1:15" ht="25.5">
      <c r="A48" s="3117" t="s">
        <v>2194</v>
      </c>
      <c r="B48" s="3118"/>
      <c r="C48" s="3118"/>
      <c r="D48" s="140">
        <f>IF(H48="情况1",0,IF(H48="情况2",D52,IF(H48="情况3",D53,IF(H48="情况4",D54))))</f>
        <v>0</v>
      </c>
      <c r="E48" s="1797" t="str">
        <f>IF(H48="情况4","(销售额-原购置价)×税（费）率","销售额×税（费）率")</f>
        <v>销售额×税（费）率</v>
      </c>
      <c r="F48" s="175" t="str">
        <f>IF(H48="情况1","免征",'数据-取费表'!B41)</f>
        <v>免征</v>
      </c>
      <c r="G48" s="2480" t="s">
        <v>2195</v>
      </c>
      <c r="H48" s="2481" t="s">
        <v>2196</v>
      </c>
      <c r="I48" s="2479"/>
      <c r="J48" s="1808">
        <v>3</v>
      </c>
      <c r="K48" s="3049" t="s">
        <v>2197</v>
      </c>
      <c r="L48" s="3049"/>
      <c r="M48" s="3052">
        <f ca="1">H101</f>
        <v>724</v>
      </c>
      <c r="N48" s="3052"/>
      <c r="O48" s="3052"/>
    </row>
    <row r="49" spans="1:35" ht="25.5" customHeight="1">
      <c r="A49" s="176" t="s">
        <v>2198</v>
      </c>
      <c r="B49" s="3097" t="s">
        <v>2199</v>
      </c>
      <c r="C49" s="3097"/>
      <c r="D49" s="177">
        <v>0</v>
      </c>
      <c r="E49" s="23" t="s">
        <v>2200</v>
      </c>
      <c r="F49" s="28" t="s">
        <v>34</v>
      </c>
      <c r="G49" s="3078"/>
      <c r="H49" s="138"/>
      <c r="I49" s="2482"/>
      <c r="J49" s="1808">
        <v>4</v>
      </c>
      <c r="K49" s="3049" t="str">
        <f>IF(项目基本情况!E8="房地产抵押价值","房地产抵押价值","抵押担保权已注销时的房地产抵押价值")</f>
        <v>房地产抵押价值</v>
      </c>
      <c r="L49" s="3049"/>
      <c r="M49" s="3052">
        <f ca="1">IF(项目基本情况!E8="房地产抵押价值",H107,H109)</f>
        <v>724</v>
      </c>
      <c r="N49" s="3052"/>
      <c r="O49" s="3052"/>
    </row>
    <row r="50" spans="1:35" ht="25.5" customHeight="1">
      <c r="A50" s="178"/>
      <c r="B50" s="3097" t="s">
        <v>2201</v>
      </c>
      <c r="C50" s="3097"/>
      <c r="D50" s="179"/>
      <c r="E50" s="31"/>
      <c r="F50" s="180"/>
      <c r="G50" s="3079"/>
      <c r="H50" s="138"/>
      <c r="I50" s="2482"/>
      <c r="J50" s="3049" t="s">
        <v>2202</v>
      </c>
      <c r="K50" s="3049"/>
      <c r="L50" s="3049"/>
      <c r="M50" s="3049"/>
      <c r="N50" s="3049"/>
      <c r="O50" s="3049"/>
    </row>
    <row r="51" spans="1:35" ht="12" customHeight="1">
      <c r="A51" s="181"/>
      <c r="B51" s="3097" t="s">
        <v>2203</v>
      </c>
      <c r="C51" s="3097"/>
      <c r="D51" s="182"/>
      <c r="E51" s="30"/>
      <c r="F51" s="180"/>
      <c r="G51" s="3080"/>
      <c r="H51" s="138"/>
      <c r="I51" s="2482"/>
      <c r="J51" s="2483" t="s">
        <v>2204</v>
      </c>
      <c r="K51" s="3049" t="s">
        <v>2205</v>
      </c>
      <c r="L51" s="3049"/>
      <c r="M51" s="2483" t="s">
        <v>2206</v>
      </c>
      <c r="N51" s="2483" t="s">
        <v>2207</v>
      </c>
      <c r="O51" s="2483" t="s">
        <v>2208</v>
      </c>
    </row>
    <row r="52" spans="1:35" ht="24" customHeight="1">
      <c r="A52" s="183" t="s">
        <v>2209</v>
      </c>
      <c r="B52" s="3097" t="s">
        <v>2210</v>
      </c>
      <c r="C52" s="3097"/>
      <c r="D52" s="182">
        <f ca="1">ROUND(D45*'数据-取费表'!B41/(1+'数据-取费表'!C42),0)</f>
        <v>38</v>
      </c>
      <c r="E52" s="11" t="s">
        <v>2211</v>
      </c>
      <c r="F52" s="184">
        <f>'数据-取费表'!B41</f>
        <v>5.5000000000000007E-2</v>
      </c>
      <c r="G52" s="2484"/>
      <c r="H52" s="138"/>
      <c r="I52" s="2482"/>
      <c r="J52" s="1808">
        <v>1</v>
      </c>
      <c r="K52" s="3072" t="s">
        <v>2212</v>
      </c>
      <c r="L52" s="3072"/>
      <c r="M52" s="1750">
        <f>D48</f>
        <v>0</v>
      </c>
      <c r="N52" s="1808" t="str">
        <f>E48</f>
        <v>销售额×税（费）率</v>
      </c>
      <c r="O52" s="1751" t="str">
        <f>F48</f>
        <v>免征</v>
      </c>
    </row>
    <row r="53" spans="1:35" ht="12" customHeight="1">
      <c r="A53" s="183" t="s">
        <v>2213</v>
      </c>
      <c r="B53" s="3098" t="s">
        <v>2214</v>
      </c>
      <c r="C53" s="3099"/>
      <c r="D53" s="182">
        <f ca="1">ROUND(D45*'数据-取费表'!B41/(1+'数据-取费表'!C42),0)</f>
        <v>38</v>
      </c>
      <c r="E53" s="11" t="s">
        <v>2211</v>
      </c>
      <c r="F53" s="184">
        <f>'数据-取费表'!B41</f>
        <v>5.5000000000000007E-2</v>
      </c>
      <c r="G53" s="2484"/>
      <c r="H53" s="138"/>
      <c r="I53" s="2482"/>
      <c r="J53" s="1808">
        <v>2</v>
      </c>
      <c r="K53" s="3072" t="s">
        <v>2215</v>
      </c>
      <c r="L53" s="3072"/>
      <c r="M53" s="1750">
        <f t="shared" ref="M53:O54" ca="1" si="0">D55</f>
        <v>0</v>
      </c>
      <c r="N53" s="1808" t="str">
        <f t="shared" si="0"/>
        <v>销售额×税（费）率</v>
      </c>
      <c r="O53" s="1751">
        <f t="shared" si="0"/>
        <v>5.0000000000000001E-4</v>
      </c>
    </row>
    <row r="54" spans="1:35" ht="12" customHeight="1">
      <c r="A54" s="183" t="s">
        <v>2216</v>
      </c>
      <c r="B54" s="3098" t="s">
        <v>2217</v>
      </c>
      <c r="C54" s="3099"/>
      <c r="D54" s="182">
        <f ca="1">C68</f>
        <v>38</v>
      </c>
      <c r="E54" s="30" t="s">
        <v>2218</v>
      </c>
      <c r="F54" s="184">
        <f>'数据-取费表'!B41</f>
        <v>5.5000000000000007E-2</v>
      </c>
      <c r="G54" s="2484"/>
      <c r="H54" s="2485"/>
      <c r="I54" s="2482"/>
      <c r="J54" s="1808">
        <v>3</v>
      </c>
      <c r="K54" s="3072" t="s">
        <v>2219</v>
      </c>
      <c r="L54" s="3072"/>
      <c r="M54" s="1750">
        <f t="shared" ca="1" si="0"/>
        <v>411</v>
      </c>
      <c r="N54" s="1808" t="str">
        <f t="shared" si="0"/>
        <v>增值额×税（费）率</v>
      </c>
      <c r="O54" s="1752" t="str">
        <f t="shared" si="0"/>
        <v>——</v>
      </c>
    </row>
    <row r="55" spans="1:35" ht="24" customHeight="1">
      <c r="A55" s="3136" t="s">
        <v>2220</v>
      </c>
      <c r="B55" s="3118"/>
      <c r="C55" s="3118"/>
      <c r="D55" s="185">
        <f ca="1">IF(H55="个人住宅",0,ROUND(D45*I55,0))</f>
        <v>0</v>
      </c>
      <c r="E55" s="11" t="s">
        <v>2221</v>
      </c>
      <c r="F55" s="184">
        <f>IF(H55="正常",I55,"免征")</f>
        <v>5.0000000000000001E-4</v>
      </c>
      <c r="G55" s="2484"/>
      <c r="H55" s="2481" t="s">
        <v>2222</v>
      </c>
      <c r="I55" s="186">
        <f>'数据-取费表'!B49</f>
        <v>5.0000000000000001E-4</v>
      </c>
      <c r="J55" s="1808" t="str">
        <f>IF(H59="非个人房产","",4)</f>
        <v/>
      </c>
      <c r="K55" s="3072" t="str">
        <f>IF(H59="非个人房产","——","个人所得税")</f>
        <v>——</v>
      </c>
      <c r="L55" s="3072"/>
      <c r="M55" s="1753" t="str">
        <f>D59</f>
        <v>——</v>
      </c>
      <c r="N55" s="1806" t="str">
        <f>E59</f>
        <v>——</v>
      </c>
      <c r="O55" s="1754" t="str">
        <f>F59</f>
        <v>——</v>
      </c>
    </row>
    <row r="56" spans="1:35" ht="24.75">
      <c r="A56" s="3136" t="s">
        <v>2223</v>
      </c>
      <c r="B56" s="3118"/>
      <c r="C56" s="3118"/>
      <c r="D56" s="185">
        <f ca="1">IF(H56="个人住宅",D57,D58)</f>
        <v>411</v>
      </c>
      <c r="E56" s="11" t="s">
        <v>2224</v>
      </c>
      <c r="F56" s="184" t="str">
        <f>IF(H56="正常",F58,"免征")</f>
        <v>——</v>
      </c>
      <c r="G56" s="2486" t="s">
        <v>2225</v>
      </c>
      <c r="H56" s="2487" t="s">
        <v>2222</v>
      </c>
      <c r="I56" s="2488"/>
      <c r="J56" s="1808" t="str">
        <f>IF(项目基本情况!K6="上海银行",IF(J55="",4,J55+1),"")</f>
        <v/>
      </c>
      <c r="K56" s="3055" t="str">
        <f>IF(项目基本情况!K6="上海银行","其他处置费用","")</f>
        <v/>
      </c>
      <c r="L56" s="3056"/>
      <c r="M56" s="1750" t="str">
        <f>IF(项目基本情况!K6="上海银行",M69,"")</f>
        <v/>
      </c>
      <c r="N56" s="3058" t="str">
        <f>IF(项目基本情况!K6="上海银行","包含处置中涉及的律师、诉讼、拍卖、评估等费用","")</f>
        <v/>
      </c>
      <c r="O56" s="3059"/>
    </row>
    <row r="57" spans="1:35" ht="12.75">
      <c r="A57" s="183" t="s">
        <v>2198</v>
      </c>
      <c r="B57" s="3103" t="s">
        <v>2226</v>
      </c>
      <c r="C57" s="3104"/>
      <c r="D57" s="187">
        <v>0</v>
      </c>
      <c r="E57" s="23" t="s">
        <v>2200</v>
      </c>
      <c r="F57" s="155"/>
      <c r="G57" s="2484"/>
      <c r="H57" s="2488"/>
      <c r="I57" s="2488"/>
      <c r="J57" s="3072">
        <f>IF(AND(J55="",J56=""),4,IF(项目基本情况!K6="上海银行",结果表!J56+1,结果表!J55+1))</f>
        <v>4</v>
      </c>
      <c r="K57" s="3072" t="s">
        <v>2227</v>
      </c>
      <c r="L57" s="2489" t="s">
        <v>2228</v>
      </c>
      <c r="M57" s="1755"/>
      <c r="N57" s="1756">
        <f ca="1">SUMIF(M52:M56,"&lt;9e307")</f>
        <v>411</v>
      </c>
      <c r="O57" s="2490"/>
      <c r="P57" s="1749">
        <f ca="1">N57/M49</f>
        <v>0.56767955801104975</v>
      </c>
    </row>
    <row r="58" spans="1:35" ht="24.75">
      <c r="A58" s="183" t="s">
        <v>2209</v>
      </c>
      <c r="B58" s="3103" t="s">
        <v>2229</v>
      </c>
      <c r="C58" s="3116"/>
      <c r="D58" s="185">
        <f ca="1">IF(H58="转让取得",C81,C97)</f>
        <v>411</v>
      </c>
      <c r="E58" s="11" t="s">
        <v>2224</v>
      </c>
      <c r="F58" s="24" t="s">
        <v>34</v>
      </c>
      <c r="G58" s="2484"/>
      <c r="H58" s="2487" t="s">
        <v>2230</v>
      </c>
      <c r="I58" s="2488"/>
      <c r="J58" s="3072"/>
      <c r="K58" s="3072"/>
      <c r="L58" s="2489" t="s">
        <v>2231</v>
      </c>
      <c r="M58" s="1757"/>
      <c r="N58" s="2491" t="str">
        <f ca="1">NUMBERSTRING(INT(N57*10000),2)&amp;"元整"</f>
        <v>肆佰壹拾壹万元整</v>
      </c>
      <c r="O58" s="2492"/>
    </row>
    <row r="59" spans="1:35" ht="24.75" thickBot="1">
      <c r="A59" s="3076" t="s">
        <v>2232</v>
      </c>
      <c r="B59" s="3077"/>
      <c r="C59" s="3077"/>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074">
        <f>J57+1</f>
        <v>5</v>
      </c>
      <c r="K59" s="3072" t="s">
        <v>2234</v>
      </c>
      <c r="L59" s="1808" t="s">
        <v>2228</v>
      </c>
      <c r="M59" s="1758"/>
      <c r="N59" s="1759">
        <f ca="1">M49-N57</f>
        <v>313</v>
      </c>
      <c r="O59" s="2494"/>
    </row>
    <row r="60" spans="1:35" ht="12" customHeight="1">
      <c r="A60" s="2495"/>
      <c r="B60" s="2417"/>
      <c r="C60" s="2417"/>
      <c r="D60" s="2417"/>
      <c r="E60" s="2165"/>
      <c r="F60" s="2488"/>
      <c r="G60" s="2488"/>
      <c r="H60" s="2496"/>
      <c r="I60" s="138"/>
      <c r="J60" s="3075"/>
      <c r="K60" s="3072"/>
      <c r="L60" s="2489" t="s">
        <v>2231</v>
      </c>
      <c r="M60" s="1757"/>
      <c r="N60" s="2491" t="str">
        <f ca="1">NUMBERSTRING(INT(N59*10000),2)&amp;"元整"</f>
        <v>叁佰壹拾叁万元整</v>
      </c>
      <c r="O60" s="2492"/>
    </row>
    <row r="61" spans="1:35" ht="13.5" thickBot="1">
      <c r="A61" s="3135" t="s">
        <v>2235</v>
      </c>
      <c r="B61" s="3135"/>
      <c r="C61" s="3135"/>
      <c r="D61" s="3135"/>
      <c r="E61" s="3135"/>
      <c r="F61" s="2488"/>
      <c r="G61" s="2488"/>
      <c r="H61" s="2496"/>
      <c r="I61" s="138"/>
      <c r="J61" s="1808">
        <f>J59+1</f>
        <v>6</v>
      </c>
      <c r="K61" s="3072" t="s">
        <v>2236</v>
      </c>
      <c r="L61" s="3072"/>
      <c r="M61" s="1760"/>
      <c r="N61" s="1761">
        <f ca="1">ROUND(N59*10000/'数据-汇总表'!E3,0)</f>
        <v>2050</v>
      </c>
      <c r="O61" s="2497"/>
    </row>
    <row r="62" spans="1:35" ht="12.75">
      <c r="A62" s="3092" t="s">
        <v>2237</v>
      </c>
      <c r="B62" s="3093"/>
      <c r="C62" s="1800"/>
      <c r="D62" s="1800" t="s">
        <v>2238</v>
      </c>
      <c r="E62" s="192" t="s">
        <v>2239</v>
      </c>
      <c r="F62" s="2488"/>
      <c r="G62" s="2488"/>
      <c r="H62" s="2496"/>
      <c r="I62" s="138"/>
    </row>
    <row r="63" spans="1:35" ht="12.75">
      <c r="A63" s="203" t="s">
        <v>775</v>
      </c>
      <c r="B63" s="193" t="s">
        <v>2240</v>
      </c>
      <c r="C63" s="194">
        <f ca="1">ROUND((C64+C65)/(1+'数据-取费表'!C42),0)</f>
        <v>690</v>
      </c>
      <c r="D63" s="195"/>
      <c r="E63" s="196"/>
      <c r="F63" s="2488"/>
      <c r="G63" s="2488"/>
      <c r="H63" s="2496"/>
      <c r="I63" s="138"/>
      <c r="J63" s="3057" t="s">
        <v>2241</v>
      </c>
      <c r="K63" s="2498" t="s">
        <v>2242</v>
      </c>
      <c r="L63" s="1748">
        <f ca="1">IF(M49&gt;10000,M49*0.5%,IF(AND(M49&gt;1000,M49&lt;=10000),M49*1%,IF(AND(M49&gt;100,M49&lt;=1000),M49*3%,IF(AND(M49&gt;10,M49&lt;=100),M49*5%,M49*8%))))</f>
        <v>21.72</v>
      </c>
      <c r="M63" s="24">
        <f ca="1">ROUND(L63,1)</f>
        <v>21.7</v>
      </c>
      <c r="Z63" s="2422"/>
      <c r="AI63" s="2423"/>
    </row>
    <row r="64" spans="1:35" ht="14.25" customHeight="1">
      <c r="A64" s="197" t="s">
        <v>770</v>
      </c>
      <c r="B64" s="198" t="s">
        <v>2243</v>
      </c>
      <c r="C64" s="199">
        <f ca="1">D45</f>
        <v>724</v>
      </c>
      <c r="D64" s="200" t="s">
        <v>32</v>
      </c>
      <c r="E64" s="201"/>
      <c r="F64" s="2488"/>
      <c r="G64" s="2488"/>
      <c r="H64" s="2496"/>
      <c r="I64" s="138"/>
      <c r="J64" s="3057"/>
      <c r="K64" s="2498" t="s">
        <v>2244</v>
      </c>
      <c r="L64" s="1748">
        <f ca="1">IF(M49&gt;2000,M49*0.5%,IF(AND(M49&gt;1000,M49&lt;=2000),M49*0.6%,IF(AND(M49&gt;500,M49&lt;=1000),M49*0.7%,IF(AND(M49&gt;200,M49&lt;=500),M49*0.8%,IF(AND(M49&gt;100,M49&lt;=200),M49*0.9%,IF(AND(M49&gt;50,M49&lt;=100),M49*1%,IF(AND(M49&gt;20,M49&lt;=50),M49*1.5%,IF(AND(M49&gt;10,M49&lt;=20),M49*2%,IF(AND(M49&gt;1,M49&lt;=10),M49*2.5%)))))))))</f>
        <v>5.0679999999999996</v>
      </c>
      <c r="M64" s="24">
        <f t="shared" ref="M64:M65" ca="1" si="1">ROUND(L64,1)</f>
        <v>5.0999999999999996</v>
      </c>
      <c r="N64" s="138" t="s">
        <v>2245</v>
      </c>
      <c r="Z64" s="2422"/>
      <c r="AI64" s="2423"/>
    </row>
    <row r="65" spans="1:35" ht="14.25" customHeight="1">
      <c r="A65" s="197" t="s">
        <v>771</v>
      </c>
      <c r="B65" s="198" t="s">
        <v>2246</v>
      </c>
      <c r="C65" s="202"/>
      <c r="D65" s="200"/>
      <c r="E65" s="201"/>
      <c r="F65" s="2488"/>
      <c r="G65" s="2488"/>
      <c r="H65" s="2496"/>
      <c r="I65" s="138"/>
      <c r="J65" s="3057"/>
      <c r="K65" s="2498" t="s">
        <v>2247</v>
      </c>
      <c r="L65" s="1748">
        <f ca="1">IF(M49&gt;1000,M49*0.1%,IF(AND(M49&gt;500,M49&lt;=1000),M49*0.5%,IF(AND(M49&gt;50,M49&lt;=500),M49*1%,IF(AND(M49&gt;1,M49&lt;=50),M49*1.5%))))</f>
        <v>3.62</v>
      </c>
      <c r="M65" s="24">
        <f t="shared" ca="1" si="1"/>
        <v>3.6</v>
      </c>
      <c r="N65" s="138" t="s">
        <v>2245</v>
      </c>
      <c r="Z65" s="2422"/>
      <c r="AI65" s="2423"/>
    </row>
    <row r="66" spans="1:35" ht="14.25" customHeight="1">
      <c r="A66" s="203" t="s">
        <v>772</v>
      </c>
      <c r="B66" s="204" t="s">
        <v>2248</v>
      </c>
      <c r="C66" s="205"/>
      <c r="D66" s="206" t="s">
        <v>32</v>
      </c>
      <c r="E66" s="1772" t="s">
        <v>1367</v>
      </c>
      <c r="F66" s="2488"/>
      <c r="G66" s="2488"/>
      <c r="H66" s="2496"/>
      <c r="I66" s="138"/>
      <c r="J66" s="3057"/>
      <c r="K66" s="2498" t="s">
        <v>2249</v>
      </c>
      <c r="L66" s="1748">
        <f ca="1">M49*0.5%</f>
        <v>3.62</v>
      </c>
      <c r="M66" s="24">
        <f ca="1">IF(L66&gt;0.5,0.5,ROUND(L66,0))</f>
        <v>0.5</v>
      </c>
      <c r="N66" s="138" t="s">
        <v>2250</v>
      </c>
      <c r="Z66" s="2422"/>
      <c r="AI66" s="2423"/>
    </row>
    <row r="67" spans="1:35" ht="14.25" customHeight="1">
      <c r="A67" s="203" t="s">
        <v>773</v>
      </c>
      <c r="B67" s="204" t="s">
        <v>2251</v>
      </c>
      <c r="C67" s="207">
        <f ca="1">C63-C66</f>
        <v>690</v>
      </c>
      <c r="D67" s="200" t="s">
        <v>32</v>
      </c>
      <c r="E67" s="201"/>
      <c r="F67" s="2488"/>
      <c r="G67" s="2488"/>
      <c r="H67" s="2496"/>
      <c r="I67" s="138"/>
      <c r="J67" s="3057"/>
      <c r="K67" s="2498" t="s">
        <v>2252</v>
      </c>
      <c r="L67" s="1748">
        <f ca="1">IF(M49&gt;=10000,(8.25+(M49-10000)*0.01%),IF(AND(M49&gt;=8000,M49&lt;10000),(7.85+(M49-8000)*0.02%),IF(AND(M49&gt;=5000,M49&lt;8000),(6.65+(M49-5000)*0.04%),IF(AND(M49&gt;=2000,M49&lt;5000),(4.25+(PM49-2000)*0.08%),IF(AND(M49&gt;=1000,M49&lt;2000),(2.75+(M49-1000)*0.15%),IF(AND(M49&gt;=100,M49&lt;1000),(0.5+(M49-100)*0.25%),IF(AND(M49&gt;0,M49&lt;100),M49*0.5%)))))))</f>
        <v>2.06</v>
      </c>
      <c r="M67" s="24">
        <f ca="1">ROUND(L67*0.9,1)</f>
        <v>1.9</v>
      </c>
      <c r="Z67" s="2422"/>
      <c r="AI67" s="2423"/>
    </row>
    <row r="68" spans="1:35" ht="14.25" customHeight="1" thickBot="1">
      <c r="A68" s="208" t="s">
        <v>774</v>
      </c>
      <c r="B68" s="209" t="s">
        <v>2253</v>
      </c>
      <c r="C68" s="210">
        <f ca="1">IF(C67&lt;=0,0,ROUND(C67*D68,0))</f>
        <v>38</v>
      </c>
      <c r="D68" s="211">
        <f>'数据-取费表'!B41</f>
        <v>5.5000000000000007E-2</v>
      </c>
      <c r="E68" s="212"/>
      <c r="F68" s="2488"/>
      <c r="G68" s="2488"/>
      <c r="H68" s="2496"/>
      <c r="I68" s="138"/>
      <c r="J68" s="3057"/>
      <c r="K68" s="2498" t="s">
        <v>2254</v>
      </c>
      <c r="L68" s="1748">
        <f ca="1">IF(M49&gt;10000,M49*0.5%,IF(AND(M49&gt;5000,M49&lt;=10000),M49*1%,IF(AND(M49&gt;1000,M49&lt;=5000),M49*2%,IF(AND(M49&gt;200,M49&lt;=1000),M49*3%,M49*5%))))</f>
        <v>21.72</v>
      </c>
      <c r="M68" s="24">
        <f ca="1">ROUND(L68,1)</f>
        <v>21.7</v>
      </c>
      <c r="Z68" s="2422"/>
      <c r="AI68" s="2423"/>
    </row>
    <row r="69" spans="1:35" s="2445" customFormat="1" ht="16.5" customHeight="1">
      <c r="A69" s="2499"/>
      <c r="B69" s="2500"/>
      <c r="C69" s="2501"/>
      <c r="D69" s="2502"/>
      <c r="E69" s="2503"/>
      <c r="F69" s="2165"/>
      <c r="G69" s="2165"/>
      <c r="H69" s="2164"/>
      <c r="I69" s="2417"/>
      <c r="J69" s="3057"/>
      <c r="K69" s="2498" t="s">
        <v>2255</v>
      </c>
      <c r="L69" s="2504"/>
      <c r="M69" s="24">
        <f ca="1">ROUND(SUM(M63:M68),0)</f>
        <v>55</v>
      </c>
      <c r="N69" s="1749">
        <f ca="1">M69/M49</f>
        <v>7.5966850828729282E-2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1" t="s">
        <v>2256</v>
      </c>
      <c r="B70" s="3102"/>
      <c r="C70" s="3102"/>
      <c r="D70" s="3102"/>
      <c r="E70" s="3102"/>
      <c r="F70" s="3102"/>
      <c r="G70" s="3102"/>
      <c r="H70" s="310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2" t="s">
        <v>2237</v>
      </c>
      <c r="B71" s="3093"/>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690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3</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098" t="s">
        <v>2265</v>
      </c>
      <c r="F76" s="3097"/>
      <c r="G76" s="3097"/>
      <c r="H76" s="310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2" t="s">
        <v>2268</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3</v>
      </c>
      <c r="D78" s="226">
        <f>'数据-取费表'!B43</f>
        <v>5.000000000000001E-3</v>
      </c>
      <c r="E78" s="3089" t="s">
        <v>2270</v>
      </c>
      <c r="F78" s="3090"/>
      <c r="G78" s="3090"/>
      <c r="H78" s="309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2271</v>
      </c>
      <c r="C79" s="207">
        <f ca="1">C72-C73</f>
        <v>687</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229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411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1" t="s">
        <v>2274</v>
      </c>
      <c r="B83" s="3102"/>
      <c r="C83" s="3102"/>
      <c r="D83" s="3102"/>
      <c r="E83" s="3102"/>
      <c r="F83" s="3102"/>
      <c r="G83" s="3102"/>
      <c r="H83" s="310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2" t="s">
        <v>2237</v>
      </c>
      <c r="B84" s="3093"/>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690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1796"/>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089" t="s">
        <v>2283</v>
      </c>
      <c r="F91" s="3090"/>
      <c r="G91" s="3090"/>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089" t="s">
        <v>2287</v>
      </c>
      <c r="F92" s="3090"/>
      <c r="G92" s="3090"/>
      <c r="H92" s="309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3</v>
      </c>
      <c r="D93" s="226">
        <f>'数据-取费表'!B43</f>
        <v>5.000000000000001E-3</v>
      </c>
      <c r="E93" s="3089" t="s">
        <v>2270</v>
      </c>
      <c r="F93" s="3090"/>
      <c r="G93" s="3090"/>
      <c r="H93" s="309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37" t="s">
        <v>2291</v>
      </c>
      <c r="F94" s="3138"/>
      <c r="G94" s="3138"/>
      <c r="H94" s="313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2271</v>
      </c>
      <c r="C95" s="207">
        <f ca="1">ROUND(C85-C86,0)</f>
        <v>687</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229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411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041" t="s">
        <v>2293</v>
      </c>
      <c r="B100" s="3042"/>
      <c r="C100" s="3042"/>
      <c r="D100" s="3073"/>
      <c r="E100" s="3042" t="s">
        <v>2294</v>
      </c>
      <c r="F100" s="3042"/>
      <c r="G100" s="3042"/>
      <c r="H100" s="3073"/>
      <c r="I100" s="138"/>
    </row>
    <row r="101" spans="1:35" ht="18.75" customHeight="1">
      <c r="A101" s="3081" t="s">
        <v>2295</v>
      </c>
      <c r="B101" s="3082"/>
      <c r="C101" s="736" t="str">
        <f>C4</f>
        <v>成本法 (元)</v>
      </c>
      <c r="D101" s="737" t="str">
        <f>D4</f>
        <v>收益法 (元)</v>
      </c>
      <c r="E101" s="3053" t="s">
        <v>2296</v>
      </c>
      <c r="F101" s="3054"/>
      <c r="G101" s="2519" t="s">
        <v>2297</v>
      </c>
      <c r="H101" s="1045">
        <f ca="1">H118</f>
        <v>724</v>
      </c>
      <c r="I101" s="138"/>
    </row>
    <row r="102" spans="1:35" ht="18.75" customHeight="1">
      <c r="A102" s="3083" t="s">
        <v>2298</v>
      </c>
      <c r="B102" s="2519" t="s">
        <v>2297</v>
      </c>
      <c r="C102" s="736">
        <f ca="1">C19</f>
        <v>608</v>
      </c>
      <c r="D102" s="737">
        <f ca="1">D19</f>
        <v>898</v>
      </c>
      <c r="E102" s="3053"/>
      <c r="F102" s="3054"/>
      <c r="G102" s="2519" t="s">
        <v>2299</v>
      </c>
      <c r="H102" s="371">
        <f ca="1">I118</f>
        <v>4742</v>
      </c>
      <c r="I102" s="138"/>
    </row>
    <row r="103" spans="1:35" ht="42.75" customHeight="1">
      <c r="A103" s="3083"/>
      <c r="B103" s="2519" t="s">
        <v>2299</v>
      </c>
      <c r="C103" s="738">
        <f ca="1">C20</f>
        <v>3982</v>
      </c>
      <c r="D103" s="739">
        <f ca="1">D20</f>
        <v>5879</v>
      </c>
      <c r="E103" s="3047" t="s">
        <v>2300</v>
      </c>
      <c r="F103" s="3048"/>
      <c r="G103" s="2520" t="s">
        <v>2301</v>
      </c>
      <c r="H103" s="1045">
        <f>IF(D36="正常操作",H104+H105+H106,H105+H106)</f>
        <v>0</v>
      </c>
      <c r="I103" s="138"/>
    </row>
    <row r="104" spans="1:35" ht="18.75" customHeight="1">
      <c r="A104" s="3083" t="s">
        <v>2302</v>
      </c>
      <c r="B104" s="2521" t="s">
        <v>2297</v>
      </c>
      <c r="C104" s="740">
        <f ca="1">H118</f>
        <v>724</v>
      </c>
      <c r="D104" s="741"/>
      <c r="E104" s="2266" t="s">
        <v>2303</v>
      </c>
      <c r="F104" s="2257"/>
      <c r="G104" s="2520" t="s">
        <v>2301</v>
      </c>
      <c r="H104" s="1046">
        <f>IF(D36="同一抵押权人同一抵押物续贷",C36&amp;"（未扣减，详见特别提示）",C36)</f>
        <v>0</v>
      </c>
      <c r="I104" s="138"/>
    </row>
    <row r="105" spans="1:35" ht="18.75" customHeight="1" thickBot="1">
      <c r="A105" s="3095"/>
      <c r="B105" s="2522" t="s">
        <v>2299</v>
      </c>
      <c r="C105" s="742">
        <f ca="1">I118</f>
        <v>4742</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084" t="str">
        <f>IF(项目基本情况!E8="已注销","——","3.房地产抵押价值")</f>
        <v>3.房地产抵押价值</v>
      </c>
      <c r="F107" s="3054"/>
      <c r="G107" s="2519" t="s">
        <v>2297</v>
      </c>
      <c r="H107" s="1045">
        <f ca="1">IF(E107="——","——",H101-H103)</f>
        <v>724</v>
      </c>
      <c r="I107" s="138"/>
    </row>
    <row r="108" spans="1:35" ht="18.75" customHeight="1">
      <c r="A108" s="138"/>
      <c r="B108" s="138"/>
      <c r="C108" s="138"/>
      <c r="D108" s="138"/>
      <c r="E108" s="3084"/>
      <c r="F108" s="3054"/>
      <c r="G108" s="2519" t="s">
        <v>2299</v>
      </c>
      <c r="H108" s="371">
        <f ca="1">ROUND(H107*10000/'数据-汇总表'!E3,0)</f>
        <v>4742</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19" t="s">
        <v>2297</v>
      </c>
      <c r="H109" s="348" t="str">
        <f>IF(E109="——","——",H101-H105-H106)</f>
        <v>——</v>
      </c>
      <c r="I109" s="138"/>
    </row>
    <row r="110" spans="1:35" ht="18.75" customHeight="1">
      <c r="A110" s="138"/>
      <c r="B110" s="138"/>
      <c r="C110" s="138"/>
      <c r="D110" s="138"/>
      <c r="E110" s="3084"/>
      <c r="F110" s="3054"/>
      <c r="G110" s="2519" t="s">
        <v>2299</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19" t="s">
        <v>2297</v>
      </c>
      <c r="H111" s="1045" t="str">
        <f>IF(E111="——","——",N59)</f>
        <v>——</v>
      </c>
      <c r="I111" s="138"/>
    </row>
    <row r="112" spans="1:35" ht="18.75" customHeight="1" thickBot="1">
      <c r="A112" s="138"/>
      <c r="B112" s="138"/>
      <c r="C112" s="138"/>
      <c r="D112" s="138"/>
      <c r="E112" s="3087"/>
      <c r="F112" s="3088"/>
      <c r="G112" s="2524" t="s">
        <v>2299</v>
      </c>
      <c r="H112" s="790" t="str">
        <f>IF(E111="——","——",N61)</f>
        <v>——</v>
      </c>
      <c r="I112" s="138"/>
    </row>
    <row r="113" spans="1:11" ht="18.75" customHeight="1">
      <c r="A113" s="138"/>
      <c r="B113" s="138"/>
      <c r="C113" s="138"/>
      <c r="D113" s="138"/>
      <c r="E113" s="3096" t="s">
        <v>2305</v>
      </c>
      <c r="F113" s="3096"/>
      <c r="G113" s="3096"/>
      <c r="H113" s="3096"/>
      <c r="I113" s="138"/>
    </row>
    <row r="114" spans="1:11" ht="3.75" customHeight="1">
      <c r="A114" s="2417"/>
      <c r="B114" s="2417"/>
      <c r="C114" s="2417"/>
      <c r="D114" s="2417"/>
      <c r="E114" s="2495"/>
      <c r="F114" s="2495"/>
      <c r="G114" s="2495"/>
      <c r="H114" s="2495"/>
      <c r="I114" s="2417"/>
    </row>
    <row r="115" spans="1:11" ht="18.75" customHeight="1">
      <c r="A115" s="3109" t="s">
        <v>2307</v>
      </c>
      <c r="B115" s="3110"/>
      <c r="C115" s="3110"/>
      <c r="D115" s="3110"/>
      <c r="E115" s="3110"/>
      <c r="F115" s="3110"/>
      <c r="G115" s="3110"/>
      <c r="H115" s="3110"/>
      <c r="I115" s="3111"/>
    </row>
    <row r="116" spans="1:11" ht="27" customHeight="1">
      <c r="A116" s="3020" t="s">
        <v>2308</v>
      </c>
      <c r="B116" s="3063" t="s">
        <v>2309</v>
      </c>
      <c r="C116" s="3063" t="s">
        <v>2310</v>
      </c>
      <c r="D116" s="3069" t="s">
        <v>2311</v>
      </c>
      <c r="E116" s="3070"/>
      <c r="F116" s="3105" t="s">
        <v>2312</v>
      </c>
      <c r="G116" s="3105"/>
      <c r="H116" s="3020" t="s">
        <v>2313</v>
      </c>
      <c r="I116" s="3020"/>
    </row>
    <row r="117" spans="1:11" ht="18.75" customHeight="1">
      <c r="A117" s="3020"/>
      <c r="B117" s="3064"/>
      <c r="C117" s="3064"/>
      <c r="D117" s="1794" t="s">
        <v>2314</v>
      </c>
      <c r="E117" s="1794" t="s">
        <v>2315</v>
      </c>
      <c r="F117" s="1794" t="s">
        <v>2314</v>
      </c>
      <c r="G117" s="1794" t="s">
        <v>2316</v>
      </c>
      <c r="H117" s="1794" t="s">
        <v>2314</v>
      </c>
      <c r="I117" s="1794" t="s">
        <v>2316</v>
      </c>
    </row>
    <row r="118" spans="1:11" ht="24.75" customHeight="1">
      <c r="A118" s="2525" t="str">
        <f>项目基本情况!S2</f>
        <v>房地产</v>
      </c>
      <c r="B118" s="1794">
        <f>M18</f>
        <v>1526.7</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724</v>
      </c>
      <c r="I118" s="1794">
        <f ca="1">ROUND(IF(D32="楼面单价",C32,H118*10000/B118),0)</f>
        <v>4742</v>
      </c>
    </row>
    <row r="119" spans="1:11" ht="18.75" customHeight="1">
      <c r="A119" s="3020" t="s">
        <v>2317</v>
      </c>
      <c r="B119" s="3020"/>
      <c r="C119" s="3020"/>
      <c r="D119" s="3065" t="e">
        <f ca="1">NUMBERSTRING(INT(D118*10000),2)&amp;"元整"</f>
        <v>#REF!</v>
      </c>
      <c r="E119" s="3066"/>
      <c r="F119" s="3065" t="e">
        <f ca="1">NUMBERSTRING(INT(F118*10000),2)&amp;"元整"</f>
        <v>#REF!</v>
      </c>
      <c r="G119" s="3066"/>
      <c r="H119" s="3065" t="str">
        <f ca="1">NUMBERSTRING(INT(H118*10000),2)&amp;"元整"</f>
        <v>柒佰贰拾肆万元整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2" t="str">
        <f>IF(D120=0,"故，本次评估不存在"&amp;A120,"故，本次评估"&amp;A120&amp;"为人民币"&amp;D120&amp;"万元整。")</f>
        <v>故，本次评估不存在估价师知悉的法定优先受偿款</v>
      </c>
    </row>
    <row r="121" spans="1:11" ht="18.75" customHeight="1">
      <c r="A121" s="3106" t="s">
        <v>2317</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724</v>
      </c>
      <c r="E122" s="3061"/>
      <c r="F122" s="3061"/>
      <c r="G122" s="3061"/>
      <c r="H122" s="3061"/>
      <c r="I122" s="3062"/>
    </row>
    <row r="123" spans="1:11" ht="18.75" customHeight="1">
      <c r="A123" s="3020" t="s">
        <v>2317</v>
      </c>
      <c r="B123" s="3020"/>
      <c r="C123" s="3020"/>
      <c r="D123" s="3065" t="str">
        <f ca="1">NUMBERSTRING(INT(D122*10000),2)&amp;"元整"</f>
        <v>柒佰贰拾肆万元整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2317</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2317</v>
      </c>
      <c r="B127" s="3020"/>
      <c r="C127" s="3020"/>
      <c r="D127" s="3065" t="e">
        <f>NUMBERSTRING(INT(D126*10000),2)&amp;"元整"</f>
        <v>#VALUE!</v>
      </c>
      <c r="E127" s="3067"/>
      <c r="F127" s="3067"/>
      <c r="G127" s="3067"/>
      <c r="H127" s="3067"/>
      <c r="I127" s="3066"/>
    </row>
    <row r="128" spans="1:11" ht="21.75" customHeight="1">
      <c r="A128" s="3068" t="s">
        <v>2318</v>
      </c>
      <c r="B128" s="3068"/>
      <c r="C128" s="3068"/>
      <c r="D128" s="3068"/>
      <c r="E128" s="3068"/>
      <c r="F128" s="3068"/>
      <c r="G128" s="3068"/>
      <c r="H128" s="3068"/>
      <c r="I128" s="3068"/>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607</v>
      </c>
      <c r="C2" s="243" t="s">
        <v>2328</v>
      </c>
      <c r="D2" s="2548" t="s">
        <v>70</v>
      </c>
      <c r="E2" s="1439"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3976</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1"/>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90</v>
      </c>
      <c r="F9" s="265"/>
      <c r="G9" s="2552"/>
      <c r="H9" s="1389"/>
      <c r="I9" s="2553" t="s">
        <v>2344</v>
      </c>
    </row>
    <row r="10" spans="1:9" s="258" customFormat="1" ht="13.5" customHeight="1">
      <c r="A10" s="950" t="s">
        <v>801</v>
      </c>
      <c r="B10" s="268" t="s">
        <v>2345</v>
      </c>
      <c r="C10" s="269">
        <f ca="1">ROUND(D10*E10/10000,0)</f>
        <v>14</v>
      </c>
      <c r="D10" s="1032">
        <f ca="1">IF(B1="",'数据-汇总表'!E6,IF(INDIRECT("'数据-取费表'!c"&amp;$G$1)="住宅",INDIRECT("'数据-取费表'!s"&amp;$G$1),INDIRECT("'数据-取费表'!k"&amp;$G$1)+INDIRECT("'数据-取费表'!s"&amp;$G$1)))</f>
        <v>1526.7</v>
      </c>
      <c r="E10" s="269">
        <f>'数据-取费表'!B28</f>
        <v>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31</v>
      </c>
      <c r="D19" s="1036">
        <f ca="1">D9+D10</f>
        <v>1526.7</v>
      </c>
      <c r="E19" s="255">
        <f>'数据-取费表'!B31</f>
        <v>200</v>
      </c>
      <c r="F19" s="275"/>
      <c r="G19" s="2551"/>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3</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6</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44</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413</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366</v>
      </c>
      <c r="D34" s="261"/>
      <c r="E34" s="264"/>
      <c r="F34" s="301">
        <f ca="1">IF('数据-取费表'!B24=0,1,IF(B1="",'数据-取费表'!N16,INDIRECT("'数据-取费表'!n"&amp;$G$1)))</f>
        <v>1</v>
      </c>
      <c r="G34" s="263" t="s">
        <v>2391</v>
      </c>
    </row>
    <row r="35" spans="1:7" ht="13.5" customHeight="1">
      <c r="A35" s="951" t="s">
        <v>796</v>
      </c>
      <c r="B35" s="259" t="s">
        <v>2392</v>
      </c>
      <c r="C35" s="264">
        <f ca="1">ROUND(C34*F35,0)</f>
        <v>11</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31</v>
      </c>
      <c r="D37" s="261">
        <f ca="1">D19</f>
        <v>1526.7</v>
      </c>
      <c r="E37" s="293">
        <f>'数据-取费表'!B35</f>
        <v>200</v>
      </c>
      <c r="F37" s="303"/>
      <c r="G37" s="305" t="s">
        <v>2397</v>
      </c>
    </row>
    <row r="38" spans="1:7" ht="13.5" customHeight="1">
      <c r="A38" s="951" t="s">
        <v>799</v>
      </c>
      <c r="B38" s="259" t="s">
        <v>2398</v>
      </c>
      <c r="C38" s="264">
        <f ca="1">ROUND(C34*F38,0)</f>
        <v>5</v>
      </c>
      <c r="D38" s="264"/>
      <c r="E38" s="264"/>
      <c r="F38" s="303">
        <f>'数据-取费表'!B36</f>
        <v>1.4999999999999999E-2</v>
      </c>
      <c r="G38" s="263" t="s">
        <v>2393</v>
      </c>
    </row>
    <row r="39" spans="1:7" s="258" customFormat="1" ht="13.5" customHeight="1">
      <c r="A39" s="299" t="s">
        <v>2399</v>
      </c>
      <c r="B39" s="254" t="s">
        <v>2400</v>
      </c>
      <c r="C39" s="276">
        <f ca="1">ROUND(C33*F20,0)</f>
        <v>8</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20</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20</v>
      </c>
      <c r="D42" s="282"/>
      <c r="E42" s="282"/>
      <c r="F42" s="283"/>
      <c r="G42" s="3140" t="s">
        <v>2409</v>
      </c>
    </row>
    <row r="43" spans="1:7" ht="13.5" customHeight="1">
      <c r="A43" s="951" t="s">
        <v>792</v>
      </c>
      <c r="B43" s="259" t="s">
        <v>2410</v>
      </c>
      <c r="C43" s="282">
        <f ca="1">ROUND(IF('数据-取费表'!B22&lt;=1,C39*F22*'数据-取费表'!B21/2,C39*(POWER((1+F22),'数据-取费表'!B21/2)-1)),0)</f>
        <v>0</v>
      </c>
      <c r="D43" s="282"/>
      <c r="E43" s="282"/>
      <c r="F43" s="283"/>
      <c r="G43" s="3141"/>
    </row>
    <row r="44" spans="1:7" ht="13.5" customHeight="1">
      <c r="A44" s="951" t="s">
        <v>793</v>
      </c>
      <c r="B44" s="259" t="s">
        <v>2411</v>
      </c>
      <c r="C44" s="282">
        <f ca="1">ROUND(IF('数据-取费表'!B22&lt;=1,C40*F22*'数据-取费表'!B21/2,C40*(POWER((1+F22),'数据-取费表'!B21/2)-1)),4)</f>
        <v>1E-3</v>
      </c>
      <c r="D44" s="282"/>
      <c r="E44" s="282"/>
      <c r="F44" s="283"/>
      <c r="G44" s="3142"/>
    </row>
    <row r="45" spans="1:7" s="258" customFormat="1" ht="13.5" customHeight="1">
      <c r="A45" s="299" t="s">
        <v>2412</v>
      </c>
      <c r="B45" s="288" t="s">
        <v>2378</v>
      </c>
      <c r="C45" s="289">
        <f ca="1">C46</f>
        <v>84</v>
      </c>
      <c r="D45" s="279">
        <f ca="1">C47</f>
        <v>4.0000000000000001E-3</v>
      </c>
      <c r="E45" s="280" t="s">
        <v>2404</v>
      </c>
      <c r="F45" s="290"/>
      <c r="G45" s="291" t="s">
        <v>2413</v>
      </c>
    </row>
    <row r="46" spans="1:7" s="258" customFormat="1" ht="13.5" customHeight="1">
      <c r="A46" s="951" t="s">
        <v>791</v>
      </c>
      <c r="B46" s="292" t="s">
        <v>2414</v>
      </c>
      <c r="C46" s="293">
        <f ca="1">ROUND((C33+C39)*F27,0)</f>
        <v>84</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569</v>
      </c>
      <c r="D49" s="276"/>
      <c r="E49" s="276"/>
      <c r="F49" s="308"/>
      <c r="G49" s="278" t="s">
        <v>2419</v>
      </c>
    </row>
    <row r="50" spans="1:7" s="302" customFormat="1" ht="24">
      <c r="A50" s="299" t="s">
        <v>2420</v>
      </c>
      <c r="B50" s="254" t="s">
        <v>2421</v>
      </c>
      <c r="C50" s="276"/>
      <c r="D50" s="276"/>
      <c r="E50" s="276"/>
      <c r="F50" s="308">
        <f>IF('数据-取费表'!B24=0,'数据-取费表'!N16,1)</f>
        <v>0.99</v>
      </c>
      <c r="G50" s="291" t="s">
        <v>2422</v>
      </c>
    </row>
    <row r="51" spans="1:7" ht="16.5" customHeight="1">
      <c r="A51" s="299" t="s">
        <v>2423</v>
      </c>
      <c r="B51" s="254" t="s">
        <v>2424</v>
      </c>
      <c r="C51" s="276">
        <f ca="1">ROUND(C49*F50,0)</f>
        <v>563</v>
      </c>
      <c r="D51" s="276"/>
      <c r="E51" s="276"/>
      <c r="F51" s="308"/>
      <c r="G51" s="278" t="s">
        <v>2425</v>
      </c>
    </row>
    <row r="52" spans="1:7" s="252" customFormat="1" ht="16.5" thickBot="1">
      <c r="A52" s="309" t="s">
        <v>2426</v>
      </c>
      <c r="B52" s="310"/>
      <c r="C52" s="311">
        <f ca="1">C31+C51</f>
        <v>607</v>
      </c>
      <c r="D52" s="310"/>
      <c r="E52" s="310"/>
      <c r="F52" s="310"/>
      <c r="G52" s="312"/>
    </row>
    <row r="55" spans="1:7" ht="15">
      <c r="B55" s="314" t="s">
        <v>2427</v>
      </c>
      <c r="C55" s="315"/>
    </row>
    <row r="56" spans="1:7">
      <c r="B56" s="317" t="s">
        <v>1508</v>
      </c>
      <c r="C56" s="319">
        <f ca="1">1-C57</f>
        <v>7.1999999999999953E-2</v>
      </c>
    </row>
    <row r="57" spans="1:7">
      <c r="B57" s="317" t="s">
        <v>1509</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4" t="str">
        <f>项目基本情况!B1</f>
        <v>房地产抵押价值预评估</v>
      </c>
      <c r="C37" s="2954"/>
      <c r="D37" s="2954"/>
      <c r="E37" s="2954"/>
      <c r="F37" s="2954"/>
      <c r="G37" s="2954"/>
      <c r="H37" s="2954"/>
      <c r="I37" s="295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57" sqref="D5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4"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608</v>
      </c>
      <c r="C2" s="243" t="s">
        <v>2328</v>
      </c>
      <c r="D2" s="2548" t="s">
        <v>70</v>
      </c>
      <c r="E2" s="1439"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3982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C6+C7+C8</f>
        <v>132</v>
      </c>
      <c r="D5" s="255" t="s">
        <v>2334</v>
      </c>
      <c r="E5" s="256" t="s">
        <v>2335</v>
      </c>
      <c r="F5" s="256" t="s">
        <v>2336</v>
      </c>
      <c r="G5" s="257"/>
    </row>
    <row r="6" spans="1:8" s="258" customFormat="1" ht="13.5" customHeight="1">
      <c r="A6" s="949" t="s">
        <v>2337</v>
      </c>
      <c r="B6" s="259" t="s">
        <v>2338</v>
      </c>
      <c r="C6" s="260">
        <f>'土地比较法-住宅、综合'!B2</f>
        <v>128</v>
      </c>
      <c r="D6" s="261"/>
      <c r="E6" s="262"/>
      <c r="F6" s="262"/>
      <c r="G6" s="263"/>
    </row>
    <row r="7" spans="1:8" s="258" customFormat="1" ht="13.5" customHeight="1">
      <c r="A7" s="949" t="s">
        <v>2339</v>
      </c>
      <c r="B7" s="259" t="s">
        <v>2340</v>
      </c>
      <c r="C7" s="264">
        <f>ROUND(C6*F7,0)</f>
        <v>4</v>
      </c>
      <c r="D7" s="264"/>
      <c r="E7" s="262"/>
      <c r="F7" s="265">
        <f>IF(项目基本情况!B8="出让",0,'数据-取费表'!B48+'数据-取费表'!B49)</f>
        <v>3.0499999999999999E-2</v>
      </c>
      <c r="G7" s="263"/>
    </row>
    <row r="8" spans="1:8" s="267" customFormat="1">
      <c r="A8" s="949" t="s">
        <v>2341</v>
      </c>
      <c r="B8" s="259" t="s">
        <v>2342</v>
      </c>
      <c r="C8" s="264">
        <f>IF(G8="已包含在土地购买价格中",0,C9+C10)</f>
        <v>0</v>
      </c>
      <c r="D8" s="266"/>
      <c r="E8" s="264"/>
      <c r="F8" s="265"/>
      <c r="G8" s="2551" t="s">
        <v>1145</v>
      </c>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90</v>
      </c>
      <c r="F9" s="265"/>
      <c r="G9" s="270"/>
    </row>
    <row r="10" spans="1:8" s="258" customFormat="1" ht="13.5" customHeight="1">
      <c r="A10" s="950" t="s">
        <v>801</v>
      </c>
      <c r="B10" s="268" t="s">
        <v>2345</v>
      </c>
      <c r="C10" s="269">
        <f ca="1">ROUND(D10*E10,0)</f>
        <v>137403</v>
      </c>
      <c r="D10" s="1032">
        <f ca="1">IF(B1="",'数据-汇总表'!E6,IF(INDIRECT("'数据-取费表'!c"&amp;$G$1)="住宅",INDIRECT("'数据-取费表'!s"&amp;$G$1),INDIRECT("'数据-取费表'!k"&amp;$G$1)+INDIRECT("'数据-取费表'!s"&amp;$G$1)))</f>
        <v>1526.7</v>
      </c>
      <c r="E10" s="269">
        <f>'数据-取费表'!B28</f>
        <v>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305340</v>
      </c>
      <c r="D19" s="1036">
        <f ca="1">D9+D10</f>
        <v>1526.7</v>
      </c>
      <c r="E19" s="255">
        <f>'数据-取费表'!B31</f>
        <v>200</v>
      </c>
      <c r="F19" s="275"/>
      <c r="G19" s="2551" t="s">
        <v>1071</v>
      </c>
    </row>
    <row r="20" spans="1:7" s="258" customFormat="1" ht="13.5" customHeight="1">
      <c r="A20" s="299" t="s">
        <v>2439</v>
      </c>
      <c r="B20" s="254" t="s">
        <v>2440</v>
      </c>
      <c r="C20" s="276">
        <f ca="1">ROUND((C5+C19)*F20,0)</f>
        <v>6109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29999</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13</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29696</v>
      </c>
      <c r="D24" s="282"/>
      <c r="E24" s="282"/>
      <c r="F24" s="283"/>
      <c r="G24" s="284" t="s">
        <v>2451</v>
      </c>
    </row>
    <row r="25" spans="1:7" s="258" customFormat="1" ht="24">
      <c r="A25" s="951" t="s">
        <v>2341</v>
      </c>
      <c r="B25" s="259" t="s">
        <v>2452</v>
      </c>
      <c r="C25" s="1380">
        <f ca="1">ROUND(IF('数据-取费表'!B22&lt;=1,C20*F22*'数据-取费表'!B22/2,C20*(POWER((1+F22),'数据-取费表'!B22/2)-1)),0)</f>
        <v>290</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62316</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62316</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437780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4134303</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3664080</v>
      </c>
      <c r="D34" s="261"/>
      <c r="E34" s="264"/>
      <c r="F34" s="301"/>
      <c r="G34" s="263"/>
    </row>
    <row r="35" spans="1:7" ht="13.5" customHeight="1">
      <c r="A35" s="951" t="s">
        <v>796</v>
      </c>
      <c r="B35" s="259" t="s">
        <v>2392</v>
      </c>
      <c r="C35" s="264">
        <f ca="1">ROUND(C34*F35,0)</f>
        <v>109922</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305340</v>
      </c>
      <c r="D37" s="261">
        <f ca="1">D19</f>
        <v>1526.7</v>
      </c>
      <c r="E37" s="293">
        <f>'数据-取费表'!B35</f>
        <v>200</v>
      </c>
      <c r="F37" s="303"/>
      <c r="G37" s="305"/>
    </row>
    <row r="38" spans="1:7" ht="13.5" customHeight="1">
      <c r="A38" s="951" t="s">
        <v>799</v>
      </c>
      <c r="B38" s="259" t="s">
        <v>2398</v>
      </c>
      <c r="C38" s="264">
        <f ca="1">ROUND(C34*F38,0)</f>
        <v>54961</v>
      </c>
      <c r="D38" s="264"/>
      <c r="E38" s="264"/>
      <c r="F38" s="303">
        <f>'数据-取费表'!B36</f>
        <v>1.4999999999999999E-2</v>
      </c>
      <c r="G38" s="263" t="s">
        <v>2393</v>
      </c>
    </row>
    <row r="39" spans="1:7" s="258" customFormat="1" ht="13.5" customHeight="1">
      <c r="A39" s="299" t="s">
        <v>2399</v>
      </c>
      <c r="B39" s="254" t="s">
        <v>2400</v>
      </c>
      <c r="C39" s="276">
        <f ca="1">ROUND(C33*F20,0)</f>
        <v>82686</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200307</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196379</v>
      </c>
      <c r="D42" s="282"/>
      <c r="E42" s="282"/>
      <c r="F42" s="283"/>
      <c r="G42" s="3140" t="s">
        <v>2456</v>
      </c>
    </row>
    <row r="43" spans="1:7" ht="13.5" customHeight="1">
      <c r="A43" s="951" t="s">
        <v>792</v>
      </c>
      <c r="B43" s="259" t="s">
        <v>2410</v>
      </c>
      <c r="C43" s="282">
        <f ca="1">ROUND(IF('数据-取费表'!B22&lt;=1,C39*F22*'数据-取费表'!B20/2,C39*(POWER((1+F22),'数据-取费表'!B20/2)-1)),0)</f>
        <v>3928</v>
      </c>
      <c r="D43" s="282"/>
      <c r="E43" s="282"/>
      <c r="F43" s="283"/>
      <c r="G43" s="3141"/>
    </row>
    <row r="44" spans="1:7" ht="13.5" customHeight="1">
      <c r="A44" s="951" t="s">
        <v>793</v>
      </c>
      <c r="B44" s="259" t="s">
        <v>2411</v>
      </c>
      <c r="C44" s="282">
        <f ca="1">ROUND(IF('数据-取费表'!B22&lt;=1,C40*F22*'数据-取费表'!B20/2,C40*(POWER((1+F22),'数据-取费表'!B20/2)-1)),4)</f>
        <v>1E-3</v>
      </c>
      <c r="D44" s="282"/>
      <c r="E44" s="282"/>
      <c r="F44" s="283"/>
      <c r="G44" s="3142"/>
    </row>
    <row r="45" spans="1:7" s="258" customFormat="1" ht="13.5" customHeight="1">
      <c r="A45" s="299" t="s">
        <v>2412</v>
      </c>
      <c r="B45" s="288" t="s">
        <v>2378</v>
      </c>
      <c r="C45" s="289">
        <f ca="1">C46</f>
        <v>843398</v>
      </c>
      <c r="D45" s="279">
        <f ca="1">C47</f>
        <v>4.0000000000000001E-3</v>
      </c>
      <c r="E45" s="280" t="s">
        <v>2404</v>
      </c>
      <c r="F45" s="290"/>
      <c r="G45" s="291" t="s">
        <v>2413</v>
      </c>
    </row>
    <row r="46" spans="1:7" s="258" customFormat="1" ht="13.5" customHeight="1">
      <c r="A46" s="951" t="s">
        <v>791</v>
      </c>
      <c r="B46" s="292" t="s">
        <v>2414</v>
      </c>
      <c r="C46" s="293">
        <f ca="1">ROUND((C33+C39)*F27,0)</f>
        <v>843398</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5702031</v>
      </c>
      <c r="D49" s="276"/>
      <c r="E49" s="276"/>
      <c r="F49" s="308"/>
      <c r="G49" s="278" t="s">
        <v>2419</v>
      </c>
    </row>
    <row r="50" spans="1:7" s="302" customFormat="1">
      <c r="A50" s="299" t="s">
        <v>2420</v>
      </c>
      <c r="B50" s="254" t="s">
        <v>2421</v>
      </c>
      <c r="C50" s="276"/>
      <c r="D50" s="276"/>
      <c r="E50" s="276"/>
      <c r="F50" s="308">
        <f>IF('数据-取费表'!B24=0,'数据-取费表'!N16,1)</f>
        <v>0.99</v>
      </c>
      <c r="G50" s="291"/>
    </row>
    <row r="51" spans="1:7" ht="16.5" customHeight="1">
      <c r="A51" s="299" t="s">
        <v>2423</v>
      </c>
      <c r="B51" s="254" t="s">
        <v>2458</v>
      </c>
      <c r="C51" s="276">
        <f ca="1">ROUND(C49*F50,0)</f>
        <v>5645011</v>
      </c>
      <c r="D51" s="276"/>
      <c r="E51" s="276"/>
      <c r="F51" s="308"/>
      <c r="G51" s="278" t="s">
        <v>2425</v>
      </c>
    </row>
    <row r="52" spans="1:7" s="252" customFormat="1" ht="16.5" thickBot="1">
      <c r="A52" s="309" t="s">
        <v>2426</v>
      </c>
      <c r="B52" s="310"/>
      <c r="C52" s="311">
        <f ca="1">C31+C51</f>
        <v>6082791</v>
      </c>
      <c r="D52" s="310"/>
      <c r="E52" s="310"/>
      <c r="F52" s="310"/>
      <c r="G52" s="312"/>
    </row>
    <row r="55" spans="1:7" ht="15">
      <c r="B55" s="314" t="s">
        <v>2427</v>
      </c>
      <c r="C55" s="315"/>
    </row>
    <row r="56" spans="1:7">
      <c r="B56" s="317" t="s">
        <v>1508</v>
      </c>
      <c r="C56" s="319">
        <f ca="1">1-C57</f>
        <v>7.1999999999999953E-2</v>
      </c>
    </row>
    <row r="57" spans="1:7">
      <c r="B57" s="317" t="s">
        <v>1509</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5" sqref="I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128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838</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44" t="s">
        <v>2645</v>
      </c>
      <c r="AC4" s="3143" t="s">
        <v>2646</v>
      </c>
    </row>
    <row r="5" spans="1:30"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44"/>
      <c r="AC5" s="3144"/>
    </row>
    <row r="6" spans="1:30" ht="15.75" thickBot="1">
      <c r="A6" s="406"/>
      <c r="B6" s="407"/>
      <c r="C6" s="3156" t="s">
        <v>2543</v>
      </c>
      <c r="D6" s="3157"/>
      <c r="E6" s="3158" t="s">
        <v>2543</v>
      </c>
      <c r="F6" s="3159"/>
      <c r="G6" s="3156" t="s">
        <v>2543</v>
      </c>
      <c r="H6" s="3157"/>
      <c r="I6" s="3156" t="s">
        <v>2543</v>
      </c>
      <c r="J6" s="3157"/>
      <c r="K6" s="610" t="s">
        <v>2544</v>
      </c>
      <c r="L6" s="1130"/>
      <c r="M6" s="1131"/>
      <c r="N6" s="1131"/>
      <c r="O6" s="1131"/>
      <c r="P6" s="3169"/>
      <c r="Q6" s="3170"/>
      <c r="R6" s="3150"/>
      <c r="S6" s="3151"/>
      <c r="T6" s="3171"/>
      <c r="U6" s="3172"/>
      <c r="V6" s="3173"/>
      <c r="W6" s="3173"/>
      <c r="X6" s="1812"/>
      <c r="Y6" s="3171"/>
      <c r="Z6" s="3172"/>
      <c r="AA6" s="3145"/>
      <c r="AB6" s="3145"/>
      <c r="AC6" s="3145"/>
    </row>
    <row r="7" spans="1:30" s="117" customFormat="1" ht="15.75" thickBot="1">
      <c r="A7" s="408" t="s">
        <v>2545</v>
      </c>
      <c r="B7" s="409"/>
      <c r="C7" s="410">
        <f>'数据-取费表'!B2</f>
        <v>43770</v>
      </c>
      <c r="D7" s="411">
        <v>100</v>
      </c>
      <c r="E7" s="412">
        <v>43770</v>
      </c>
      <c r="F7" s="413">
        <f>SUMIF(70:70,YEAR(E7)&amp;"-"&amp;INT((MONTH(E7)+2)/3),71:71)</f>
        <v>100</v>
      </c>
      <c r="G7" s="412">
        <v>43770</v>
      </c>
      <c r="H7" s="411">
        <f>SUMIF(70:70,YEAR(G7)&amp;"-"&amp;INT((MONTH(G7)+2)/3),71:71)</f>
        <v>100</v>
      </c>
      <c r="I7" s="412">
        <v>43770</v>
      </c>
      <c r="J7" s="411">
        <f>SUMIF(70:70,YEAR(I7)&amp;"-"&amp;INT((MONTH(I7)+2)/3),71:71)</f>
        <v>100</v>
      </c>
      <c r="K7" s="611"/>
      <c r="L7" s="1132"/>
      <c r="M7" s="1133"/>
      <c r="N7" s="1133"/>
      <c r="O7" s="1133"/>
      <c r="P7" s="3146" t="s">
        <v>2546</v>
      </c>
      <c r="Q7" s="3174"/>
      <c r="R7" s="770" t="s">
        <v>17</v>
      </c>
      <c r="S7" s="771">
        <f t="shared" ref="S7:S15" si="0">F7</f>
        <v>100</v>
      </c>
      <c r="T7" s="770" t="s">
        <v>17</v>
      </c>
      <c r="U7" s="771">
        <f t="shared" ref="U7:U15" si="1">H7</f>
        <v>100</v>
      </c>
      <c r="V7" s="770" t="s">
        <v>17</v>
      </c>
      <c r="W7" s="771">
        <f t="shared" ref="W7:W15" si="2">J7</f>
        <v>100</v>
      </c>
      <c r="X7" s="772"/>
      <c r="Y7" s="3146" t="s">
        <v>2546</v>
      </c>
      <c r="Z7" s="3147"/>
      <c r="AA7" s="773">
        <f>D7/F7</f>
        <v>1</v>
      </c>
      <c r="AB7" s="773">
        <f>D7/H7</f>
        <v>1</v>
      </c>
      <c r="AC7" s="773">
        <f>D7/J7</f>
        <v>1</v>
      </c>
    </row>
    <row r="8" spans="1:30" s="117" customFormat="1" ht="15.75" thickBot="1">
      <c r="A8" s="408" t="s">
        <v>2547</v>
      </c>
      <c r="B8" s="409"/>
      <c r="C8" s="414" t="s">
        <v>2548</v>
      </c>
      <c r="D8" s="411">
        <v>100</v>
      </c>
      <c r="E8" s="414" t="s">
        <v>3215</v>
      </c>
      <c r="F8" s="413">
        <f>SUMIF(73:73,E8,74:74)-SUMIF(73:73,C8,74:74)+100</f>
        <v>100</v>
      </c>
      <c r="G8" s="414" t="s">
        <v>3215</v>
      </c>
      <c r="H8" s="411">
        <f>SUMIF(73:73,G8,74:74)-SUMIF(73:73,C8,74:74)+100</f>
        <v>100</v>
      </c>
      <c r="I8" s="414" t="s">
        <v>3215</v>
      </c>
      <c r="J8" s="411">
        <f>SUMIF(73:73,I8,74:74)-SUMIF(73:73,C8,74:74)+100</f>
        <v>100</v>
      </c>
      <c r="K8" s="611"/>
      <c r="L8" s="1132"/>
      <c r="M8" s="1133"/>
      <c r="N8" s="1133"/>
      <c r="O8" s="1133"/>
      <c r="P8" s="3146" t="s">
        <v>2549</v>
      </c>
      <c r="Q8" s="3147"/>
      <c r="R8" s="770" t="s">
        <v>17</v>
      </c>
      <c r="S8" s="771">
        <f t="shared" si="0"/>
        <v>100</v>
      </c>
      <c r="T8" s="770" t="s">
        <v>17</v>
      </c>
      <c r="U8" s="771">
        <f t="shared" si="1"/>
        <v>100</v>
      </c>
      <c r="V8" s="770" t="s">
        <v>17</v>
      </c>
      <c r="W8" s="771">
        <f t="shared" si="2"/>
        <v>100</v>
      </c>
      <c r="X8" s="772"/>
      <c r="Y8" s="3146" t="s">
        <v>2549</v>
      </c>
      <c r="Z8" s="3147"/>
      <c r="AA8" s="773">
        <f t="shared" ref="AA8:AA45" si="3">D8/F8</f>
        <v>1</v>
      </c>
      <c r="AB8" s="773">
        <f t="shared" ref="AB8:AB45" si="4">D8/H8</f>
        <v>1</v>
      </c>
      <c r="AC8" s="773">
        <f t="shared" ref="AC8:AC45" si="5">D8/J8</f>
        <v>1</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60"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60"/>
      <c r="Q10" s="1794" t="str">
        <f t="shared" si="6"/>
        <v>土地使用年限（年）</v>
      </c>
      <c r="R10" s="770" t="s">
        <v>17</v>
      </c>
      <c r="S10" s="771">
        <f t="shared" si="0"/>
        <v>107</v>
      </c>
      <c r="T10" s="770" t="s">
        <v>17</v>
      </c>
      <c r="U10" s="771">
        <f t="shared" si="1"/>
        <v>107</v>
      </c>
      <c r="V10" s="770" t="s">
        <v>17</v>
      </c>
      <c r="W10" s="771">
        <f t="shared" si="2"/>
        <v>107</v>
      </c>
      <c r="X10" s="772"/>
      <c r="Y10" s="3020"/>
      <c r="Z10" s="55" t="str">
        <f t="shared" si="7"/>
        <v>土地使用年限（年）</v>
      </c>
      <c r="AA10" s="773">
        <f t="shared" si="3"/>
        <v>0.93457943925233644</v>
      </c>
      <c r="AB10" s="773">
        <f t="shared" si="4"/>
        <v>0.93457943925233644</v>
      </c>
      <c r="AC10" s="773">
        <f t="shared" si="5"/>
        <v>0.93457943925233644</v>
      </c>
    </row>
    <row r="11" spans="1:30" ht="15">
      <c r="A11" s="428"/>
      <c r="B11" s="422" t="s">
        <v>2555</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160"/>
      <c r="Q11" s="1794"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773">
        <f t="shared" si="5"/>
        <v>1</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0"/>
      <c r="Q12" s="1794"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2556</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5" t="s">
        <v>2557</v>
      </c>
      <c r="Q15" s="1809" t="str">
        <f t="shared" si="6"/>
        <v>居住社区成熟度</v>
      </c>
      <c r="R15" s="774" t="s">
        <v>17</v>
      </c>
      <c r="S15" s="775">
        <f t="shared" si="0"/>
        <v>100</v>
      </c>
      <c r="T15" s="774" t="s">
        <v>17</v>
      </c>
      <c r="U15" s="775">
        <f t="shared" si="1"/>
        <v>100</v>
      </c>
      <c r="V15" s="774" t="s">
        <v>17</v>
      </c>
      <c r="W15" s="775">
        <f t="shared" si="2"/>
        <v>100</v>
      </c>
      <c r="X15" s="1812"/>
      <c r="Y15" s="3175" t="s">
        <v>2557</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176"/>
      <c r="Q16" s="1809"/>
      <c r="R16" s="774"/>
      <c r="S16" s="775"/>
      <c r="T16" s="774"/>
      <c r="U16" s="775"/>
      <c r="V16" s="774"/>
      <c r="W16" s="775"/>
      <c r="X16" s="1812"/>
      <c r="Y16" s="3176"/>
      <c r="Z16" s="1813"/>
      <c r="AA16" s="1810">
        <v>1</v>
      </c>
      <c r="AB16" s="1810">
        <v>1</v>
      </c>
      <c r="AC16" s="1810">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6"/>
      <c r="Q17" s="1809" t="str">
        <f>B17</f>
        <v>商业繁华度</v>
      </c>
      <c r="R17" s="774" t="s">
        <v>17</v>
      </c>
      <c r="S17" s="775">
        <f>F17</f>
        <v>100</v>
      </c>
      <c r="T17" s="774" t="s">
        <v>17</v>
      </c>
      <c r="U17" s="775">
        <f>H17</f>
        <v>100</v>
      </c>
      <c r="V17" s="774" t="s">
        <v>17</v>
      </c>
      <c r="W17" s="775">
        <f>J17</f>
        <v>100</v>
      </c>
      <c r="X17" s="1812"/>
      <c r="Y17" s="3176"/>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176"/>
      <c r="Q18" s="1809"/>
      <c r="R18" s="774"/>
      <c r="S18" s="775"/>
      <c r="T18" s="774"/>
      <c r="U18" s="775"/>
      <c r="V18" s="774"/>
      <c r="W18" s="775"/>
      <c r="X18" s="1812"/>
      <c r="Y18" s="3176"/>
      <c r="Z18" s="1813"/>
      <c r="AA18" s="1810">
        <v>1</v>
      </c>
      <c r="AB18" s="1810">
        <v>1</v>
      </c>
      <c r="AC18" s="1810">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6"/>
      <c r="Q19" s="1809" t="str">
        <f>B19</f>
        <v>办公集聚程度</v>
      </c>
      <c r="R19" s="774" t="s">
        <v>17</v>
      </c>
      <c r="S19" s="775">
        <f>F19</f>
        <v>100</v>
      </c>
      <c r="T19" s="774" t="s">
        <v>17</v>
      </c>
      <c r="U19" s="775">
        <f>H19</f>
        <v>100</v>
      </c>
      <c r="V19" s="774" t="s">
        <v>17</v>
      </c>
      <c r="W19" s="775">
        <f>J19</f>
        <v>100</v>
      </c>
      <c r="X19" s="1812"/>
      <c r="Y19" s="3176"/>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176"/>
      <c r="Q20" s="1809"/>
      <c r="R20" s="774"/>
      <c r="S20" s="775"/>
      <c r="T20" s="774"/>
      <c r="U20" s="775"/>
      <c r="V20" s="774"/>
      <c r="W20" s="775"/>
      <c r="X20" s="1812"/>
      <c r="Y20" s="3176"/>
      <c r="Z20" s="1813"/>
      <c r="AA20" s="1810">
        <v>1</v>
      </c>
      <c r="AB20" s="1810">
        <v>1</v>
      </c>
      <c r="AC20" s="1810">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6"/>
      <c r="Q21" s="1809" t="str">
        <f>B21</f>
        <v>交通便捷度</v>
      </c>
      <c r="R21" s="774" t="s">
        <v>17</v>
      </c>
      <c r="S21" s="775">
        <f>F21</f>
        <v>100</v>
      </c>
      <c r="T21" s="774" t="s">
        <v>17</v>
      </c>
      <c r="U21" s="775">
        <f>H21</f>
        <v>100</v>
      </c>
      <c r="V21" s="774" t="s">
        <v>17</v>
      </c>
      <c r="W21" s="775">
        <f>J21</f>
        <v>100</v>
      </c>
      <c r="X21" s="1812"/>
      <c r="Y21" s="3176"/>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176"/>
      <c r="Q22" s="1809"/>
      <c r="R22" s="774"/>
      <c r="S22" s="775"/>
      <c r="T22" s="774"/>
      <c r="U22" s="775"/>
      <c r="V22" s="774"/>
      <c r="W22" s="775"/>
      <c r="X22" s="1812"/>
      <c r="Y22" s="3176"/>
      <c r="Z22" s="1813"/>
      <c r="AA22" s="1810">
        <v>1</v>
      </c>
      <c r="AB22" s="1810">
        <v>1</v>
      </c>
      <c r="AC22" s="1810">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6"/>
      <c r="Q23" s="1809" t="str">
        <f t="shared" ref="Q23:Q37" si="8">B23</f>
        <v>区域土地利用方向</v>
      </c>
      <c r="R23" s="774" t="s">
        <v>17</v>
      </c>
      <c r="S23" s="775">
        <f>F23</f>
        <v>100</v>
      </c>
      <c r="T23" s="774" t="s">
        <v>17</v>
      </c>
      <c r="U23" s="775">
        <f>H23</f>
        <v>100</v>
      </c>
      <c r="V23" s="774" t="s">
        <v>17</v>
      </c>
      <c r="W23" s="775">
        <f>J23</f>
        <v>100</v>
      </c>
      <c r="X23" s="1812"/>
      <c r="Y23" s="3176"/>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176"/>
      <c r="Q24" s="1809"/>
      <c r="R24" s="774"/>
      <c r="S24" s="775"/>
      <c r="T24" s="774"/>
      <c r="U24" s="775"/>
      <c r="V24" s="774"/>
      <c r="W24" s="775"/>
      <c r="X24" s="1812"/>
      <c r="Y24" s="3176"/>
      <c r="Z24" s="1813"/>
      <c r="AA24" s="1810"/>
      <c r="AB24" s="1810"/>
      <c r="AC24" s="1810"/>
    </row>
    <row r="25" spans="1:29" ht="57">
      <c r="A25" s="404"/>
      <c r="B25" s="1383"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6"/>
      <c r="Q25" s="1809" t="str">
        <f t="shared" si="8"/>
        <v>自然及人文环境状况</v>
      </c>
      <c r="R25" s="774" t="s">
        <v>17</v>
      </c>
      <c r="S25" s="775">
        <f>F25</f>
        <v>100</v>
      </c>
      <c r="T25" s="774" t="s">
        <v>17</v>
      </c>
      <c r="U25" s="775">
        <f>H25</f>
        <v>100</v>
      </c>
      <c r="V25" s="774" t="s">
        <v>17</v>
      </c>
      <c r="W25" s="775">
        <f>J25</f>
        <v>100</v>
      </c>
      <c r="X25" s="1812"/>
      <c r="Y25" s="3176"/>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176"/>
      <c r="Q26" s="1809"/>
      <c r="R26" s="774"/>
      <c r="S26" s="775"/>
      <c r="T26" s="774"/>
      <c r="U26" s="775"/>
      <c r="V26" s="774"/>
      <c r="W26" s="775"/>
      <c r="X26" s="1812"/>
      <c r="Y26" s="3176"/>
      <c r="Z26" s="1813"/>
      <c r="AA26" s="1810">
        <v>1</v>
      </c>
      <c r="AB26" s="1810">
        <v>1</v>
      </c>
      <c r="AC26" s="1810">
        <v>1</v>
      </c>
    </row>
    <row r="27" spans="1:29" s="117" customFormat="1" ht="42.75">
      <c r="A27" s="649"/>
      <c r="B27" s="1383"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6"/>
      <c r="Q27" s="1794" t="str">
        <f t="shared" si="8"/>
        <v>公共配套设施</v>
      </c>
      <c r="R27" s="770" t="s">
        <v>17</v>
      </c>
      <c r="S27" s="771">
        <f>F27</f>
        <v>100</v>
      </c>
      <c r="T27" s="770" t="s">
        <v>17</v>
      </c>
      <c r="U27" s="771">
        <f>H27</f>
        <v>100</v>
      </c>
      <c r="V27" s="770" t="s">
        <v>17</v>
      </c>
      <c r="W27" s="771">
        <f>J27</f>
        <v>100</v>
      </c>
      <c r="X27" s="772"/>
      <c r="Y27" s="3176"/>
      <c r="Z27" s="55" t="str">
        <f>Q27</f>
        <v>公共配套设施</v>
      </c>
      <c r="AA27" s="1810">
        <f>D27/F27</f>
        <v>1</v>
      </c>
      <c r="AB27" s="1810">
        <f>D27/H27</f>
        <v>1</v>
      </c>
      <c r="AC27" s="1810">
        <f>D27/J27</f>
        <v>1</v>
      </c>
    </row>
    <row r="28" spans="1:29" s="117" customFormat="1" ht="15">
      <c r="A28" s="649"/>
      <c r="B28" s="456"/>
      <c r="C28" s="2701"/>
      <c r="D28" s="448"/>
      <c r="E28" s="2612"/>
      <c r="F28" s="448"/>
      <c r="G28" s="2612"/>
      <c r="H28" s="448"/>
      <c r="I28" s="447"/>
      <c r="J28" s="448"/>
      <c r="K28" s="672"/>
      <c r="L28" s="1132"/>
      <c r="M28" s="1133"/>
      <c r="N28" s="1133"/>
      <c r="O28" s="1134"/>
      <c r="P28" s="3176"/>
      <c r="Q28" s="1794"/>
      <c r="R28" s="770"/>
      <c r="S28" s="771"/>
      <c r="T28" s="770"/>
      <c r="U28" s="771"/>
      <c r="V28" s="770"/>
      <c r="W28" s="771"/>
      <c r="X28" s="772"/>
      <c r="Y28" s="3176"/>
      <c r="Z28" s="55"/>
      <c r="AA28" s="1810">
        <v>1</v>
      </c>
      <c r="AB28" s="1810">
        <v>1</v>
      </c>
      <c r="AC28" s="1810">
        <v>1</v>
      </c>
    </row>
    <row r="29" spans="1:29" s="117" customFormat="1" ht="28.5">
      <c r="A29" s="649"/>
      <c r="B29" s="1383"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6"/>
      <c r="Q29" s="1794"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2"/>
      <c r="M30" s="1133"/>
      <c r="N30" s="1133"/>
      <c r="O30" s="1134"/>
      <c r="P30" s="3176"/>
      <c r="Q30" s="1794"/>
      <c r="R30" s="770"/>
      <c r="S30" s="771"/>
      <c r="T30" s="770"/>
      <c r="U30" s="771"/>
      <c r="V30" s="770"/>
      <c r="W30" s="771"/>
      <c r="X30" s="772"/>
      <c r="Y30" s="3176"/>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6"/>
      <c r="Z31" s="1813" t="str">
        <f t="shared" ref="Z31:Z45" si="13">Q31</f>
        <v>临街状况</v>
      </c>
      <c r="AA31" s="1810">
        <f t="shared" si="3"/>
        <v>1</v>
      </c>
      <c r="AB31" s="1810">
        <f t="shared" si="4"/>
        <v>1</v>
      </c>
      <c r="AC31" s="1810">
        <f t="shared" si="5"/>
        <v>1</v>
      </c>
    </row>
    <row r="32" spans="1:29" ht="27">
      <c r="A32" s="428"/>
      <c r="B32" s="1383"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6"/>
      <c r="Q32" s="1809" t="str">
        <f t="shared" si="8"/>
        <v>毗邻道路的类型与等级</v>
      </c>
      <c r="R32" s="774" t="s">
        <v>17</v>
      </c>
      <c r="S32" s="775">
        <f t="shared" si="10"/>
        <v>100</v>
      </c>
      <c r="T32" s="774" t="s">
        <v>17</v>
      </c>
      <c r="U32" s="775">
        <f t="shared" si="11"/>
        <v>100</v>
      </c>
      <c r="V32" s="774" t="s">
        <v>17</v>
      </c>
      <c r="W32" s="775">
        <f t="shared" si="12"/>
        <v>100</v>
      </c>
      <c r="X32" s="1812"/>
      <c r="Y32" s="3176"/>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176"/>
      <c r="Q33" s="1809"/>
      <c r="R33" s="774"/>
      <c r="S33" s="775"/>
      <c r="T33" s="774"/>
      <c r="U33" s="775"/>
      <c r="V33" s="774"/>
      <c r="W33" s="775"/>
      <c r="X33" s="1812"/>
      <c r="Y33" s="3176"/>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6"/>
      <c r="Q34" s="1809" t="str">
        <f t="shared" si="8"/>
        <v>土地级别</v>
      </c>
      <c r="R34" s="774" t="s">
        <v>17</v>
      </c>
      <c r="S34" s="775">
        <f t="shared" si="10"/>
        <v>100</v>
      </c>
      <c r="T34" s="774" t="s">
        <v>17</v>
      </c>
      <c r="U34" s="775">
        <f t="shared" si="11"/>
        <v>100</v>
      </c>
      <c r="V34" s="774" t="s">
        <v>17</v>
      </c>
      <c r="W34" s="775">
        <f t="shared" si="12"/>
        <v>100</v>
      </c>
      <c r="X34" s="1812"/>
      <c r="Y34" s="317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6"/>
      <c r="Q35" s="1809">
        <f t="shared" si="8"/>
        <v>111</v>
      </c>
      <c r="R35" s="774" t="s">
        <v>17</v>
      </c>
      <c r="S35" s="775">
        <f t="shared" si="10"/>
        <v>100</v>
      </c>
      <c r="T35" s="774" t="s">
        <v>17</v>
      </c>
      <c r="U35" s="775">
        <f t="shared" si="11"/>
        <v>100</v>
      </c>
      <c r="V35" s="774" t="s">
        <v>17</v>
      </c>
      <c r="W35" s="775">
        <f t="shared" si="12"/>
        <v>100</v>
      </c>
      <c r="X35" s="1812"/>
      <c r="Y35" s="317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7" t="s">
        <v>2562</v>
      </c>
      <c r="Q36" s="1809">
        <f t="shared" si="8"/>
        <v>111</v>
      </c>
      <c r="R36" s="774" t="s">
        <v>17</v>
      </c>
      <c r="S36" s="775">
        <f t="shared" si="10"/>
        <v>100</v>
      </c>
      <c r="T36" s="774" t="s">
        <v>17</v>
      </c>
      <c r="U36" s="775">
        <f t="shared" si="11"/>
        <v>100</v>
      </c>
      <c r="V36" s="774" t="s">
        <v>17</v>
      </c>
      <c r="W36" s="775">
        <f t="shared" si="12"/>
        <v>100</v>
      </c>
      <c r="X36" s="1812"/>
      <c r="Y36" s="3178" t="s">
        <v>2562</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09">
        <f t="shared" si="8"/>
        <v>111</v>
      </c>
      <c r="R37" s="777" t="s">
        <v>17</v>
      </c>
      <c r="S37" s="778">
        <f t="shared" si="10"/>
        <v>100</v>
      </c>
      <c r="T37" s="777" t="s">
        <v>17</v>
      </c>
      <c r="U37" s="778">
        <f t="shared" si="11"/>
        <v>100</v>
      </c>
      <c r="V37" s="777" t="s">
        <v>17</v>
      </c>
      <c r="W37" s="778">
        <f t="shared" si="12"/>
        <v>100</v>
      </c>
      <c r="X37" s="779"/>
      <c r="Y37" s="3178"/>
      <c r="Z37" s="780">
        <f t="shared" si="13"/>
        <v>111</v>
      </c>
      <c r="AA37" s="1810">
        <f t="shared" si="3"/>
        <v>1</v>
      </c>
      <c r="AB37" s="1810">
        <f t="shared" si="4"/>
        <v>1</v>
      </c>
      <c r="AC37" s="1810">
        <f t="shared" si="5"/>
        <v>1</v>
      </c>
    </row>
    <row r="38" spans="1:29" ht="15">
      <c r="A38" s="472" t="s">
        <v>2560</v>
      </c>
      <c r="B38" s="456" t="s">
        <v>2748</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178"/>
      <c r="Q38" s="1809" t="str">
        <f>B38</f>
        <v>宗地面积</v>
      </c>
      <c r="R38" s="774" t="s">
        <v>17</v>
      </c>
      <c r="S38" s="775">
        <f t="shared" si="10"/>
        <v>100</v>
      </c>
      <c r="T38" s="774" t="s">
        <v>17</v>
      </c>
      <c r="U38" s="775">
        <f t="shared" si="11"/>
        <v>100</v>
      </c>
      <c r="V38" s="774" t="s">
        <v>17</v>
      </c>
      <c r="W38" s="775">
        <f t="shared" si="12"/>
        <v>100</v>
      </c>
      <c r="X38" s="1812"/>
      <c r="Y38" s="3178"/>
      <c r="Z38" s="1813" t="str">
        <f t="shared" si="13"/>
        <v>宗地面积</v>
      </c>
      <c r="AA38" s="1810">
        <f t="shared" si="3"/>
        <v>1</v>
      </c>
      <c r="AB38" s="1810">
        <f t="shared" si="4"/>
        <v>1</v>
      </c>
      <c r="AC38" s="1810">
        <f t="shared" si="5"/>
        <v>1</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78"/>
      <c r="Q39" s="1809" t="str">
        <f t="shared" ref="Q39:Q45" si="14">B39</f>
        <v>宗地形状</v>
      </c>
      <c r="R39" s="774" t="s">
        <v>17</v>
      </c>
      <c r="S39" s="775">
        <f t="shared" si="10"/>
        <v>100</v>
      </c>
      <c r="T39" s="774" t="s">
        <v>17</v>
      </c>
      <c r="U39" s="775">
        <f t="shared" si="11"/>
        <v>100</v>
      </c>
      <c r="V39" s="774" t="s">
        <v>17</v>
      </c>
      <c r="W39" s="775">
        <f t="shared" si="12"/>
        <v>100</v>
      </c>
      <c r="X39" s="1812"/>
      <c r="Y39" s="3178"/>
      <c r="Z39" s="1813" t="str">
        <f t="shared" si="13"/>
        <v>宗地形状</v>
      </c>
      <c r="AA39" s="1810">
        <f t="shared" si="3"/>
        <v>1</v>
      </c>
      <c r="AB39" s="1810">
        <f t="shared" si="4"/>
        <v>1</v>
      </c>
      <c r="AC39" s="1810">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78"/>
      <c r="Q40" s="1809" t="str">
        <f t="shared" si="14"/>
        <v>临街宽度及深度</v>
      </c>
      <c r="R40" s="774" t="s">
        <v>17</v>
      </c>
      <c r="S40" s="775">
        <f t="shared" si="10"/>
        <v>100</v>
      </c>
      <c r="T40" s="774" t="s">
        <v>17</v>
      </c>
      <c r="U40" s="775">
        <f t="shared" si="11"/>
        <v>100</v>
      </c>
      <c r="V40" s="774" t="s">
        <v>17</v>
      </c>
      <c r="W40" s="775">
        <f t="shared" si="12"/>
        <v>100</v>
      </c>
      <c r="X40" s="1812"/>
      <c r="Y40" s="3178"/>
      <c r="Z40" s="1813" t="str">
        <f t="shared" si="13"/>
        <v>临街宽度及深度</v>
      </c>
      <c r="AA40" s="1810">
        <f t="shared" si="3"/>
        <v>1</v>
      </c>
      <c r="AB40" s="1810">
        <f t="shared" si="4"/>
        <v>1</v>
      </c>
      <c r="AC40" s="1810">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78"/>
      <c r="Q41" s="1809"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78" t="s">
        <v>2562</v>
      </c>
      <c r="Q42" s="1809" t="str">
        <f t="shared" si="14"/>
        <v>工程地质条件</v>
      </c>
      <c r="R42" s="774" t="s">
        <v>17</v>
      </c>
      <c r="S42" s="775">
        <f t="shared" si="10"/>
        <v>100</v>
      </c>
      <c r="T42" s="774" t="s">
        <v>17</v>
      </c>
      <c r="U42" s="775">
        <f t="shared" si="11"/>
        <v>100</v>
      </c>
      <c r="V42" s="774" t="s">
        <v>17</v>
      </c>
      <c r="W42" s="775">
        <f t="shared" si="12"/>
        <v>100</v>
      </c>
      <c r="X42" s="1812"/>
      <c r="Y42" s="3178" t="s">
        <v>2562</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09">
        <f t="shared" si="14"/>
        <v>111</v>
      </c>
      <c r="R43" s="774" t="s">
        <v>17</v>
      </c>
      <c r="S43" s="775">
        <f t="shared" si="10"/>
        <v>100</v>
      </c>
      <c r="T43" s="774" t="s">
        <v>17</v>
      </c>
      <c r="U43" s="775">
        <f t="shared" si="11"/>
        <v>100</v>
      </c>
      <c r="V43" s="774" t="s">
        <v>17</v>
      </c>
      <c r="W43" s="775">
        <f t="shared" si="12"/>
        <v>100</v>
      </c>
      <c r="X43" s="1812"/>
      <c r="Y43" s="317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09">
        <f t="shared" si="14"/>
        <v>111</v>
      </c>
      <c r="R44" s="774" t="s">
        <v>17</v>
      </c>
      <c r="S44" s="775">
        <f t="shared" si="10"/>
        <v>100</v>
      </c>
      <c r="T44" s="774" t="s">
        <v>17</v>
      </c>
      <c r="U44" s="775">
        <f t="shared" si="11"/>
        <v>100</v>
      </c>
      <c r="V44" s="774" t="s">
        <v>17</v>
      </c>
      <c r="W44" s="775">
        <f t="shared" si="12"/>
        <v>100</v>
      </c>
      <c r="X44" s="1812"/>
      <c r="Y44" s="3178"/>
      <c r="Z44" s="1813">
        <f t="shared" si="13"/>
        <v>111</v>
      </c>
      <c r="AA44" s="1810">
        <f t="shared" si="3"/>
        <v>1</v>
      </c>
      <c r="AB44" s="1810">
        <f t="shared" si="4"/>
        <v>1</v>
      </c>
      <c r="AC44" s="1810">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09">
        <f t="shared" si="14"/>
        <v>111</v>
      </c>
      <c r="R45" s="777" t="s">
        <v>17</v>
      </c>
      <c r="S45" s="778">
        <f t="shared" si="10"/>
        <v>100</v>
      </c>
      <c r="T45" s="777" t="s">
        <v>17</v>
      </c>
      <c r="U45" s="778">
        <f t="shared" si="11"/>
        <v>100</v>
      </c>
      <c r="V45" s="777" t="s">
        <v>17</v>
      </c>
      <c r="W45" s="778">
        <f t="shared" si="12"/>
        <v>100</v>
      </c>
      <c r="X45" s="779"/>
      <c r="Y45" s="3178"/>
      <c r="Z45" s="780">
        <f t="shared" si="13"/>
        <v>111</v>
      </c>
      <c r="AA45" s="1810">
        <f t="shared" si="3"/>
        <v>1</v>
      </c>
      <c r="AB45" s="1810">
        <f t="shared" si="4"/>
        <v>1</v>
      </c>
      <c r="AC45" s="1810">
        <f t="shared" si="5"/>
        <v>1</v>
      </c>
    </row>
    <row r="46" spans="1:29" ht="15">
      <c r="A46" s="479" t="s">
        <v>2717</v>
      </c>
      <c r="B46" s="2705" t="s">
        <v>3214</v>
      </c>
      <c r="C46" s="682" t="s">
        <v>1</v>
      </c>
      <c r="D46" s="481"/>
      <c r="E46" s="482">
        <v>900</v>
      </c>
      <c r="F46" s="483"/>
      <c r="G46" s="484">
        <v>900</v>
      </c>
      <c r="H46" s="485"/>
      <c r="I46" s="482">
        <v>900</v>
      </c>
      <c r="J46" s="485"/>
      <c r="K46" s="783"/>
      <c r="L46" s="1143"/>
      <c r="M46" s="1144"/>
      <c r="N46" s="1131"/>
      <c r="O46" s="1144"/>
      <c r="P46" s="3160" t="str">
        <f>A46</f>
        <v>成交单价</v>
      </c>
      <c r="Q46" s="3160"/>
      <c r="R46" s="3173">
        <f>E46</f>
        <v>900</v>
      </c>
      <c r="S46" s="3173"/>
      <c r="T46" s="3173">
        <f>G46</f>
        <v>900</v>
      </c>
      <c r="U46" s="3173"/>
      <c r="V46" s="3173">
        <f>I46</f>
        <v>900</v>
      </c>
      <c r="W46" s="3173"/>
      <c r="X46" s="759"/>
      <c r="Y46" s="781"/>
      <c r="Z46" s="759"/>
      <c r="AA46" s="759"/>
      <c r="AB46" s="759"/>
      <c r="AC46" s="759"/>
    </row>
    <row r="47" spans="1:29" ht="15.75" thickBot="1">
      <c r="A47" s="486" t="s">
        <v>2666</v>
      </c>
      <c r="B47" s="683"/>
      <c r="C47" s="490">
        <f>R48</f>
        <v>841</v>
      </c>
      <c r="D47" s="489"/>
      <c r="E47" s="490">
        <f>R47</f>
        <v>841</v>
      </c>
      <c r="F47" s="491"/>
      <c r="G47" s="488">
        <f>T47</f>
        <v>841</v>
      </c>
      <c r="H47" s="489"/>
      <c r="I47" s="490">
        <f>V47</f>
        <v>841</v>
      </c>
      <c r="J47" s="489"/>
      <c r="K47" s="784"/>
      <c r="L47" s="1143"/>
      <c r="M47" s="1144"/>
      <c r="N47" s="1144"/>
      <c r="O47" s="1144"/>
      <c r="P47" s="3160" t="str">
        <f>A47</f>
        <v>比较价值（元/平方米）</v>
      </c>
      <c r="Q47" s="3160"/>
      <c r="R47" s="3179">
        <f>ROUND(PRODUCT(R46,AA7:AA45),0)</f>
        <v>841</v>
      </c>
      <c r="S47" s="3179"/>
      <c r="T47" s="3179">
        <f>ROUND(PRODUCT(T46,AB7:AB45),0)</f>
        <v>841</v>
      </c>
      <c r="U47" s="3179"/>
      <c r="V47" s="3179">
        <f>ROUND(PRODUCT(V46,AC7:AC45),0)</f>
        <v>841</v>
      </c>
      <c r="W47" s="3179"/>
      <c r="X47" s="759"/>
      <c r="Y47" s="759"/>
      <c r="Z47" s="759"/>
      <c r="AA47" s="759"/>
      <c r="AB47" s="759"/>
      <c r="AC47" s="759"/>
    </row>
    <row r="48" spans="1:29" ht="15.75" thickBot="1">
      <c r="A48" s="492" t="s">
        <v>2753</v>
      </c>
      <c r="B48" s="493"/>
      <c r="C48" s="494">
        <f>R48</f>
        <v>841</v>
      </c>
      <c r="D48" s="494"/>
      <c r="E48" s="494"/>
      <c r="F48" s="494"/>
      <c r="G48" s="494"/>
      <c r="H48" s="494"/>
      <c r="I48" s="494"/>
      <c r="J48" s="494"/>
      <c r="K48" s="785"/>
      <c r="L48" s="1143"/>
      <c r="M48" s="1144"/>
      <c r="N48" s="1144"/>
      <c r="O48" s="1144"/>
      <c r="P48" s="3180" t="str">
        <f>A48</f>
        <v>估价对象XX用房的比较价值（楼面单价，元/平方米）</v>
      </c>
      <c r="Q48" s="3181"/>
      <c r="R48" s="3182">
        <f>ROUND(AVERAGE(R47:V47),0)</f>
        <v>841</v>
      </c>
      <c r="S48" s="3182"/>
      <c r="T48" s="3182"/>
      <c r="U48" s="3182"/>
      <c r="V48" s="3182"/>
      <c r="W48" s="31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f>IF(E46&lt;E47,E47/E46-1,E46/E47-1)</f>
        <v>7.0154577883472014E-2</v>
      </c>
      <c r="F51" s="500" t="str">
        <f>IF(OR(E51&gt;=0.3,E51&lt;=-0.3),"超过30%","")</f>
        <v/>
      </c>
      <c r="G51" s="499">
        <f>IF(G46&lt;G47,G47/G46-1,G46/G47-1)</f>
        <v>7.0154577883472014E-2</v>
      </c>
      <c r="H51" s="500" t="str">
        <f>IF(OR(G51&gt;=0.3,G51&lt;=-0.3),"超过30%","")</f>
        <v/>
      </c>
      <c r="I51" s="499">
        <f>IF(I46&lt;I47,I47/I46-1,I46/I47-1)</f>
        <v>7.0154577883472014E-2</v>
      </c>
      <c r="J51" s="500" t="str">
        <f>IF(OR(I51&gt;=0.3,I51&lt;=-0.3),"超过30%","")</f>
        <v/>
      </c>
      <c r="K51" s="1105"/>
      <c r="L51" s="1106"/>
      <c r="M51" s="1144"/>
      <c r="N51" s="1144"/>
      <c r="O51" s="1144"/>
    </row>
    <row r="52" spans="1:15" ht="13.5" customHeight="1">
      <c r="A52" s="1144"/>
      <c r="B52" s="1144"/>
      <c r="C52" s="497" t="s">
        <v>2669</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2670</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161" t="s">
        <v>2760</v>
      </c>
      <c r="H55" s="3183"/>
      <c r="I55" s="144" t="s">
        <v>2761</v>
      </c>
      <c r="J55" s="2708">
        <f>项目基本情况!F35</f>
        <v>0</v>
      </c>
      <c r="K55" s="2709" t="s">
        <v>2762</v>
      </c>
      <c r="L55" s="1106"/>
      <c r="M55" s="1144"/>
      <c r="N55" s="1144"/>
      <c r="O55" s="1144"/>
    </row>
    <row r="56" spans="1:15" s="692" customFormat="1">
      <c r="A56" s="688" t="s">
        <v>2763</v>
      </c>
      <c r="B56" s="689">
        <f>C48</f>
        <v>841</v>
      </c>
      <c r="C56" s="690">
        <v>1</v>
      </c>
      <c r="D56" s="1163">
        <v>1</v>
      </c>
      <c r="E56" s="690">
        <f>'数据-汇总表'!E8+'数据-汇总表'!E9</f>
        <v>1526.7</v>
      </c>
      <c r="F56" s="1103">
        <f t="shared" ref="F56:F65" si="15">ROUND(B56*E56/10000,0)</f>
        <v>128</v>
      </c>
      <c r="G56" s="3184"/>
      <c r="H56" s="3160"/>
      <c r="I56" s="1108">
        <v>1</v>
      </c>
      <c r="J56" s="1111">
        <v>1</v>
      </c>
      <c r="K56" s="1145"/>
      <c r="L56" s="941"/>
      <c r="M56" s="941"/>
      <c r="N56" s="941"/>
      <c r="O56" s="941"/>
    </row>
    <row r="57" spans="1:15" s="692" customFormat="1">
      <c r="A57" s="693" t="s">
        <v>2764</v>
      </c>
      <c r="B57" s="262">
        <f>ROUND($C$48*C57*D57,0)</f>
        <v>0</v>
      </c>
      <c r="C57" s="200">
        <f t="shared" ref="C57:C65" si="16">IF($C$55="北京市系数",I57,J57)</f>
        <v>0</v>
      </c>
      <c r="D57" s="1164">
        <v>0.25</v>
      </c>
      <c r="E57" s="694"/>
      <c r="F57" s="1103">
        <f t="shared" si="15"/>
        <v>0</v>
      </c>
      <c r="G57" s="3185" t="s">
        <v>2765</v>
      </c>
      <c r="H57" s="1104">
        <f>项目基本情况!B37</f>
        <v>0</v>
      </c>
      <c r="I57" s="1108">
        <f>SUMIF(修正!A45:A56,H57,修正!B45:B56)</f>
        <v>0</v>
      </c>
      <c r="J57" s="1112"/>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185"/>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185"/>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185"/>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10"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11"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1526.7</v>
      </c>
      <c r="F66" s="697">
        <f>IF(B46="楼面地价",SUM(F56:F65),ROUND(C48*E66/10000,0))</f>
        <v>128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3" t="s">
        <v>2779</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2787</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F1" workbookViewId="0">
      <selection activeCell="F1" sqref="A1:XFD1048576"/>
    </sheetView>
  </sheetViews>
  <sheetFormatPr defaultRowHeight="13.5"/>
  <cols>
    <col min="1" max="1" width="35.375" style="1634" customWidth="1"/>
    <col min="2" max="2" width="6.25" style="1634" customWidth="1"/>
    <col min="3" max="3" width="11.75" style="1634" customWidth="1"/>
    <col min="4" max="4" width="7.875" style="1634" customWidth="1"/>
    <col min="5" max="6" width="13.875" style="1634" customWidth="1"/>
    <col min="7" max="7" width="28.125" style="1634" customWidth="1"/>
    <col min="8" max="8" width="9" style="1634" customWidth="1"/>
    <col min="9" max="9" width="37.625" style="1634" customWidth="1"/>
    <col min="10" max="11" width="10.625" style="1634" customWidth="1"/>
    <col min="12" max="12" width="16" style="1634" customWidth="1"/>
    <col min="13" max="13" width="14.375" style="1634" customWidth="1"/>
    <col min="14" max="14" width="6.25" style="1634" customWidth="1"/>
    <col min="15" max="15" width="7.875" style="1634" customWidth="1"/>
    <col min="16" max="256" width="9" style="1634"/>
    <col min="257" max="257" width="35.375" style="1634" customWidth="1"/>
    <col min="258" max="258" width="6.25" style="1634" customWidth="1"/>
    <col min="259" max="259" width="11.75" style="1634" customWidth="1"/>
    <col min="260" max="260" width="7.875" style="1634" customWidth="1"/>
    <col min="261" max="262" width="13.875" style="1634" customWidth="1"/>
    <col min="263" max="263" width="24" style="1634" customWidth="1"/>
    <col min="264" max="264" width="9" style="1634" customWidth="1"/>
    <col min="265" max="265" width="37.625" style="1634" customWidth="1"/>
    <col min="266" max="267" width="10.625" style="1634" customWidth="1"/>
    <col min="268" max="268" width="16" style="1634" customWidth="1"/>
    <col min="269" max="269" width="14.375" style="1634" customWidth="1"/>
    <col min="270" max="270" width="6.25" style="1634" customWidth="1"/>
    <col min="271" max="271" width="7.875" style="1634" customWidth="1"/>
    <col min="272" max="512" width="9" style="1634"/>
    <col min="513" max="513" width="35.375" style="1634" customWidth="1"/>
    <col min="514" max="514" width="6.25" style="1634" customWidth="1"/>
    <col min="515" max="515" width="11.75" style="1634" customWidth="1"/>
    <col min="516" max="516" width="7.875" style="1634" customWidth="1"/>
    <col min="517" max="518" width="13.875" style="1634" customWidth="1"/>
    <col min="519" max="519" width="24" style="1634" customWidth="1"/>
    <col min="520" max="520" width="9" style="1634" customWidth="1"/>
    <col min="521" max="521" width="37.625" style="1634" customWidth="1"/>
    <col min="522" max="523" width="10.625" style="1634" customWidth="1"/>
    <col min="524" max="524" width="16" style="1634" customWidth="1"/>
    <col min="525" max="525" width="14.375" style="1634" customWidth="1"/>
    <col min="526" max="526" width="6.25" style="1634" customWidth="1"/>
    <col min="527" max="527" width="7.875" style="1634" customWidth="1"/>
    <col min="528" max="768" width="9" style="1634"/>
    <col min="769" max="769" width="35.375" style="1634" customWidth="1"/>
    <col min="770" max="770" width="6.25" style="1634" customWidth="1"/>
    <col min="771" max="771" width="11.75" style="1634" customWidth="1"/>
    <col min="772" max="772" width="7.875" style="1634" customWidth="1"/>
    <col min="773" max="774" width="13.875" style="1634" customWidth="1"/>
    <col min="775" max="775" width="24" style="1634" customWidth="1"/>
    <col min="776" max="776" width="9" style="1634" customWidth="1"/>
    <col min="777" max="777" width="37.625" style="1634" customWidth="1"/>
    <col min="778" max="779" width="10.625" style="1634" customWidth="1"/>
    <col min="780" max="780" width="16" style="1634" customWidth="1"/>
    <col min="781" max="781" width="14.375" style="1634" customWidth="1"/>
    <col min="782" max="782" width="6.25" style="1634" customWidth="1"/>
    <col min="783" max="783" width="7.875" style="1634" customWidth="1"/>
    <col min="784" max="1024" width="9" style="1634"/>
    <col min="1025" max="1025" width="35.375" style="1634" customWidth="1"/>
    <col min="1026" max="1026" width="6.25" style="1634" customWidth="1"/>
    <col min="1027" max="1027" width="11.75" style="1634" customWidth="1"/>
    <col min="1028" max="1028" width="7.875" style="1634" customWidth="1"/>
    <col min="1029" max="1030" width="13.875" style="1634" customWidth="1"/>
    <col min="1031" max="1031" width="24" style="1634" customWidth="1"/>
    <col min="1032" max="1032" width="9" style="1634" customWidth="1"/>
    <col min="1033" max="1033" width="37.625" style="1634" customWidth="1"/>
    <col min="1034" max="1035" width="10.625" style="1634" customWidth="1"/>
    <col min="1036" max="1036" width="16" style="1634" customWidth="1"/>
    <col min="1037" max="1037" width="14.375" style="1634" customWidth="1"/>
    <col min="1038" max="1038" width="6.25" style="1634" customWidth="1"/>
    <col min="1039" max="1039" width="7.875" style="1634" customWidth="1"/>
    <col min="1040" max="1280" width="9" style="1634"/>
    <col min="1281" max="1281" width="35.375" style="1634" customWidth="1"/>
    <col min="1282" max="1282" width="6.25" style="1634" customWidth="1"/>
    <col min="1283" max="1283" width="11.75" style="1634" customWidth="1"/>
    <col min="1284" max="1284" width="7.875" style="1634" customWidth="1"/>
    <col min="1285" max="1286" width="13.875" style="1634" customWidth="1"/>
    <col min="1287" max="1287" width="24" style="1634" customWidth="1"/>
    <col min="1288" max="1288" width="9" style="1634" customWidth="1"/>
    <col min="1289" max="1289" width="37.625" style="1634" customWidth="1"/>
    <col min="1290" max="1291" width="10.625" style="1634" customWidth="1"/>
    <col min="1292" max="1292" width="16" style="1634" customWidth="1"/>
    <col min="1293" max="1293" width="14.375" style="1634" customWidth="1"/>
    <col min="1294" max="1294" width="6.25" style="1634" customWidth="1"/>
    <col min="1295" max="1295" width="7.875" style="1634" customWidth="1"/>
    <col min="1296" max="1536" width="9" style="1634"/>
    <col min="1537" max="1537" width="35.375" style="1634" customWidth="1"/>
    <col min="1538" max="1538" width="6.25" style="1634" customWidth="1"/>
    <col min="1539" max="1539" width="11.75" style="1634" customWidth="1"/>
    <col min="1540" max="1540" width="7.875" style="1634" customWidth="1"/>
    <col min="1541" max="1542" width="13.875" style="1634" customWidth="1"/>
    <col min="1543" max="1543" width="24" style="1634" customWidth="1"/>
    <col min="1544" max="1544" width="9" style="1634" customWidth="1"/>
    <col min="1545" max="1545" width="37.625" style="1634" customWidth="1"/>
    <col min="1546" max="1547" width="10.625" style="1634" customWidth="1"/>
    <col min="1548" max="1548" width="16" style="1634" customWidth="1"/>
    <col min="1549" max="1549" width="14.375" style="1634" customWidth="1"/>
    <col min="1550" max="1550" width="6.25" style="1634" customWidth="1"/>
    <col min="1551" max="1551" width="7.875" style="1634" customWidth="1"/>
    <col min="1552" max="1792" width="9" style="1634"/>
    <col min="1793" max="1793" width="35.375" style="1634" customWidth="1"/>
    <col min="1794" max="1794" width="6.25" style="1634" customWidth="1"/>
    <col min="1795" max="1795" width="11.75" style="1634" customWidth="1"/>
    <col min="1796" max="1796" width="7.875" style="1634" customWidth="1"/>
    <col min="1797" max="1798" width="13.875" style="1634" customWidth="1"/>
    <col min="1799" max="1799" width="24" style="1634" customWidth="1"/>
    <col min="1800" max="1800" width="9" style="1634" customWidth="1"/>
    <col min="1801" max="1801" width="37.625" style="1634" customWidth="1"/>
    <col min="1802" max="1803" width="10.625" style="1634" customWidth="1"/>
    <col min="1804" max="1804" width="16" style="1634" customWidth="1"/>
    <col min="1805" max="1805" width="14.375" style="1634" customWidth="1"/>
    <col min="1806" max="1806" width="6.25" style="1634" customWidth="1"/>
    <col min="1807" max="1807" width="7.875" style="1634" customWidth="1"/>
    <col min="1808" max="2048" width="9" style="1634"/>
    <col min="2049" max="2049" width="35.375" style="1634" customWidth="1"/>
    <col min="2050" max="2050" width="6.25" style="1634" customWidth="1"/>
    <col min="2051" max="2051" width="11.75" style="1634" customWidth="1"/>
    <col min="2052" max="2052" width="7.875" style="1634" customWidth="1"/>
    <col min="2053" max="2054" width="13.875" style="1634" customWidth="1"/>
    <col min="2055" max="2055" width="24" style="1634" customWidth="1"/>
    <col min="2056" max="2056" width="9" style="1634" customWidth="1"/>
    <col min="2057" max="2057" width="37.625" style="1634" customWidth="1"/>
    <col min="2058" max="2059" width="10.625" style="1634" customWidth="1"/>
    <col min="2060" max="2060" width="16" style="1634" customWidth="1"/>
    <col min="2061" max="2061" width="14.375" style="1634" customWidth="1"/>
    <col min="2062" max="2062" width="6.25" style="1634" customWidth="1"/>
    <col min="2063" max="2063" width="7.875" style="1634" customWidth="1"/>
    <col min="2064" max="2304" width="9" style="1634"/>
    <col min="2305" max="2305" width="35.375" style="1634" customWidth="1"/>
    <col min="2306" max="2306" width="6.25" style="1634" customWidth="1"/>
    <col min="2307" max="2307" width="11.75" style="1634" customWidth="1"/>
    <col min="2308" max="2308" width="7.875" style="1634" customWidth="1"/>
    <col min="2309" max="2310" width="13.875" style="1634" customWidth="1"/>
    <col min="2311" max="2311" width="24" style="1634" customWidth="1"/>
    <col min="2312" max="2312" width="9" style="1634" customWidth="1"/>
    <col min="2313" max="2313" width="37.625" style="1634" customWidth="1"/>
    <col min="2314" max="2315" width="10.625" style="1634" customWidth="1"/>
    <col min="2316" max="2316" width="16" style="1634" customWidth="1"/>
    <col min="2317" max="2317" width="14.375" style="1634" customWidth="1"/>
    <col min="2318" max="2318" width="6.25" style="1634" customWidth="1"/>
    <col min="2319" max="2319" width="7.875" style="1634" customWidth="1"/>
    <col min="2320" max="2560" width="9" style="1634"/>
    <col min="2561" max="2561" width="35.375" style="1634" customWidth="1"/>
    <col min="2562" max="2562" width="6.25" style="1634" customWidth="1"/>
    <col min="2563" max="2563" width="11.75" style="1634" customWidth="1"/>
    <col min="2564" max="2564" width="7.875" style="1634" customWidth="1"/>
    <col min="2565" max="2566" width="13.875" style="1634" customWidth="1"/>
    <col min="2567" max="2567" width="24" style="1634" customWidth="1"/>
    <col min="2568" max="2568" width="9" style="1634" customWidth="1"/>
    <col min="2569" max="2569" width="37.625" style="1634" customWidth="1"/>
    <col min="2570" max="2571" width="10.625" style="1634" customWidth="1"/>
    <col min="2572" max="2572" width="16" style="1634" customWidth="1"/>
    <col min="2573" max="2573" width="14.375" style="1634" customWidth="1"/>
    <col min="2574" max="2574" width="6.25" style="1634" customWidth="1"/>
    <col min="2575" max="2575" width="7.875" style="1634" customWidth="1"/>
    <col min="2576" max="2816" width="9" style="1634"/>
    <col min="2817" max="2817" width="35.375" style="1634" customWidth="1"/>
    <col min="2818" max="2818" width="6.25" style="1634" customWidth="1"/>
    <col min="2819" max="2819" width="11.75" style="1634" customWidth="1"/>
    <col min="2820" max="2820" width="7.875" style="1634" customWidth="1"/>
    <col min="2821" max="2822" width="13.875" style="1634" customWidth="1"/>
    <col min="2823" max="2823" width="24" style="1634" customWidth="1"/>
    <col min="2824" max="2824" width="9" style="1634" customWidth="1"/>
    <col min="2825" max="2825" width="37.625" style="1634" customWidth="1"/>
    <col min="2826" max="2827" width="10.625" style="1634" customWidth="1"/>
    <col min="2828" max="2828" width="16" style="1634" customWidth="1"/>
    <col min="2829" max="2829" width="14.375" style="1634" customWidth="1"/>
    <col min="2830" max="2830" width="6.25" style="1634" customWidth="1"/>
    <col min="2831" max="2831" width="7.875" style="1634" customWidth="1"/>
    <col min="2832" max="3072" width="9" style="1634"/>
    <col min="3073" max="3073" width="35.375" style="1634" customWidth="1"/>
    <col min="3074" max="3074" width="6.25" style="1634" customWidth="1"/>
    <col min="3075" max="3075" width="11.75" style="1634" customWidth="1"/>
    <col min="3076" max="3076" width="7.875" style="1634" customWidth="1"/>
    <col min="3077" max="3078" width="13.875" style="1634" customWidth="1"/>
    <col min="3079" max="3079" width="24" style="1634" customWidth="1"/>
    <col min="3080" max="3080" width="9" style="1634" customWidth="1"/>
    <col min="3081" max="3081" width="37.625" style="1634" customWidth="1"/>
    <col min="3082" max="3083" width="10.625" style="1634" customWidth="1"/>
    <col min="3084" max="3084" width="16" style="1634" customWidth="1"/>
    <col min="3085" max="3085" width="14.375" style="1634" customWidth="1"/>
    <col min="3086" max="3086" width="6.25" style="1634" customWidth="1"/>
    <col min="3087" max="3087" width="7.875" style="1634" customWidth="1"/>
    <col min="3088" max="3328" width="9" style="1634"/>
    <col min="3329" max="3329" width="35.375" style="1634" customWidth="1"/>
    <col min="3330" max="3330" width="6.25" style="1634" customWidth="1"/>
    <col min="3331" max="3331" width="11.75" style="1634" customWidth="1"/>
    <col min="3332" max="3332" width="7.875" style="1634" customWidth="1"/>
    <col min="3333" max="3334" width="13.875" style="1634" customWidth="1"/>
    <col min="3335" max="3335" width="24" style="1634" customWidth="1"/>
    <col min="3336" max="3336" width="9" style="1634" customWidth="1"/>
    <col min="3337" max="3337" width="37.625" style="1634" customWidth="1"/>
    <col min="3338" max="3339" width="10.625" style="1634" customWidth="1"/>
    <col min="3340" max="3340" width="16" style="1634" customWidth="1"/>
    <col min="3341" max="3341" width="14.375" style="1634" customWidth="1"/>
    <col min="3342" max="3342" width="6.25" style="1634" customWidth="1"/>
    <col min="3343" max="3343" width="7.875" style="1634" customWidth="1"/>
    <col min="3344" max="3584" width="9" style="1634"/>
    <col min="3585" max="3585" width="35.375" style="1634" customWidth="1"/>
    <col min="3586" max="3586" width="6.25" style="1634" customWidth="1"/>
    <col min="3587" max="3587" width="11.75" style="1634" customWidth="1"/>
    <col min="3588" max="3588" width="7.875" style="1634" customWidth="1"/>
    <col min="3589" max="3590" width="13.875" style="1634" customWidth="1"/>
    <col min="3591" max="3591" width="24" style="1634" customWidth="1"/>
    <col min="3592" max="3592" width="9" style="1634" customWidth="1"/>
    <col min="3593" max="3593" width="37.625" style="1634" customWidth="1"/>
    <col min="3594" max="3595" width="10.625" style="1634" customWidth="1"/>
    <col min="3596" max="3596" width="16" style="1634" customWidth="1"/>
    <col min="3597" max="3597" width="14.375" style="1634" customWidth="1"/>
    <col min="3598" max="3598" width="6.25" style="1634" customWidth="1"/>
    <col min="3599" max="3599" width="7.875" style="1634" customWidth="1"/>
    <col min="3600" max="3840" width="9" style="1634"/>
    <col min="3841" max="3841" width="35.375" style="1634" customWidth="1"/>
    <col min="3842" max="3842" width="6.25" style="1634" customWidth="1"/>
    <col min="3843" max="3843" width="11.75" style="1634" customWidth="1"/>
    <col min="3844" max="3844" width="7.875" style="1634" customWidth="1"/>
    <col min="3845" max="3846" width="13.875" style="1634" customWidth="1"/>
    <col min="3847" max="3847" width="24" style="1634" customWidth="1"/>
    <col min="3848" max="3848" width="9" style="1634" customWidth="1"/>
    <col min="3849" max="3849" width="37.625" style="1634" customWidth="1"/>
    <col min="3850" max="3851" width="10.625" style="1634" customWidth="1"/>
    <col min="3852" max="3852" width="16" style="1634" customWidth="1"/>
    <col min="3853" max="3853" width="14.375" style="1634" customWidth="1"/>
    <col min="3854" max="3854" width="6.25" style="1634" customWidth="1"/>
    <col min="3855" max="3855" width="7.875" style="1634" customWidth="1"/>
    <col min="3856" max="4096" width="9" style="1634"/>
    <col min="4097" max="4097" width="35.375" style="1634" customWidth="1"/>
    <col min="4098" max="4098" width="6.25" style="1634" customWidth="1"/>
    <col min="4099" max="4099" width="11.75" style="1634" customWidth="1"/>
    <col min="4100" max="4100" width="7.875" style="1634" customWidth="1"/>
    <col min="4101" max="4102" width="13.875" style="1634" customWidth="1"/>
    <col min="4103" max="4103" width="24" style="1634" customWidth="1"/>
    <col min="4104" max="4104" width="9" style="1634" customWidth="1"/>
    <col min="4105" max="4105" width="37.625" style="1634" customWidth="1"/>
    <col min="4106" max="4107" width="10.625" style="1634" customWidth="1"/>
    <col min="4108" max="4108" width="16" style="1634" customWidth="1"/>
    <col min="4109" max="4109" width="14.375" style="1634" customWidth="1"/>
    <col min="4110" max="4110" width="6.25" style="1634" customWidth="1"/>
    <col min="4111" max="4111" width="7.875" style="1634" customWidth="1"/>
    <col min="4112" max="4352" width="9" style="1634"/>
    <col min="4353" max="4353" width="35.375" style="1634" customWidth="1"/>
    <col min="4354" max="4354" width="6.25" style="1634" customWidth="1"/>
    <col min="4355" max="4355" width="11.75" style="1634" customWidth="1"/>
    <col min="4356" max="4356" width="7.875" style="1634" customWidth="1"/>
    <col min="4357" max="4358" width="13.875" style="1634" customWidth="1"/>
    <col min="4359" max="4359" width="24" style="1634" customWidth="1"/>
    <col min="4360" max="4360" width="9" style="1634" customWidth="1"/>
    <col min="4361" max="4361" width="37.625" style="1634" customWidth="1"/>
    <col min="4362" max="4363" width="10.625" style="1634" customWidth="1"/>
    <col min="4364" max="4364" width="16" style="1634" customWidth="1"/>
    <col min="4365" max="4365" width="14.375" style="1634" customWidth="1"/>
    <col min="4366" max="4366" width="6.25" style="1634" customWidth="1"/>
    <col min="4367" max="4367" width="7.875" style="1634" customWidth="1"/>
    <col min="4368" max="4608" width="9" style="1634"/>
    <col min="4609" max="4609" width="35.375" style="1634" customWidth="1"/>
    <col min="4610" max="4610" width="6.25" style="1634" customWidth="1"/>
    <col min="4611" max="4611" width="11.75" style="1634" customWidth="1"/>
    <col min="4612" max="4612" width="7.875" style="1634" customWidth="1"/>
    <col min="4613" max="4614" width="13.875" style="1634" customWidth="1"/>
    <col min="4615" max="4615" width="24" style="1634" customWidth="1"/>
    <col min="4616" max="4616" width="9" style="1634" customWidth="1"/>
    <col min="4617" max="4617" width="37.625" style="1634" customWidth="1"/>
    <col min="4618" max="4619" width="10.625" style="1634" customWidth="1"/>
    <col min="4620" max="4620" width="16" style="1634" customWidth="1"/>
    <col min="4621" max="4621" width="14.375" style="1634" customWidth="1"/>
    <col min="4622" max="4622" width="6.25" style="1634" customWidth="1"/>
    <col min="4623" max="4623" width="7.875" style="1634" customWidth="1"/>
    <col min="4624" max="4864" width="9" style="1634"/>
    <col min="4865" max="4865" width="35.375" style="1634" customWidth="1"/>
    <col min="4866" max="4866" width="6.25" style="1634" customWidth="1"/>
    <col min="4867" max="4867" width="11.75" style="1634" customWidth="1"/>
    <col min="4868" max="4868" width="7.875" style="1634" customWidth="1"/>
    <col min="4869" max="4870" width="13.875" style="1634" customWidth="1"/>
    <col min="4871" max="4871" width="24" style="1634" customWidth="1"/>
    <col min="4872" max="4872" width="9" style="1634" customWidth="1"/>
    <col min="4873" max="4873" width="37.625" style="1634" customWidth="1"/>
    <col min="4874" max="4875" width="10.625" style="1634" customWidth="1"/>
    <col min="4876" max="4876" width="16" style="1634" customWidth="1"/>
    <col min="4877" max="4877" width="14.375" style="1634" customWidth="1"/>
    <col min="4878" max="4878" width="6.25" style="1634" customWidth="1"/>
    <col min="4879" max="4879" width="7.875" style="1634" customWidth="1"/>
    <col min="4880" max="5120" width="9" style="1634"/>
    <col min="5121" max="5121" width="35.375" style="1634" customWidth="1"/>
    <col min="5122" max="5122" width="6.25" style="1634" customWidth="1"/>
    <col min="5123" max="5123" width="11.75" style="1634" customWidth="1"/>
    <col min="5124" max="5124" width="7.875" style="1634" customWidth="1"/>
    <col min="5125" max="5126" width="13.875" style="1634" customWidth="1"/>
    <col min="5127" max="5127" width="24" style="1634" customWidth="1"/>
    <col min="5128" max="5128" width="9" style="1634" customWidth="1"/>
    <col min="5129" max="5129" width="37.625" style="1634" customWidth="1"/>
    <col min="5130" max="5131" width="10.625" style="1634" customWidth="1"/>
    <col min="5132" max="5132" width="16" style="1634" customWidth="1"/>
    <col min="5133" max="5133" width="14.375" style="1634" customWidth="1"/>
    <col min="5134" max="5134" width="6.25" style="1634" customWidth="1"/>
    <col min="5135" max="5135" width="7.875" style="1634" customWidth="1"/>
    <col min="5136" max="5376" width="9" style="1634"/>
    <col min="5377" max="5377" width="35.375" style="1634" customWidth="1"/>
    <col min="5378" max="5378" width="6.25" style="1634" customWidth="1"/>
    <col min="5379" max="5379" width="11.75" style="1634" customWidth="1"/>
    <col min="5380" max="5380" width="7.875" style="1634" customWidth="1"/>
    <col min="5381" max="5382" width="13.875" style="1634" customWidth="1"/>
    <col min="5383" max="5383" width="24" style="1634" customWidth="1"/>
    <col min="5384" max="5384" width="9" style="1634" customWidth="1"/>
    <col min="5385" max="5385" width="37.625" style="1634" customWidth="1"/>
    <col min="5386" max="5387" width="10.625" style="1634" customWidth="1"/>
    <col min="5388" max="5388" width="16" style="1634" customWidth="1"/>
    <col min="5389" max="5389" width="14.375" style="1634" customWidth="1"/>
    <col min="5390" max="5390" width="6.25" style="1634" customWidth="1"/>
    <col min="5391" max="5391" width="7.875" style="1634" customWidth="1"/>
    <col min="5392" max="5632" width="9" style="1634"/>
    <col min="5633" max="5633" width="35.375" style="1634" customWidth="1"/>
    <col min="5634" max="5634" width="6.25" style="1634" customWidth="1"/>
    <col min="5635" max="5635" width="11.75" style="1634" customWidth="1"/>
    <col min="5636" max="5636" width="7.875" style="1634" customWidth="1"/>
    <col min="5637" max="5638" width="13.875" style="1634" customWidth="1"/>
    <col min="5639" max="5639" width="24" style="1634" customWidth="1"/>
    <col min="5640" max="5640" width="9" style="1634" customWidth="1"/>
    <col min="5641" max="5641" width="37.625" style="1634" customWidth="1"/>
    <col min="5642" max="5643" width="10.625" style="1634" customWidth="1"/>
    <col min="5644" max="5644" width="16" style="1634" customWidth="1"/>
    <col min="5645" max="5645" width="14.375" style="1634" customWidth="1"/>
    <col min="5646" max="5646" width="6.25" style="1634" customWidth="1"/>
    <col min="5647" max="5647" width="7.875" style="1634" customWidth="1"/>
    <col min="5648" max="5888" width="9" style="1634"/>
    <col min="5889" max="5889" width="35.375" style="1634" customWidth="1"/>
    <col min="5890" max="5890" width="6.25" style="1634" customWidth="1"/>
    <col min="5891" max="5891" width="11.75" style="1634" customWidth="1"/>
    <col min="5892" max="5892" width="7.875" style="1634" customWidth="1"/>
    <col min="5893" max="5894" width="13.875" style="1634" customWidth="1"/>
    <col min="5895" max="5895" width="24" style="1634" customWidth="1"/>
    <col min="5896" max="5896" width="9" style="1634" customWidth="1"/>
    <col min="5897" max="5897" width="37.625" style="1634" customWidth="1"/>
    <col min="5898" max="5899" width="10.625" style="1634" customWidth="1"/>
    <col min="5900" max="5900" width="16" style="1634" customWidth="1"/>
    <col min="5901" max="5901" width="14.375" style="1634" customWidth="1"/>
    <col min="5902" max="5902" width="6.25" style="1634" customWidth="1"/>
    <col min="5903" max="5903" width="7.875" style="1634" customWidth="1"/>
    <col min="5904" max="6144" width="9" style="1634"/>
    <col min="6145" max="6145" width="35.375" style="1634" customWidth="1"/>
    <col min="6146" max="6146" width="6.25" style="1634" customWidth="1"/>
    <col min="6147" max="6147" width="11.75" style="1634" customWidth="1"/>
    <col min="6148" max="6148" width="7.875" style="1634" customWidth="1"/>
    <col min="6149" max="6150" width="13.875" style="1634" customWidth="1"/>
    <col min="6151" max="6151" width="24" style="1634" customWidth="1"/>
    <col min="6152" max="6152" width="9" style="1634" customWidth="1"/>
    <col min="6153" max="6153" width="37.625" style="1634" customWidth="1"/>
    <col min="6154" max="6155" width="10.625" style="1634" customWidth="1"/>
    <col min="6156" max="6156" width="16" style="1634" customWidth="1"/>
    <col min="6157" max="6157" width="14.375" style="1634" customWidth="1"/>
    <col min="6158" max="6158" width="6.25" style="1634" customWidth="1"/>
    <col min="6159" max="6159" width="7.875" style="1634" customWidth="1"/>
    <col min="6160" max="6400" width="9" style="1634"/>
    <col min="6401" max="6401" width="35.375" style="1634" customWidth="1"/>
    <col min="6402" max="6402" width="6.25" style="1634" customWidth="1"/>
    <col min="6403" max="6403" width="11.75" style="1634" customWidth="1"/>
    <col min="6404" max="6404" width="7.875" style="1634" customWidth="1"/>
    <col min="6405" max="6406" width="13.875" style="1634" customWidth="1"/>
    <col min="6407" max="6407" width="24" style="1634" customWidth="1"/>
    <col min="6408" max="6408" width="9" style="1634" customWidth="1"/>
    <col min="6409" max="6409" width="37.625" style="1634" customWidth="1"/>
    <col min="6410" max="6411" width="10.625" style="1634" customWidth="1"/>
    <col min="6412" max="6412" width="16" style="1634" customWidth="1"/>
    <col min="6413" max="6413" width="14.375" style="1634" customWidth="1"/>
    <col min="6414" max="6414" width="6.25" style="1634" customWidth="1"/>
    <col min="6415" max="6415" width="7.875" style="1634" customWidth="1"/>
    <col min="6416" max="6656" width="9" style="1634"/>
    <col min="6657" max="6657" width="35.375" style="1634" customWidth="1"/>
    <col min="6658" max="6658" width="6.25" style="1634" customWidth="1"/>
    <col min="6659" max="6659" width="11.75" style="1634" customWidth="1"/>
    <col min="6660" max="6660" width="7.875" style="1634" customWidth="1"/>
    <col min="6661" max="6662" width="13.875" style="1634" customWidth="1"/>
    <col min="6663" max="6663" width="24" style="1634" customWidth="1"/>
    <col min="6664" max="6664" width="9" style="1634" customWidth="1"/>
    <col min="6665" max="6665" width="37.625" style="1634" customWidth="1"/>
    <col min="6666" max="6667" width="10.625" style="1634" customWidth="1"/>
    <col min="6668" max="6668" width="16" style="1634" customWidth="1"/>
    <col min="6669" max="6669" width="14.375" style="1634" customWidth="1"/>
    <col min="6670" max="6670" width="6.25" style="1634" customWidth="1"/>
    <col min="6671" max="6671" width="7.875" style="1634" customWidth="1"/>
    <col min="6672" max="6912" width="9" style="1634"/>
    <col min="6913" max="6913" width="35.375" style="1634" customWidth="1"/>
    <col min="6914" max="6914" width="6.25" style="1634" customWidth="1"/>
    <col min="6915" max="6915" width="11.75" style="1634" customWidth="1"/>
    <col min="6916" max="6916" width="7.875" style="1634" customWidth="1"/>
    <col min="6917" max="6918" width="13.875" style="1634" customWidth="1"/>
    <col min="6919" max="6919" width="24" style="1634" customWidth="1"/>
    <col min="6920" max="6920" width="9" style="1634" customWidth="1"/>
    <col min="6921" max="6921" width="37.625" style="1634" customWidth="1"/>
    <col min="6922" max="6923" width="10.625" style="1634" customWidth="1"/>
    <col min="6924" max="6924" width="16" style="1634" customWidth="1"/>
    <col min="6925" max="6925" width="14.375" style="1634" customWidth="1"/>
    <col min="6926" max="6926" width="6.25" style="1634" customWidth="1"/>
    <col min="6927" max="6927" width="7.875" style="1634" customWidth="1"/>
    <col min="6928" max="7168" width="9" style="1634"/>
    <col min="7169" max="7169" width="35.375" style="1634" customWidth="1"/>
    <col min="7170" max="7170" width="6.25" style="1634" customWidth="1"/>
    <col min="7171" max="7171" width="11.75" style="1634" customWidth="1"/>
    <col min="7172" max="7172" width="7.875" style="1634" customWidth="1"/>
    <col min="7173" max="7174" width="13.875" style="1634" customWidth="1"/>
    <col min="7175" max="7175" width="24" style="1634" customWidth="1"/>
    <col min="7176" max="7176" width="9" style="1634" customWidth="1"/>
    <col min="7177" max="7177" width="37.625" style="1634" customWidth="1"/>
    <col min="7178" max="7179" width="10.625" style="1634" customWidth="1"/>
    <col min="7180" max="7180" width="16" style="1634" customWidth="1"/>
    <col min="7181" max="7181" width="14.375" style="1634" customWidth="1"/>
    <col min="7182" max="7182" width="6.25" style="1634" customWidth="1"/>
    <col min="7183" max="7183" width="7.875" style="1634" customWidth="1"/>
    <col min="7184" max="7424" width="9" style="1634"/>
    <col min="7425" max="7425" width="35.375" style="1634" customWidth="1"/>
    <col min="7426" max="7426" width="6.25" style="1634" customWidth="1"/>
    <col min="7427" max="7427" width="11.75" style="1634" customWidth="1"/>
    <col min="7428" max="7428" width="7.875" style="1634" customWidth="1"/>
    <col min="7429" max="7430" width="13.875" style="1634" customWidth="1"/>
    <col min="7431" max="7431" width="24" style="1634" customWidth="1"/>
    <col min="7432" max="7432" width="9" style="1634" customWidth="1"/>
    <col min="7433" max="7433" width="37.625" style="1634" customWidth="1"/>
    <col min="7434" max="7435" width="10.625" style="1634" customWidth="1"/>
    <col min="7436" max="7436" width="16" style="1634" customWidth="1"/>
    <col min="7437" max="7437" width="14.375" style="1634" customWidth="1"/>
    <col min="7438" max="7438" width="6.25" style="1634" customWidth="1"/>
    <col min="7439" max="7439" width="7.875" style="1634" customWidth="1"/>
    <col min="7440" max="7680" width="9" style="1634"/>
    <col min="7681" max="7681" width="35.375" style="1634" customWidth="1"/>
    <col min="7682" max="7682" width="6.25" style="1634" customWidth="1"/>
    <col min="7683" max="7683" width="11.75" style="1634" customWidth="1"/>
    <col min="7684" max="7684" width="7.875" style="1634" customWidth="1"/>
    <col min="7685" max="7686" width="13.875" style="1634" customWidth="1"/>
    <col min="7687" max="7687" width="24" style="1634" customWidth="1"/>
    <col min="7688" max="7688" width="9" style="1634" customWidth="1"/>
    <col min="7689" max="7689" width="37.625" style="1634" customWidth="1"/>
    <col min="7690" max="7691" width="10.625" style="1634" customWidth="1"/>
    <col min="7692" max="7692" width="16" style="1634" customWidth="1"/>
    <col min="7693" max="7693" width="14.375" style="1634" customWidth="1"/>
    <col min="7694" max="7694" width="6.25" style="1634" customWidth="1"/>
    <col min="7695" max="7695" width="7.875" style="1634" customWidth="1"/>
    <col min="7696" max="7936" width="9" style="1634"/>
    <col min="7937" max="7937" width="35.375" style="1634" customWidth="1"/>
    <col min="7938" max="7938" width="6.25" style="1634" customWidth="1"/>
    <col min="7939" max="7939" width="11.75" style="1634" customWidth="1"/>
    <col min="7940" max="7940" width="7.875" style="1634" customWidth="1"/>
    <col min="7941" max="7942" width="13.875" style="1634" customWidth="1"/>
    <col min="7943" max="7943" width="24" style="1634" customWidth="1"/>
    <col min="7944" max="7944" width="9" style="1634" customWidth="1"/>
    <col min="7945" max="7945" width="37.625" style="1634" customWidth="1"/>
    <col min="7946" max="7947" width="10.625" style="1634" customWidth="1"/>
    <col min="7948" max="7948" width="16" style="1634" customWidth="1"/>
    <col min="7949" max="7949" width="14.375" style="1634" customWidth="1"/>
    <col min="7950" max="7950" width="6.25" style="1634" customWidth="1"/>
    <col min="7951" max="7951" width="7.875" style="1634" customWidth="1"/>
    <col min="7952" max="8192" width="9" style="1634"/>
    <col min="8193" max="8193" width="35.375" style="1634" customWidth="1"/>
    <col min="8194" max="8194" width="6.25" style="1634" customWidth="1"/>
    <col min="8195" max="8195" width="11.75" style="1634" customWidth="1"/>
    <col min="8196" max="8196" width="7.875" style="1634" customWidth="1"/>
    <col min="8197" max="8198" width="13.875" style="1634" customWidth="1"/>
    <col min="8199" max="8199" width="24" style="1634" customWidth="1"/>
    <col min="8200" max="8200" width="9" style="1634" customWidth="1"/>
    <col min="8201" max="8201" width="37.625" style="1634" customWidth="1"/>
    <col min="8202" max="8203" width="10.625" style="1634" customWidth="1"/>
    <col min="8204" max="8204" width="16" style="1634" customWidth="1"/>
    <col min="8205" max="8205" width="14.375" style="1634" customWidth="1"/>
    <col min="8206" max="8206" width="6.25" style="1634" customWidth="1"/>
    <col min="8207" max="8207" width="7.875" style="1634" customWidth="1"/>
    <col min="8208" max="8448" width="9" style="1634"/>
    <col min="8449" max="8449" width="35.375" style="1634" customWidth="1"/>
    <col min="8450" max="8450" width="6.25" style="1634" customWidth="1"/>
    <col min="8451" max="8451" width="11.75" style="1634" customWidth="1"/>
    <col min="8452" max="8452" width="7.875" style="1634" customWidth="1"/>
    <col min="8453" max="8454" width="13.875" style="1634" customWidth="1"/>
    <col min="8455" max="8455" width="24" style="1634" customWidth="1"/>
    <col min="8456" max="8456" width="9" style="1634" customWidth="1"/>
    <col min="8457" max="8457" width="37.625" style="1634" customWidth="1"/>
    <col min="8458" max="8459" width="10.625" style="1634" customWidth="1"/>
    <col min="8460" max="8460" width="16" style="1634" customWidth="1"/>
    <col min="8461" max="8461" width="14.375" style="1634" customWidth="1"/>
    <col min="8462" max="8462" width="6.25" style="1634" customWidth="1"/>
    <col min="8463" max="8463" width="7.875" style="1634" customWidth="1"/>
    <col min="8464" max="8704" width="9" style="1634"/>
    <col min="8705" max="8705" width="35.375" style="1634" customWidth="1"/>
    <col min="8706" max="8706" width="6.25" style="1634" customWidth="1"/>
    <col min="8707" max="8707" width="11.75" style="1634" customWidth="1"/>
    <col min="8708" max="8708" width="7.875" style="1634" customWidth="1"/>
    <col min="8709" max="8710" width="13.875" style="1634" customWidth="1"/>
    <col min="8711" max="8711" width="24" style="1634" customWidth="1"/>
    <col min="8712" max="8712" width="9" style="1634" customWidth="1"/>
    <col min="8713" max="8713" width="37.625" style="1634" customWidth="1"/>
    <col min="8714" max="8715" width="10.625" style="1634" customWidth="1"/>
    <col min="8716" max="8716" width="16" style="1634" customWidth="1"/>
    <col min="8717" max="8717" width="14.375" style="1634" customWidth="1"/>
    <col min="8718" max="8718" width="6.25" style="1634" customWidth="1"/>
    <col min="8719" max="8719" width="7.875" style="1634" customWidth="1"/>
    <col min="8720" max="8960" width="9" style="1634"/>
    <col min="8961" max="8961" width="35.375" style="1634" customWidth="1"/>
    <col min="8962" max="8962" width="6.25" style="1634" customWidth="1"/>
    <col min="8963" max="8963" width="11.75" style="1634" customWidth="1"/>
    <col min="8964" max="8964" width="7.875" style="1634" customWidth="1"/>
    <col min="8965" max="8966" width="13.875" style="1634" customWidth="1"/>
    <col min="8967" max="8967" width="24" style="1634" customWidth="1"/>
    <col min="8968" max="8968" width="9" style="1634" customWidth="1"/>
    <col min="8969" max="8969" width="37.625" style="1634" customWidth="1"/>
    <col min="8970" max="8971" width="10.625" style="1634" customWidth="1"/>
    <col min="8972" max="8972" width="16" style="1634" customWidth="1"/>
    <col min="8973" max="8973" width="14.375" style="1634" customWidth="1"/>
    <col min="8974" max="8974" width="6.25" style="1634" customWidth="1"/>
    <col min="8975" max="8975" width="7.875" style="1634" customWidth="1"/>
    <col min="8976" max="9216" width="9" style="1634"/>
    <col min="9217" max="9217" width="35.375" style="1634" customWidth="1"/>
    <col min="9218" max="9218" width="6.25" style="1634" customWidth="1"/>
    <col min="9219" max="9219" width="11.75" style="1634" customWidth="1"/>
    <col min="9220" max="9220" width="7.875" style="1634" customWidth="1"/>
    <col min="9221" max="9222" width="13.875" style="1634" customWidth="1"/>
    <col min="9223" max="9223" width="24" style="1634" customWidth="1"/>
    <col min="9224" max="9224" width="9" style="1634" customWidth="1"/>
    <col min="9225" max="9225" width="37.625" style="1634" customWidth="1"/>
    <col min="9226" max="9227" width="10.625" style="1634" customWidth="1"/>
    <col min="9228" max="9228" width="16" style="1634" customWidth="1"/>
    <col min="9229" max="9229" width="14.375" style="1634" customWidth="1"/>
    <col min="9230" max="9230" width="6.25" style="1634" customWidth="1"/>
    <col min="9231" max="9231" width="7.875" style="1634" customWidth="1"/>
    <col min="9232" max="9472" width="9" style="1634"/>
    <col min="9473" max="9473" width="35.375" style="1634" customWidth="1"/>
    <col min="9474" max="9474" width="6.25" style="1634" customWidth="1"/>
    <col min="9475" max="9475" width="11.75" style="1634" customWidth="1"/>
    <col min="9476" max="9476" width="7.875" style="1634" customWidth="1"/>
    <col min="9477" max="9478" width="13.875" style="1634" customWidth="1"/>
    <col min="9479" max="9479" width="24" style="1634" customWidth="1"/>
    <col min="9480" max="9480" width="9" style="1634" customWidth="1"/>
    <col min="9481" max="9481" width="37.625" style="1634" customWidth="1"/>
    <col min="9482" max="9483" width="10.625" style="1634" customWidth="1"/>
    <col min="9484" max="9484" width="16" style="1634" customWidth="1"/>
    <col min="9485" max="9485" width="14.375" style="1634" customWidth="1"/>
    <col min="9486" max="9486" width="6.25" style="1634" customWidth="1"/>
    <col min="9487" max="9487" width="7.875" style="1634" customWidth="1"/>
    <col min="9488" max="9728" width="9" style="1634"/>
    <col min="9729" max="9729" width="35.375" style="1634" customWidth="1"/>
    <col min="9730" max="9730" width="6.25" style="1634" customWidth="1"/>
    <col min="9731" max="9731" width="11.75" style="1634" customWidth="1"/>
    <col min="9732" max="9732" width="7.875" style="1634" customWidth="1"/>
    <col min="9733" max="9734" width="13.875" style="1634" customWidth="1"/>
    <col min="9735" max="9735" width="24" style="1634" customWidth="1"/>
    <col min="9736" max="9736" width="9" style="1634" customWidth="1"/>
    <col min="9737" max="9737" width="37.625" style="1634" customWidth="1"/>
    <col min="9738" max="9739" width="10.625" style="1634" customWidth="1"/>
    <col min="9740" max="9740" width="16" style="1634" customWidth="1"/>
    <col min="9741" max="9741" width="14.375" style="1634" customWidth="1"/>
    <col min="9742" max="9742" width="6.25" style="1634" customWidth="1"/>
    <col min="9743" max="9743" width="7.875" style="1634" customWidth="1"/>
    <col min="9744" max="9984" width="9" style="1634"/>
    <col min="9985" max="9985" width="35.375" style="1634" customWidth="1"/>
    <col min="9986" max="9986" width="6.25" style="1634" customWidth="1"/>
    <col min="9987" max="9987" width="11.75" style="1634" customWidth="1"/>
    <col min="9988" max="9988" width="7.875" style="1634" customWidth="1"/>
    <col min="9989" max="9990" width="13.875" style="1634" customWidth="1"/>
    <col min="9991" max="9991" width="24" style="1634" customWidth="1"/>
    <col min="9992" max="9992" width="9" style="1634" customWidth="1"/>
    <col min="9993" max="9993" width="37.625" style="1634" customWidth="1"/>
    <col min="9994" max="9995" width="10.625" style="1634" customWidth="1"/>
    <col min="9996" max="9996" width="16" style="1634" customWidth="1"/>
    <col min="9997" max="9997" width="14.375" style="1634" customWidth="1"/>
    <col min="9998" max="9998" width="6.25" style="1634" customWidth="1"/>
    <col min="9999" max="9999" width="7.875" style="1634" customWidth="1"/>
    <col min="10000" max="10240" width="9" style="1634"/>
    <col min="10241" max="10241" width="35.375" style="1634" customWidth="1"/>
    <col min="10242" max="10242" width="6.25" style="1634" customWidth="1"/>
    <col min="10243" max="10243" width="11.75" style="1634" customWidth="1"/>
    <col min="10244" max="10244" width="7.875" style="1634" customWidth="1"/>
    <col min="10245" max="10246" width="13.875" style="1634" customWidth="1"/>
    <col min="10247" max="10247" width="24" style="1634" customWidth="1"/>
    <col min="10248" max="10248" width="9" style="1634" customWidth="1"/>
    <col min="10249" max="10249" width="37.625" style="1634" customWidth="1"/>
    <col min="10250" max="10251" width="10.625" style="1634" customWidth="1"/>
    <col min="10252" max="10252" width="16" style="1634" customWidth="1"/>
    <col min="10253" max="10253" width="14.375" style="1634" customWidth="1"/>
    <col min="10254" max="10254" width="6.25" style="1634" customWidth="1"/>
    <col min="10255" max="10255" width="7.875" style="1634" customWidth="1"/>
    <col min="10256" max="10496" width="9" style="1634"/>
    <col min="10497" max="10497" width="35.375" style="1634" customWidth="1"/>
    <col min="10498" max="10498" width="6.25" style="1634" customWidth="1"/>
    <col min="10499" max="10499" width="11.75" style="1634" customWidth="1"/>
    <col min="10500" max="10500" width="7.875" style="1634" customWidth="1"/>
    <col min="10501" max="10502" width="13.875" style="1634" customWidth="1"/>
    <col min="10503" max="10503" width="24" style="1634" customWidth="1"/>
    <col min="10504" max="10504" width="9" style="1634" customWidth="1"/>
    <col min="10505" max="10505" width="37.625" style="1634" customWidth="1"/>
    <col min="10506" max="10507" width="10.625" style="1634" customWidth="1"/>
    <col min="10508" max="10508" width="16" style="1634" customWidth="1"/>
    <col min="10509" max="10509" width="14.375" style="1634" customWidth="1"/>
    <col min="10510" max="10510" width="6.25" style="1634" customWidth="1"/>
    <col min="10511" max="10511" width="7.875" style="1634" customWidth="1"/>
    <col min="10512" max="10752" width="9" style="1634"/>
    <col min="10753" max="10753" width="35.375" style="1634" customWidth="1"/>
    <col min="10754" max="10754" width="6.25" style="1634" customWidth="1"/>
    <col min="10755" max="10755" width="11.75" style="1634" customWidth="1"/>
    <col min="10756" max="10756" width="7.875" style="1634" customWidth="1"/>
    <col min="10757" max="10758" width="13.875" style="1634" customWidth="1"/>
    <col min="10759" max="10759" width="24" style="1634" customWidth="1"/>
    <col min="10760" max="10760" width="9" style="1634" customWidth="1"/>
    <col min="10761" max="10761" width="37.625" style="1634" customWidth="1"/>
    <col min="10762" max="10763" width="10.625" style="1634" customWidth="1"/>
    <col min="10764" max="10764" width="16" style="1634" customWidth="1"/>
    <col min="10765" max="10765" width="14.375" style="1634" customWidth="1"/>
    <col min="10766" max="10766" width="6.25" style="1634" customWidth="1"/>
    <col min="10767" max="10767" width="7.875" style="1634" customWidth="1"/>
    <col min="10768" max="11008" width="9" style="1634"/>
    <col min="11009" max="11009" width="35.375" style="1634" customWidth="1"/>
    <col min="11010" max="11010" width="6.25" style="1634" customWidth="1"/>
    <col min="11011" max="11011" width="11.75" style="1634" customWidth="1"/>
    <col min="11012" max="11012" width="7.875" style="1634" customWidth="1"/>
    <col min="11013" max="11014" width="13.875" style="1634" customWidth="1"/>
    <col min="11015" max="11015" width="24" style="1634" customWidth="1"/>
    <col min="11016" max="11016" width="9" style="1634" customWidth="1"/>
    <col min="11017" max="11017" width="37.625" style="1634" customWidth="1"/>
    <col min="11018" max="11019" width="10.625" style="1634" customWidth="1"/>
    <col min="11020" max="11020" width="16" style="1634" customWidth="1"/>
    <col min="11021" max="11021" width="14.375" style="1634" customWidth="1"/>
    <col min="11022" max="11022" width="6.25" style="1634" customWidth="1"/>
    <col min="11023" max="11023" width="7.875" style="1634" customWidth="1"/>
    <col min="11024" max="11264" width="9" style="1634"/>
    <col min="11265" max="11265" width="35.375" style="1634" customWidth="1"/>
    <col min="11266" max="11266" width="6.25" style="1634" customWidth="1"/>
    <col min="11267" max="11267" width="11.75" style="1634" customWidth="1"/>
    <col min="11268" max="11268" width="7.875" style="1634" customWidth="1"/>
    <col min="11269" max="11270" width="13.875" style="1634" customWidth="1"/>
    <col min="11271" max="11271" width="24" style="1634" customWidth="1"/>
    <col min="11272" max="11272" width="9" style="1634" customWidth="1"/>
    <col min="11273" max="11273" width="37.625" style="1634" customWidth="1"/>
    <col min="11274" max="11275" width="10.625" style="1634" customWidth="1"/>
    <col min="11276" max="11276" width="16" style="1634" customWidth="1"/>
    <col min="11277" max="11277" width="14.375" style="1634" customWidth="1"/>
    <col min="11278" max="11278" width="6.25" style="1634" customWidth="1"/>
    <col min="11279" max="11279" width="7.875" style="1634" customWidth="1"/>
    <col min="11280" max="11520" width="9" style="1634"/>
    <col min="11521" max="11521" width="35.375" style="1634" customWidth="1"/>
    <col min="11522" max="11522" width="6.25" style="1634" customWidth="1"/>
    <col min="11523" max="11523" width="11.75" style="1634" customWidth="1"/>
    <col min="11524" max="11524" width="7.875" style="1634" customWidth="1"/>
    <col min="11525" max="11526" width="13.875" style="1634" customWidth="1"/>
    <col min="11527" max="11527" width="24" style="1634" customWidth="1"/>
    <col min="11528" max="11528" width="9" style="1634" customWidth="1"/>
    <col min="11529" max="11529" width="37.625" style="1634" customWidth="1"/>
    <col min="11530" max="11531" width="10.625" style="1634" customWidth="1"/>
    <col min="11532" max="11532" width="16" style="1634" customWidth="1"/>
    <col min="11533" max="11533" width="14.375" style="1634" customWidth="1"/>
    <col min="11534" max="11534" width="6.25" style="1634" customWidth="1"/>
    <col min="11535" max="11535" width="7.875" style="1634" customWidth="1"/>
    <col min="11536" max="11776" width="9" style="1634"/>
    <col min="11777" max="11777" width="35.375" style="1634" customWidth="1"/>
    <col min="11778" max="11778" width="6.25" style="1634" customWidth="1"/>
    <col min="11779" max="11779" width="11.75" style="1634" customWidth="1"/>
    <col min="11780" max="11780" width="7.875" style="1634" customWidth="1"/>
    <col min="11781" max="11782" width="13.875" style="1634" customWidth="1"/>
    <col min="11783" max="11783" width="24" style="1634" customWidth="1"/>
    <col min="11784" max="11784" width="9" style="1634" customWidth="1"/>
    <col min="11785" max="11785" width="37.625" style="1634" customWidth="1"/>
    <col min="11786" max="11787" width="10.625" style="1634" customWidth="1"/>
    <col min="11788" max="11788" width="16" style="1634" customWidth="1"/>
    <col min="11789" max="11789" width="14.375" style="1634" customWidth="1"/>
    <col min="11790" max="11790" width="6.25" style="1634" customWidth="1"/>
    <col min="11791" max="11791" width="7.875" style="1634" customWidth="1"/>
    <col min="11792" max="12032" width="9" style="1634"/>
    <col min="12033" max="12033" width="35.375" style="1634" customWidth="1"/>
    <col min="12034" max="12034" width="6.25" style="1634" customWidth="1"/>
    <col min="12035" max="12035" width="11.75" style="1634" customWidth="1"/>
    <col min="12036" max="12036" width="7.875" style="1634" customWidth="1"/>
    <col min="12037" max="12038" width="13.875" style="1634" customWidth="1"/>
    <col min="12039" max="12039" width="24" style="1634" customWidth="1"/>
    <col min="12040" max="12040" width="9" style="1634" customWidth="1"/>
    <col min="12041" max="12041" width="37.625" style="1634" customWidth="1"/>
    <col min="12042" max="12043" width="10.625" style="1634" customWidth="1"/>
    <col min="12044" max="12044" width="16" style="1634" customWidth="1"/>
    <col min="12045" max="12045" width="14.375" style="1634" customWidth="1"/>
    <col min="12046" max="12046" width="6.25" style="1634" customWidth="1"/>
    <col min="12047" max="12047" width="7.875" style="1634" customWidth="1"/>
    <col min="12048" max="12288" width="9" style="1634"/>
    <col min="12289" max="12289" width="35.375" style="1634" customWidth="1"/>
    <col min="12290" max="12290" width="6.25" style="1634" customWidth="1"/>
    <col min="12291" max="12291" width="11.75" style="1634" customWidth="1"/>
    <col min="12292" max="12292" width="7.875" style="1634" customWidth="1"/>
    <col min="12293" max="12294" width="13.875" style="1634" customWidth="1"/>
    <col min="12295" max="12295" width="24" style="1634" customWidth="1"/>
    <col min="12296" max="12296" width="9" style="1634" customWidth="1"/>
    <col min="12297" max="12297" width="37.625" style="1634" customWidth="1"/>
    <col min="12298" max="12299" width="10.625" style="1634" customWidth="1"/>
    <col min="12300" max="12300" width="16" style="1634" customWidth="1"/>
    <col min="12301" max="12301" width="14.375" style="1634" customWidth="1"/>
    <col min="12302" max="12302" width="6.25" style="1634" customWidth="1"/>
    <col min="12303" max="12303" width="7.875" style="1634" customWidth="1"/>
    <col min="12304" max="12544" width="9" style="1634"/>
    <col min="12545" max="12545" width="35.375" style="1634" customWidth="1"/>
    <col min="12546" max="12546" width="6.25" style="1634" customWidth="1"/>
    <col min="12547" max="12547" width="11.75" style="1634" customWidth="1"/>
    <col min="12548" max="12548" width="7.875" style="1634" customWidth="1"/>
    <col min="12549" max="12550" width="13.875" style="1634" customWidth="1"/>
    <col min="12551" max="12551" width="24" style="1634" customWidth="1"/>
    <col min="12552" max="12552" width="9" style="1634" customWidth="1"/>
    <col min="12553" max="12553" width="37.625" style="1634" customWidth="1"/>
    <col min="12554" max="12555" width="10.625" style="1634" customWidth="1"/>
    <col min="12556" max="12556" width="16" style="1634" customWidth="1"/>
    <col min="12557" max="12557" width="14.375" style="1634" customWidth="1"/>
    <col min="12558" max="12558" width="6.25" style="1634" customWidth="1"/>
    <col min="12559" max="12559" width="7.875" style="1634" customWidth="1"/>
    <col min="12560" max="12800" width="9" style="1634"/>
    <col min="12801" max="12801" width="35.375" style="1634" customWidth="1"/>
    <col min="12802" max="12802" width="6.25" style="1634" customWidth="1"/>
    <col min="12803" max="12803" width="11.75" style="1634" customWidth="1"/>
    <col min="12804" max="12804" width="7.875" style="1634" customWidth="1"/>
    <col min="12805" max="12806" width="13.875" style="1634" customWidth="1"/>
    <col min="12807" max="12807" width="24" style="1634" customWidth="1"/>
    <col min="12808" max="12808" width="9" style="1634" customWidth="1"/>
    <col min="12809" max="12809" width="37.625" style="1634" customWidth="1"/>
    <col min="12810" max="12811" width="10.625" style="1634" customWidth="1"/>
    <col min="12812" max="12812" width="16" style="1634" customWidth="1"/>
    <col min="12813" max="12813" width="14.375" style="1634" customWidth="1"/>
    <col min="12814" max="12814" width="6.25" style="1634" customWidth="1"/>
    <col min="12815" max="12815" width="7.875" style="1634" customWidth="1"/>
    <col min="12816" max="13056" width="9" style="1634"/>
    <col min="13057" max="13057" width="35.375" style="1634" customWidth="1"/>
    <col min="13058" max="13058" width="6.25" style="1634" customWidth="1"/>
    <col min="13059" max="13059" width="11.75" style="1634" customWidth="1"/>
    <col min="13060" max="13060" width="7.875" style="1634" customWidth="1"/>
    <col min="13061" max="13062" width="13.875" style="1634" customWidth="1"/>
    <col min="13063" max="13063" width="24" style="1634" customWidth="1"/>
    <col min="13064" max="13064" width="9" style="1634" customWidth="1"/>
    <col min="13065" max="13065" width="37.625" style="1634" customWidth="1"/>
    <col min="13066" max="13067" width="10.625" style="1634" customWidth="1"/>
    <col min="13068" max="13068" width="16" style="1634" customWidth="1"/>
    <col min="13069" max="13069" width="14.375" style="1634" customWidth="1"/>
    <col min="13070" max="13070" width="6.25" style="1634" customWidth="1"/>
    <col min="13071" max="13071" width="7.875" style="1634" customWidth="1"/>
    <col min="13072" max="13312" width="9" style="1634"/>
    <col min="13313" max="13313" width="35.375" style="1634" customWidth="1"/>
    <col min="13314" max="13314" width="6.25" style="1634" customWidth="1"/>
    <col min="13315" max="13315" width="11.75" style="1634" customWidth="1"/>
    <col min="13316" max="13316" width="7.875" style="1634" customWidth="1"/>
    <col min="13317" max="13318" width="13.875" style="1634" customWidth="1"/>
    <col min="13319" max="13319" width="24" style="1634" customWidth="1"/>
    <col min="13320" max="13320" width="9" style="1634" customWidth="1"/>
    <col min="13321" max="13321" width="37.625" style="1634" customWidth="1"/>
    <col min="13322" max="13323" width="10.625" style="1634" customWidth="1"/>
    <col min="13324" max="13324" width="16" style="1634" customWidth="1"/>
    <col min="13325" max="13325" width="14.375" style="1634" customWidth="1"/>
    <col min="13326" max="13326" width="6.25" style="1634" customWidth="1"/>
    <col min="13327" max="13327" width="7.875" style="1634" customWidth="1"/>
    <col min="13328" max="13568" width="9" style="1634"/>
    <col min="13569" max="13569" width="35.375" style="1634" customWidth="1"/>
    <col min="13570" max="13570" width="6.25" style="1634" customWidth="1"/>
    <col min="13571" max="13571" width="11.75" style="1634" customWidth="1"/>
    <col min="13572" max="13572" width="7.875" style="1634" customWidth="1"/>
    <col min="13573" max="13574" width="13.875" style="1634" customWidth="1"/>
    <col min="13575" max="13575" width="24" style="1634" customWidth="1"/>
    <col min="13576" max="13576" width="9" style="1634" customWidth="1"/>
    <col min="13577" max="13577" width="37.625" style="1634" customWidth="1"/>
    <col min="13578" max="13579" width="10.625" style="1634" customWidth="1"/>
    <col min="13580" max="13580" width="16" style="1634" customWidth="1"/>
    <col min="13581" max="13581" width="14.375" style="1634" customWidth="1"/>
    <col min="13582" max="13582" width="6.25" style="1634" customWidth="1"/>
    <col min="13583" max="13583" width="7.875" style="1634" customWidth="1"/>
    <col min="13584" max="13824" width="9" style="1634"/>
    <col min="13825" max="13825" width="35.375" style="1634" customWidth="1"/>
    <col min="13826" max="13826" width="6.25" style="1634" customWidth="1"/>
    <col min="13827" max="13827" width="11.75" style="1634" customWidth="1"/>
    <col min="13828" max="13828" width="7.875" style="1634" customWidth="1"/>
    <col min="13829" max="13830" width="13.875" style="1634" customWidth="1"/>
    <col min="13831" max="13831" width="24" style="1634" customWidth="1"/>
    <col min="13832" max="13832" width="9" style="1634" customWidth="1"/>
    <col min="13833" max="13833" width="37.625" style="1634" customWidth="1"/>
    <col min="13834" max="13835" width="10.625" style="1634" customWidth="1"/>
    <col min="13836" max="13836" width="16" style="1634" customWidth="1"/>
    <col min="13837" max="13837" width="14.375" style="1634" customWidth="1"/>
    <col min="13838" max="13838" width="6.25" style="1634" customWidth="1"/>
    <col min="13839" max="13839" width="7.875" style="1634" customWidth="1"/>
    <col min="13840" max="14080" width="9" style="1634"/>
    <col min="14081" max="14081" width="35.375" style="1634" customWidth="1"/>
    <col min="14082" max="14082" width="6.25" style="1634" customWidth="1"/>
    <col min="14083" max="14083" width="11.75" style="1634" customWidth="1"/>
    <col min="14084" max="14084" width="7.875" style="1634" customWidth="1"/>
    <col min="14085" max="14086" width="13.875" style="1634" customWidth="1"/>
    <col min="14087" max="14087" width="24" style="1634" customWidth="1"/>
    <col min="14088" max="14088" width="9" style="1634" customWidth="1"/>
    <col min="14089" max="14089" width="37.625" style="1634" customWidth="1"/>
    <col min="14090" max="14091" width="10.625" style="1634" customWidth="1"/>
    <col min="14092" max="14092" width="16" style="1634" customWidth="1"/>
    <col min="14093" max="14093" width="14.375" style="1634" customWidth="1"/>
    <col min="14094" max="14094" width="6.25" style="1634" customWidth="1"/>
    <col min="14095" max="14095" width="7.875" style="1634" customWidth="1"/>
    <col min="14096" max="14336" width="9" style="1634"/>
    <col min="14337" max="14337" width="35.375" style="1634" customWidth="1"/>
    <col min="14338" max="14338" width="6.25" style="1634" customWidth="1"/>
    <col min="14339" max="14339" width="11.75" style="1634" customWidth="1"/>
    <col min="14340" max="14340" width="7.875" style="1634" customWidth="1"/>
    <col min="14341" max="14342" width="13.875" style="1634" customWidth="1"/>
    <col min="14343" max="14343" width="24" style="1634" customWidth="1"/>
    <col min="14344" max="14344" width="9" style="1634" customWidth="1"/>
    <col min="14345" max="14345" width="37.625" style="1634" customWidth="1"/>
    <col min="14346" max="14347" width="10.625" style="1634" customWidth="1"/>
    <col min="14348" max="14348" width="16" style="1634" customWidth="1"/>
    <col min="14349" max="14349" width="14.375" style="1634" customWidth="1"/>
    <col min="14350" max="14350" width="6.25" style="1634" customWidth="1"/>
    <col min="14351" max="14351" width="7.875" style="1634" customWidth="1"/>
    <col min="14352" max="14592" width="9" style="1634"/>
    <col min="14593" max="14593" width="35.375" style="1634" customWidth="1"/>
    <col min="14594" max="14594" width="6.25" style="1634" customWidth="1"/>
    <col min="14595" max="14595" width="11.75" style="1634" customWidth="1"/>
    <col min="14596" max="14596" width="7.875" style="1634" customWidth="1"/>
    <col min="14597" max="14598" width="13.875" style="1634" customWidth="1"/>
    <col min="14599" max="14599" width="24" style="1634" customWidth="1"/>
    <col min="14600" max="14600" width="9" style="1634" customWidth="1"/>
    <col min="14601" max="14601" width="37.625" style="1634" customWidth="1"/>
    <col min="14602" max="14603" width="10.625" style="1634" customWidth="1"/>
    <col min="14604" max="14604" width="16" style="1634" customWidth="1"/>
    <col min="14605" max="14605" width="14.375" style="1634" customWidth="1"/>
    <col min="14606" max="14606" width="6.25" style="1634" customWidth="1"/>
    <col min="14607" max="14607" width="7.875" style="1634" customWidth="1"/>
    <col min="14608" max="14848" width="9" style="1634"/>
    <col min="14849" max="14849" width="35.375" style="1634" customWidth="1"/>
    <col min="14850" max="14850" width="6.25" style="1634" customWidth="1"/>
    <col min="14851" max="14851" width="11.75" style="1634" customWidth="1"/>
    <col min="14852" max="14852" width="7.875" style="1634" customWidth="1"/>
    <col min="14853" max="14854" width="13.875" style="1634" customWidth="1"/>
    <col min="14855" max="14855" width="24" style="1634" customWidth="1"/>
    <col min="14856" max="14856" width="9" style="1634" customWidth="1"/>
    <col min="14857" max="14857" width="37.625" style="1634" customWidth="1"/>
    <col min="14858" max="14859" width="10.625" style="1634" customWidth="1"/>
    <col min="14860" max="14860" width="16" style="1634" customWidth="1"/>
    <col min="14861" max="14861" width="14.375" style="1634" customWidth="1"/>
    <col min="14862" max="14862" width="6.25" style="1634" customWidth="1"/>
    <col min="14863" max="14863" width="7.875" style="1634" customWidth="1"/>
    <col min="14864" max="15104" width="9" style="1634"/>
    <col min="15105" max="15105" width="35.375" style="1634" customWidth="1"/>
    <col min="15106" max="15106" width="6.25" style="1634" customWidth="1"/>
    <col min="15107" max="15107" width="11.75" style="1634" customWidth="1"/>
    <col min="15108" max="15108" width="7.875" style="1634" customWidth="1"/>
    <col min="15109" max="15110" width="13.875" style="1634" customWidth="1"/>
    <col min="15111" max="15111" width="24" style="1634" customWidth="1"/>
    <col min="15112" max="15112" width="9" style="1634" customWidth="1"/>
    <col min="15113" max="15113" width="37.625" style="1634" customWidth="1"/>
    <col min="15114" max="15115" width="10.625" style="1634" customWidth="1"/>
    <col min="15116" max="15116" width="16" style="1634" customWidth="1"/>
    <col min="15117" max="15117" width="14.375" style="1634" customWidth="1"/>
    <col min="15118" max="15118" width="6.25" style="1634" customWidth="1"/>
    <col min="15119" max="15119" width="7.875" style="1634" customWidth="1"/>
    <col min="15120" max="15360" width="9" style="1634"/>
    <col min="15361" max="15361" width="35.375" style="1634" customWidth="1"/>
    <col min="15362" max="15362" width="6.25" style="1634" customWidth="1"/>
    <col min="15363" max="15363" width="11.75" style="1634" customWidth="1"/>
    <col min="15364" max="15364" width="7.875" style="1634" customWidth="1"/>
    <col min="15365" max="15366" width="13.875" style="1634" customWidth="1"/>
    <col min="15367" max="15367" width="24" style="1634" customWidth="1"/>
    <col min="15368" max="15368" width="9" style="1634" customWidth="1"/>
    <col min="15369" max="15369" width="37.625" style="1634" customWidth="1"/>
    <col min="15370" max="15371" width="10.625" style="1634" customWidth="1"/>
    <col min="15372" max="15372" width="16" style="1634" customWidth="1"/>
    <col min="15373" max="15373" width="14.375" style="1634" customWidth="1"/>
    <col min="15374" max="15374" width="6.25" style="1634" customWidth="1"/>
    <col min="15375" max="15375" width="7.875" style="1634" customWidth="1"/>
    <col min="15376" max="15616" width="9" style="1634"/>
    <col min="15617" max="15617" width="35.375" style="1634" customWidth="1"/>
    <col min="15618" max="15618" width="6.25" style="1634" customWidth="1"/>
    <col min="15619" max="15619" width="11.75" style="1634" customWidth="1"/>
    <col min="15620" max="15620" width="7.875" style="1634" customWidth="1"/>
    <col min="15621" max="15622" width="13.875" style="1634" customWidth="1"/>
    <col min="15623" max="15623" width="24" style="1634" customWidth="1"/>
    <col min="15624" max="15624" width="9" style="1634" customWidth="1"/>
    <col min="15625" max="15625" width="37.625" style="1634" customWidth="1"/>
    <col min="15626" max="15627" width="10.625" style="1634" customWidth="1"/>
    <col min="15628" max="15628" width="16" style="1634" customWidth="1"/>
    <col min="15629" max="15629" width="14.375" style="1634" customWidth="1"/>
    <col min="15630" max="15630" width="6.25" style="1634" customWidth="1"/>
    <col min="15631" max="15631" width="7.875" style="1634" customWidth="1"/>
    <col min="15632" max="15872" width="9" style="1634"/>
    <col min="15873" max="15873" width="35.375" style="1634" customWidth="1"/>
    <col min="15874" max="15874" width="6.25" style="1634" customWidth="1"/>
    <col min="15875" max="15875" width="11.75" style="1634" customWidth="1"/>
    <col min="15876" max="15876" width="7.875" style="1634" customWidth="1"/>
    <col min="15877" max="15878" width="13.875" style="1634" customWidth="1"/>
    <col min="15879" max="15879" width="24" style="1634" customWidth="1"/>
    <col min="15880" max="15880" width="9" style="1634" customWidth="1"/>
    <col min="15881" max="15881" width="37.625" style="1634" customWidth="1"/>
    <col min="15882" max="15883" width="10.625" style="1634" customWidth="1"/>
    <col min="15884" max="15884" width="16" style="1634" customWidth="1"/>
    <col min="15885" max="15885" width="14.375" style="1634" customWidth="1"/>
    <col min="15886" max="15886" width="6.25" style="1634" customWidth="1"/>
    <col min="15887" max="15887" width="7.875" style="1634" customWidth="1"/>
    <col min="15888" max="16128" width="9" style="1634"/>
    <col min="16129" max="16129" width="35.375" style="1634" customWidth="1"/>
    <col min="16130" max="16130" width="6.25" style="1634" customWidth="1"/>
    <col min="16131" max="16131" width="11.75" style="1634" customWidth="1"/>
    <col min="16132" max="16132" width="7.875" style="1634" customWidth="1"/>
    <col min="16133" max="16134" width="13.875" style="1634" customWidth="1"/>
    <col min="16135" max="16135" width="24" style="1634" customWidth="1"/>
    <col min="16136" max="16136" width="9" style="1634" customWidth="1"/>
    <col min="16137" max="16137" width="37.625" style="1634" customWidth="1"/>
    <col min="16138" max="16139" width="10.625" style="1634" customWidth="1"/>
    <col min="16140" max="16140" width="16" style="1634" customWidth="1"/>
    <col min="16141" max="16141" width="14.375" style="1634" customWidth="1"/>
    <col min="16142" max="16142" width="6.25" style="1634" customWidth="1"/>
    <col min="16143" max="16143" width="7.875" style="1634" customWidth="1"/>
    <col min="16144" max="16384" width="9" style="1634"/>
  </cols>
  <sheetData>
    <row r="1" spans="1:15">
      <c r="A1" s="1634" t="s">
        <v>3055</v>
      </c>
      <c r="B1" s="1634" t="s">
        <v>3056</v>
      </c>
      <c r="C1" s="1634" t="s">
        <v>3057</v>
      </c>
      <c r="D1" s="1634" t="s">
        <v>3058</v>
      </c>
      <c r="E1" s="1634" t="s">
        <v>3059</v>
      </c>
      <c r="F1" s="1634" t="s">
        <v>3060</v>
      </c>
      <c r="G1" s="1634" t="s">
        <v>3061</v>
      </c>
      <c r="H1" s="1634" t="s">
        <v>3062</v>
      </c>
      <c r="I1" s="1634" t="s">
        <v>3063</v>
      </c>
      <c r="J1" s="1634" t="s">
        <v>3064</v>
      </c>
      <c r="K1" s="1634" t="s">
        <v>3065</v>
      </c>
      <c r="L1" s="1634" t="s">
        <v>3066</v>
      </c>
      <c r="M1" s="1634" t="s">
        <v>3067</v>
      </c>
      <c r="N1" s="1634" t="s">
        <v>3068</v>
      </c>
      <c r="O1" s="1634" t="s">
        <v>3069</v>
      </c>
    </row>
    <row r="2" spans="1:15">
      <c r="A2" s="1634" t="s">
        <v>3070</v>
      </c>
      <c r="B2" s="1634" t="s">
        <v>3071</v>
      </c>
      <c r="C2" s="1634" t="s">
        <v>3072</v>
      </c>
      <c r="D2" s="1634" t="s">
        <v>3073</v>
      </c>
      <c r="E2" s="1634">
        <v>68817</v>
      </c>
      <c r="F2" s="1634">
        <v>137634</v>
      </c>
      <c r="G2" s="1634" t="s">
        <v>3074</v>
      </c>
      <c r="H2" s="1634" t="s">
        <v>3075</v>
      </c>
      <c r="I2" s="1634" t="s">
        <v>3076</v>
      </c>
      <c r="J2" s="1634">
        <v>23840</v>
      </c>
      <c r="K2" s="1634">
        <v>32000</v>
      </c>
      <c r="L2" s="1634">
        <v>310</v>
      </c>
      <c r="M2" s="1634">
        <v>2325.0100000000002</v>
      </c>
      <c r="N2" s="1634">
        <v>34.229999999999997</v>
      </c>
      <c r="O2" s="1634" t="s">
        <v>3077</v>
      </c>
    </row>
    <row r="3" spans="1:15">
      <c r="A3" s="1634" t="s">
        <v>3078</v>
      </c>
      <c r="B3" s="1634" t="s">
        <v>3071</v>
      </c>
      <c r="C3" s="1634" t="s">
        <v>3072</v>
      </c>
      <c r="D3" s="1634" t="s">
        <v>3073</v>
      </c>
      <c r="E3" s="1634">
        <v>78820</v>
      </c>
      <c r="F3" s="1634">
        <v>157640</v>
      </c>
      <c r="G3" s="1634" t="s">
        <v>3079</v>
      </c>
      <c r="H3" s="1634" t="s">
        <v>3075</v>
      </c>
      <c r="I3" s="1634" t="s">
        <v>3080</v>
      </c>
      <c r="J3" s="1634">
        <v>15130</v>
      </c>
      <c r="K3" s="1634">
        <v>21160</v>
      </c>
      <c r="L3" s="1634">
        <v>178.97</v>
      </c>
      <c r="M3" s="1634">
        <v>1342.29</v>
      </c>
      <c r="N3" s="1634">
        <v>39.85</v>
      </c>
      <c r="O3" s="1634" t="s">
        <v>3077</v>
      </c>
    </row>
    <row r="4" spans="1:15">
      <c r="A4" s="1634" t="s">
        <v>3081</v>
      </c>
      <c r="B4" s="1634" t="s">
        <v>3071</v>
      </c>
      <c r="C4" s="1634" t="s">
        <v>3072</v>
      </c>
      <c r="D4" s="1634" t="s">
        <v>3073</v>
      </c>
      <c r="E4" s="1634">
        <v>6983</v>
      </c>
      <c r="F4" s="1634">
        <v>2094.9</v>
      </c>
      <c r="G4" s="1634" t="s">
        <v>3082</v>
      </c>
      <c r="H4" s="1634" t="s">
        <v>3075</v>
      </c>
      <c r="I4" s="1634" t="s">
        <v>3083</v>
      </c>
      <c r="J4" s="1634">
        <v>2920</v>
      </c>
      <c r="K4" s="1634">
        <v>2920</v>
      </c>
      <c r="L4" s="1634">
        <v>278.77</v>
      </c>
      <c r="M4" s="1634">
        <v>13938.61</v>
      </c>
      <c r="N4" s="1634">
        <v>0</v>
      </c>
      <c r="O4" s="1634" t="s">
        <v>3084</v>
      </c>
    </row>
    <row r="5" spans="1:15">
      <c r="A5" s="1634" t="s">
        <v>3085</v>
      </c>
      <c r="B5" s="1634" t="s">
        <v>3071</v>
      </c>
      <c r="C5" s="1634" t="s">
        <v>3072</v>
      </c>
      <c r="D5" s="1634" t="s">
        <v>3073</v>
      </c>
      <c r="E5" s="1634">
        <v>26467</v>
      </c>
      <c r="F5" s="1634">
        <v>71460.899999999994</v>
      </c>
      <c r="G5" s="1634" t="s">
        <v>3086</v>
      </c>
      <c r="H5" s="1634" t="s">
        <v>3087</v>
      </c>
      <c r="I5" s="1634" t="s">
        <v>3088</v>
      </c>
      <c r="J5" s="1634">
        <v>3970</v>
      </c>
      <c r="K5" s="1634">
        <v>5550</v>
      </c>
      <c r="L5" s="1634">
        <v>139.80000000000001</v>
      </c>
      <c r="M5" s="1634">
        <v>776.64</v>
      </c>
      <c r="N5" s="1634">
        <v>39.799999999999997</v>
      </c>
      <c r="O5" s="1634" t="s">
        <v>3089</v>
      </c>
    </row>
    <row r="6" spans="1:15">
      <c r="A6" s="1634" t="s">
        <v>3090</v>
      </c>
      <c r="B6" s="1634" t="s">
        <v>3071</v>
      </c>
      <c r="C6" s="1634" t="s">
        <v>3072</v>
      </c>
      <c r="D6" s="1634" t="s">
        <v>3073</v>
      </c>
      <c r="E6" s="1634">
        <v>82421</v>
      </c>
      <c r="F6" s="1634">
        <v>164842</v>
      </c>
      <c r="G6" s="1634" t="s">
        <v>3091</v>
      </c>
      <c r="H6" s="1634" t="s">
        <v>3087</v>
      </c>
      <c r="I6" s="1634" t="s">
        <v>3092</v>
      </c>
      <c r="J6" s="1634">
        <v>11130</v>
      </c>
      <c r="K6" s="1634">
        <v>15580</v>
      </c>
      <c r="L6" s="1634">
        <v>126.02</v>
      </c>
      <c r="M6" s="1634">
        <v>945.14</v>
      </c>
      <c r="N6" s="1634">
        <v>39.979999999999997</v>
      </c>
      <c r="O6" s="1634" t="s">
        <v>3093</v>
      </c>
    </row>
    <row r="7" spans="1:15">
      <c r="A7" s="1634" t="s">
        <v>3094</v>
      </c>
      <c r="B7" s="1634" t="s">
        <v>3071</v>
      </c>
      <c r="C7" s="1634" t="s">
        <v>3072</v>
      </c>
      <c r="D7" s="1634" t="s">
        <v>3073</v>
      </c>
      <c r="E7" s="1634">
        <v>9898</v>
      </c>
      <c r="F7" s="1634">
        <v>7918.4</v>
      </c>
      <c r="G7" s="1634" t="s">
        <v>3095</v>
      </c>
      <c r="H7" s="1634" t="s">
        <v>3096</v>
      </c>
      <c r="I7" s="1634" t="s">
        <v>3097</v>
      </c>
      <c r="J7" s="1634">
        <v>2680</v>
      </c>
      <c r="K7" s="1634">
        <v>6800</v>
      </c>
      <c r="L7" s="1634">
        <v>458</v>
      </c>
      <c r="M7" s="1634">
        <v>8587.59</v>
      </c>
      <c r="N7" s="1634">
        <v>153.72999999999999</v>
      </c>
      <c r="O7" s="1634" t="s">
        <v>3077</v>
      </c>
    </row>
    <row r="8" spans="1:15">
      <c r="A8" s="1634" t="s">
        <v>3098</v>
      </c>
      <c r="B8" s="1634" t="s">
        <v>3071</v>
      </c>
      <c r="C8" s="1634" t="s">
        <v>3072</v>
      </c>
      <c r="D8" s="1634" t="s">
        <v>3073</v>
      </c>
      <c r="E8" s="1634">
        <v>12240</v>
      </c>
      <c r="F8" s="1634">
        <v>14688</v>
      </c>
      <c r="G8" s="1634" t="s">
        <v>3099</v>
      </c>
      <c r="H8" s="1634" t="s">
        <v>3100</v>
      </c>
      <c r="I8" s="1634" t="s">
        <v>3101</v>
      </c>
      <c r="J8" s="1634">
        <v>2020</v>
      </c>
      <c r="K8" s="1634">
        <v>2500</v>
      </c>
      <c r="L8" s="1634">
        <v>136.16999999999999</v>
      </c>
      <c r="M8" s="1634">
        <v>1702.06</v>
      </c>
      <c r="N8" s="1634">
        <v>23.76</v>
      </c>
      <c r="O8" s="1634" t="s">
        <v>3077</v>
      </c>
    </row>
    <row r="9" spans="1:15">
      <c r="A9" s="1634" t="s">
        <v>3102</v>
      </c>
      <c r="B9" s="1634" t="s">
        <v>3071</v>
      </c>
      <c r="C9" s="1634" t="s">
        <v>3072</v>
      </c>
      <c r="D9" s="1634" t="s">
        <v>3073</v>
      </c>
      <c r="E9" s="1634">
        <v>32595</v>
      </c>
      <c r="F9" s="1634">
        <v>58671</v>
      </c>
      <c r="G9" s="1634" t="s">
        <v>3103</v>
      </c>
      <c r="H9" s="1634" t="s">
        <v>3104</v>
      </c>
      <c r="I9" s="1634" t="s">
        <v>3105</v>
      </c>
      <c r="J9" s="1634">
        <v>2930</v>
      </c>
      <c r="K9" s="1634">
        <v>4100</v>
      </c>
      <c r="L9" s="1634">
        <v>83.86</v>
      </c>
      <c r="M9" s="1634">
        <v>698.8</v>
      </c>
      <c r="N9" s="1634">
        <v>39.93</v>
      </c>
      <c r="O9" s="1634" t="s">
        <v>3084</v>
      </c>
    </row>
    <row r="10" spans="1:15">
      <c r="A10" s="1634" t="s">
        <v>3106</v>
      </c>
      <c r="B10" s="1634" t="s">
        <v>3071</v>
      </c>
      <c r="C10" s="1634" t="s">
        <v>3072</v>
      </c>
      <c r="D10" s="1634" t="s">
        <v>3073</v>
      </c>
      <c r="E10" s="1634">
        <v>32599</v>
      </c>
      <c r="F10" s="1634">
        <v>58678.2</v>
      </c>
      <c r="G10" s="1634" t="s">
        <v>3103</v>
      </c>
      <c r="H10" s="1634" t="s">
        <v>3104</v>
      </c>
      <c r="I10" s="1634" t="s">
        <v>3105</v>
      </c>
      <c r="J10" s="1634">
        <v>3330</v>
      </c>
      <c r="K10" s="1634">
        <v>4660</v>
      </c>
      <c r="L10" s="1634">
        <v>95.3</v>
      </c>
      <c r="M10" s="1634">
        <v>794.15</v>
      </c>
      <c r="N10" s="1634">
        <v>39.94</v>
      </c>
      <c r="O10" s="1634" t="s">
        <v>3089</v>
      </c>
    </row>
    <row r="11" spans="1:15">
      <c r="A11" s="1634" t="s">
        <v>3107</v>
      </c>
      <c r="B11" s="1634" t="s">
        <v>3071</v>
      </c>
      <c r="C11" s="1634" t="s">
        <v>3072</v>
      </c>
      <c r="D11" s="1634" t="s">
        <v>3073</v>
      </c>
      <c r="E11" s="1634">
        <v>23160</v>
      </c>
      <c r="F11" s="1634">
        <v>41688</v>
      </c>
      <c r="G11" s="1634" t="s">
        <v>3103</v>
      </c>
      <c r="H11" s="1634" t="s">
        <v>3104</v>
      </c>
      <c r="I11" s="1634" t="s">
        <v>3105</v>
      </c>
      <c r="J11" s="1634">
        <v>2080</v>
      </c>
      <c r="K11" s="1634">
        <v>2910</v>
      </c>
      <c r="L11" s="1634">
        <v>83.77</v>
      </c>
      <c r="M11" s="1634">
        <v>698.03</v>
      </c>
      <c r="N11" s="1634">
        <v>39.9</v>
      </c>
      <c r="O11" s="1634" t="s">
        <v>3084</v>
      </c>
    </row>
    <row r="12" spans="1:15">
      <c r="A12" s="1634" t="s">
        <v>3108</v>
      </c>
      <c r="B12" s="1634" t="s">
        <v>3071</v>
      </c>
      <c r="C12" s="1634" t="s">
        <v>3072</v>
      </c>
      <c r="D12" s="1634" t="s">
        <v>3073</v>
      </c>
      <c r="E12" s="1634">
        <v>47524</v>
      </c>
      <c r="F12" s="1634">
        <v>95048</v>
      </c>
      <c r="G12" s="1634" t="s">
        <v>3091</v>
      </c>
      <c r="H12" s="1634" t="s">
        <v>3104</v>
      </c>
      <c r="I12" s="1634" t="s">
        <v>3092</v>
      </c>
      <c r="J12" s="1634">
        <v>6420</v>
      </c>
      <c r="K12" s="1634">
        <v>8980</v>
      </c>
      <c r="L12" s="1634">
        <v>125.97</v>
      </c>
      <c r="M12" s="1634">
        <v>944.78</v>
      </c>
      <c r="N12" s="1634">
        <v>39.880000000000003</v>
      </c>
      <c r="O12" s="1634" t="s">
        <v>3093</v>
      </c>
    </row>
    <row r="13" spans="1:15">
      <c r="A13" s="1634" t="s">
        <v>3109</v>
      </c>
      <c r="B13" s="1634" t="s">
        <v>3071</v>
      </c>
      <c r="C13" s="1634" t="s">
        <v>3072</v>
      </c>
      <c r="D13" s="1634" t="s">
        <v>3073</v>
      </c>
      <c r="E13" s="1634">
        <v>6236</v>
      </c>
      <c r="F13" s="1634">
        <v>4988.8</v>
      </c>
      <c r="G13" s="1634" t="s">
        <v>3095</v>
      </c>
      <c r="H13" s="1634" t="s">
        <v>3110</v>
      </c>
      <c r="I13" s="1634" t="s">
        <v>3111</v>
      </c>
      <c r="J13" s="1634">
        <v>1360</v>
      </c>
      <c r="K13" s="1634">
        <v>1360</v>
      </c>
      <c r="L13" s="1634">
        <v>145.38999999999999</v>
      </c>
      <c r="M13" s="1634">
        <v>2726.11</v>
      </c>
      <c r="N13" s="1634">
        <v>0</v>
      </c>
      <c r="O13" s="1634" t="s">
        <v>3093</v>
      </c>
    </row>
    <row r="14" spans="1:15">
      <c r="A14" s="1634" t="s">
        <v>3112</v>
      </c>
      <c r="B14" s="1634" t="s">
        <v>3071</v>
      </c>
      <c r="C14" s="1634" t="s">
        <v>3072</v>
      </c>
      <c r="D14" s="1634" t="s">
        <v>3073</v>
      </c>
      <c r="E14" s="1634">
        <v>7072</v>
      </c>
      <c r="F14" s="1634">
        <v>2121.6</v>
      </c>
      <c r="G14" s="1634" t="s">
        <v>3113</v>
      </c>
      <c r="H14" s="1634" t="s">
        <v>3110</v>
      </c>
      <c r="I14" s="1634" t="s">
        <v>3097</v>
      </c>
      <c r="J14" s="1634">
        <v>1870</v>
      </c>
      <c r="K14" s="1634">
        <v>5320</v>
      </c>
      <c r="L14" s="1634">
        <v>501.51</v>
      </c>
      <c r="M14" s="1634">
        <v>25075.4</v>
      </c>
      <c r="N14" s="1634">
        <v>184.49</v>
      </c>
      <c r="O14" s="1634" t="s">
        <v>3084</v>
      </c>
    </row>
    <row r="15" spans="1:15">
      <c r="A15" s="1634" t="s">
        <v>3114</v>
      </c>
      <c r="B15" s="1634" t="s">
        <v>3071</v>
      </c>
      <c r="C15" s="1634" t="s">
        <v>3072</v>
      </c>
      <c r="D15" s="1634" t="s">
        <v>3073</v>
      </c>
      <c r="E15" s="1634">
        <v>86430</v>
      </c>
      <c r="F15" s="1634">
        <v>172860</v>
      </c>
      <c r="G15" s="1634" t="s">
        <v>3115</v>
      </c>
      <c r="H15" s="1634" t="s">
        <v>3110</v>
      </c>
      <c r="I15" s="1634" t="s">
        <v>3116</v>
      </c>
      <c r="J15" s="1634">
        <v>33800</v>
      </c>
      <c r="K15" s="1634">
        <v>33800</v>
      </c>
      <c r="L15" s="1634">
        <v>260.70999999999998</v>
      </c>
      <c r="M15" s="1634">
        <v>1955.33</v>
      </c>
      <c r="N15" s="1634">
        <v>0</v>
      </c>
      <c r="O15" s="1634" t="s">
        <v>3077</v>
      </c>
    </row>
    <row r="16" spans="1:15">
      <c r="A16" s="1634" t="s">
        <v>3117</v>
      </c>
      <c r="B16" s="1634" t="s">
        <v>3071</v>
      </c>
      <c r="C16" s="1634" t="s">
        <v>3072</v>
      </c>
      <c r="D16" s="1634" t="s">
        <v>3073</v>
      </c>
      <c r="E16" s="1634">
        <v>19668</v>
      </c>
      <c r="F16" s="1634">
        <v>19668</v>
      </c>
      <c r="G16" s="1634" t="s">
        <v>3118</v>
      </c>
      <c r="H16" s="1634" t="s">
        <v>3119</v>
      </c>
      <c r="I16" s="1634" t="s">
        <v>3120</v>
      </c>
      <c r="J16" s="1634">
        <v>2010</v>
      </c>
      <c r="K16" s="1634">
        <v>2010</v>
      </c>
      <c r="L16" s="1634">
        <v>68.13</v>
      </c>
      <c r="M16" s="1634">
        <v>1021.96</v>
      </c>
      <c r="N16" s="1634">
        <v>0</v>
      </c>
      <c r="O16" s="1634" t="s">
        <v>3121</v>
      </c>
    </row>
    <row r="17" spans="1:15">
      <c r="A17" s="1634" t="s">
        <v>3122</v>
      </c>
      <c r="B17" s="1634" t="s">
        <v>3071</v>
      </c>
      <c r="C17" s="1634" t="s">
        <v>3072</v>
      </c>
      <c r="D17" s="1634" t="s">
        <v>3073</v>
      </c>
      <c r="E17" s="1634">
        <v>75950</v>
      </c>
      <c r="F17" s="1634">
        <v>151900</v>
      </c>
      <c r="G17" s="1634" t="s">
        <v>3115</v>
      </c>
      <c r="H17" s="1634" t="s">
        <v>3123</v>
      </c>
      <c r="I17" s="1634" t="s">
        <v>3124</v>
      </c>
      <c r="J17" s="1634">
        <v>22800</v>
      </c>
      <c r="K17" s="1634">
        <v>38830</v>
      </c>
      <c r="L17" s="1634">
        <v>340.84</v>
      </c>
      <c r="M17" s="1634">
        <v>2556.2800000000002</v>
      </c>
      <c r="N17" s="1634">
        <v>70.31</v>
      </c>
      <c r="O17" s="1634" t="s">
        <v>3077</v>
      </c>
    </row>
    <row r="18" spans="1:15">
      <c r="A18" s="1634" t="s">
        <v>3125</v>
      </c>
      <c r="B18" s="1634" t="s">
        <v>3071</v>
      </c>
      <c r="C18" s="1634" t="s">
        <v>3072</v>
      </c>
      <c r="D18" s="1634" t="s">
        <v>3073</v>
      </c>
      <c r="E18" s="1634">
        <v>4670</v>
      </c>
      <c r="F18" s="1634">
        <v>3736</v>
      </c>
      <c r="G18" s="1634" t="s">
        <v>3095</v>
      </c>
      <c r="H18" s="1634" t="s">
        <v>3126</v>
      </c>
      <c r="I18" s="1634" t="s">
        <v>3127</v>
      </c>
      <c r="J18" s="1634">
        <v>1000</v>
      </c>
      <c r="K18" s="1634">
        <v>1020</v>
      </c>
      <c r="L18" s="1634">
        <v>145.61000000000001</v>
      </c>
      <c r="M18" s="1634">
        <v>2730.19</v>
      </c>
      <c r="N18" s="1634">
        <v>2</v>
      </c>
      <c r="O18" s="1634" t="s">
        <v>3077</v>
      </c>
    </row>
    <row r="19" spans="1:15">
      <c r="A19" s="1634" t="s">
        <v>3128</v>
      </c>
      <c r="B19" s="1634" t="s">
        <v>3071</v>
      </c>
      <c r="C19" s="1634" t="s">
        <v>3072</v>
      </c>
      <c r="D19" s="1634" t="s">
        <v>3073</v>
      </c>
      <c r="E19" s="1634">
        <v>34314</v>
      </c>
      <c r="F19" s="1634">
        <v>68628</v>
      </c>
      <c r="G19" s="1634" t="s">
        <v>3091</v>
      </c>
      <c r="H19" s="1634" t="s">
        <v>3129</v>
      </c>
      <c r="I19" s="1634" t="s">
        <v>3092</v>
      </c>
      <c r="J19" s="1634">
        <v>3860</v>
      </c>
      <c r="K19" s="1634">
        <v>5400</v>
      </c>
      <c r="L19" s="1634">
        <v>104.91</v>
      </c>
      <c r="M19" s="1634">
        <v>786.85</v>
      </c>
      <c r="N19" s="1634">
        <v>39.9</v>
      </c>
      <c r="O19" s="1634" t="s">
        <v>3077</v>
      </c>
    </row>
    <row r="20" spans="1:15">
      <c r="A20" s="1634" t="s">
        <v>3130</v>
      </c>
      <c r="B20" s="1634" t="s">
        <v>3071</v>
      </c>
      <c r="C20" s="1634" t="s">
        <v>3072</v>
      </c>
      <c r="D20" s="1634" t="s">
        <v>3073</v>
      </c>
      <c r="E20" s="1634">
        <v>259760</v>
      </c>
      <c r="F20" s="1634">
        <v>519520</v>
      </c>
      <c r="G20" s="1634" t="s">
        <v>3091</v>
      </c>
      <c r="H20" s="1634" t="s">
        <v>3129</v>
      </c>
      <c r="I20" s="1634" t="s">
        <v>3092</v>
      </c>
      <c r="J20" s="1634">
        <v>25330</v>
      </c>
      <c r="K20" s="1634">
        <v>35470</v>
      </c>
      <c r="L20" s="1634">
        <v>91.03</v>
      </c>
      <c r="M20" s="1634">
        <v>682.75</v>
      </c>
      <c r="N20" s="1634">
        <v>40.03</v>
      </c>
      <c r="O20" s="1634" t="s">
        <v>3077</v>
      </c>
    </row>
    <row r="21" spans="1:15">
      <c r="A21" s="1634" t="s">
        <v>3131</v>
      </c>
      <c r="B21" s="1634" t="s">
        <v>3071</v>
      </c>
      <c r="C21" s="1634" t="s">
        <v>3072</v>
      </c>
      <c r="D21" s="1634" t="s">
        <v>3073</v>
      </c>
      <c r="E21" s="1634">
        <v>44954</v>
      </c>
      <c r="F21" s="1634">
        <v>89908</v>
      </c>
      <c r="G21" s="1634" t="s">
        <v>3091</v>
      </c>
      <c r="H21" s="1634" t="s">
        <v>3129</v>
      </c>
      <c r="I21" s="1634" t="s">
        <v>3092</v>
      </c>
      <c r="J21" s="1634">
        <v>4850</v>
      </c>
      <c r="K21" s="1634">
        <v>6790</v>
      </c>
      <c r="L21" s="1634">
        <v>100.7</v>
      </c>
      <c r="M21" s="1634">
        <v>755.22</v>
      </c>
      <c r="N21" s="1634">
        <v>40</v>
      </c>
      <c r="O21" s="1634" t="s">
        <v>3077</v>
      </c>
    </row>
    <row r="22" spans="1:15">
      <c r="A22" s="1634" t="s">
        <v>3132</v>
      </c>
      <c r="B22" s="1634" t="s">
        <v>3071</v>
      </c>
      <c r="C22" s="1634" t="s">
        <v>3072</v>
      </c>
      <c r="D22" s="1634" t="s">
        <v>3073</v>
      </c>
      <c r="E22" s="1634">
        <v>3092</v>
      </c>
      <c r="F22" s="1634">
        <v>3092</v>
      </c>
      <c r="G22" s="1634" t="s">
        <v>3118</v>
      </c>
      <c r="H22" s="1634" t="s">
        <v>3133</v>
      </c>
      <c r="I22" s="1634" t="s">
        <v>3134</v>
      </c>
      <c r="J22" s="1634">
        <v>500</v>
      </c>
      <c r="K22" s="1634">
        <v>500</v>
      </c>
      <c r="L22" s="1634">
        <v>107.81</v>
      </c>
      <c r="M22" s="1634">
        <v>1617.07</v>
      </c>
      <c r="N22" s="1634">
        <v>0</v>
      </c>
      <c r="O22" s="1634" t="s">
        <v>3084</v>
      </c>
    </row>
    <row r="23" spans="1:15">
      <c r="A23" s="1634" t="s">
        <v>3135</v>
      </c>
      <c r="B23" s="1634" t="s">
        <v>3071</v>
      </c>
      <c r="C23" s="1634" t="s">
        <v>3072</v>
      </c>
      <c r="D23" s="1634" t="s">
        <v>3073</v>
      </c>
      <c r="E23" s="1634">
        <v>78367</v>
      </c>
      <c r="F23" s="1634">
        <v>156734</v>
      </c>
      <c r="G23" s="1634" t="s">
        <v>3136</v>
      </c>
      <c r="H23" s="1634" t="s">
        <v>3137</v>
      </c>
      <c r="I23" s="1634" t="s">
        <v>3138</v>
      </c>
      <c r="J23" s="1634">
        <v>16360</v>
      </c>
      <c r="K23" s="1634">
        <v>22900</v>
      </c>
      <c r="L23" s="1634">
        <v>194.81</v>
      </c>
      <c r="M23" s="1634">
        <v>1461.06</v>
      </c>
      <c r="N23" s="1634">
        <v>39.979999999999997</v>
      </c>
      <c r="O23" s="1634" t="s">
        <v>3077</v>
      </c>
    </row>
    <row r="24" spans="1:15">
      <c r="A24" s="1634" t="s">
        <v>3139</v>
      </c>
      <c r="B24" s="1634" t="s">
        <v>3071</v>
      </c>
      <c r="C24" s="1634" t="s">
        <v>3072</v>
      </c>
      <c r="D24" s="1634" t="s">
        <v>3073</v>
      </c>
      <c r="E24" s="1634">
        <v>96158</v>
      </c>
      <c r="F24" s="1634">
        <v>192316</v>
      </c>
      <c r="G24" s="1634" t="s">
        <v>3136</v>
      </c>
      <c r="H24" s="1634" t="s">
        <v>3137</v>
      </c>
      <c r="I24" s="1634" t="s">
        <v>3138</v>
      </c>
      <c r="J24" s="1634">
        <v>19960</v>
      </c>
      <c r="K24" s="1634">
        <v>27960</v>
      </c>
      <c r="L24" s="1634">
        <v>193.85</v>
      </c>
      <c r="M24" s="1634">
        <v>1453.85</v>
      </c>
      <c r="N24" s="1634">
        <v>40.08</v>
      </c>
      <c r="O24" s="1634" t="s">
        <v>3077</v>
      </c>
    </row>
    <row r="25" spans="1:15">
      <c r="A25" s="1634" t="s">
        <v>3140</v>
      </c>
      <c r="B25" s="1634" t="s">
        <v>3071</v>
      </c>
      <c r="C25" s="1634" t="s">
        <v>3072</v>
      </c>
      <c r="D25" s="1634" t="s">
        <v>3073</v>
      </c>
      <c r="E25" s="1634">
        <v>3948</v>
      </c>
      <c r="F25" s="1634">
        <v>3948</v>
      </c>
      <c r="G25" s="1634" t="s">
        <v>3141</v>
      </c>
      <c r="H25" s="1634" t="s">
        <v>3137</v>
      </c>
      <c r="I25" s="1634" t="s">
        <v>3142</v>
      </c>
      <c r="J25" s="1634">
        <v>210</v>
      </c>
      <c r="K25" s="1634">
        <v>210</v>
      </c>
      <c r="L25" s="1634">
        <v>35.46</v>
      </c>
      <c r="M25" s="1634">
        <v>531.9</v>
      </c>
      <c r="N25" s="1634">
        <v>0</v>
      </c>
      <c r="O25" s="1634" t="s">
        <v>3084</v>
      </c>
    </row>
    <row r="26" spans="1:15">
      <c r="A26" s="1634" t="s">
        <v>3143</v>
      </c>
      <c r="B26" s="1634" t="s">
        <v>3071</v>
      </c>
      <c r="C26" s="1634" t="s">
        <v>3072</v>
      </c>
      <c r="D26" s="1634" t="s">
        <v>3073</v>
      </c>
      <c r="E26" s="1634">
        <v>71490</v>
      </c>
      <c r="F26" s="1634">
        <v>142980</v>
      </c>
      <c r="G26" s="1634" t="s">
        <v>3115</v>
      </c>
      <c r="H26" s="1634" t="s">
        <v>3144</v>
      </c>
      <c r="I26" s="1634" t="s">
        <v>3145</v>
      </c>
      <c r="J26" s="1634">
        <v>19300</v>
      </c>
      <c r="K26" s="1634">
        <v>19300</v>
      </c>
      <c r="L26" s="1634">
        <v>179.98</v>
      </c>
      <c r="M26" s="1634">
        <v>1349.83</v>
      </c>
      <c r="N26" s="1634">
        <v>0</v>
      </c>
      <c r="O26" s="1634" t="s">
        <v>3121</v>
      </c>
    </row>
    <row r="27" spans="1:15">
      <c r="A27" s="1634" t="s">
        <v>3146</v>
      </c>
      <c r="B27" s="1634" t="s">
        <v>3071</v>
      </c>
      <c r="C27" s="1634" t="s">
        <v>3072</v>
      </c>
      <c r="D27" s="1634" t="s">
        <v>3073</v>
      </c>
      <c r="E27" s="1634">
        <v>6450</v>
      </c>
      <c r="F27" s="1634">
        <v>7740</v>
      </c>
      <c r="G27" s="1634" t="s">
        <v>3147</v>
      </c>
      <c r="H27" s="1634" t="s">
        <v>3148</v>
      </c>
      <c r="I27" s="1634" t="s">
        <v>3149</v>
      </c>
      <c r="J27" s="1634">
        <v>420</v>
      </c>
      <c r="K27" s="1634">
        <v>420</v>
      </c>
      <c r="L27" s="1634">
        <v>43.41</v>
      </c>
      <c r="M27" s="1634">
        <v>542.63</v>
      </c>
      <c r="N27" s="1634">
        <v>0</v>
      </c>
      <c r="O27" s="1634" t="s">
        <v>3084</v>
      </c>
    </row>
    <row r="28" spans="1:15">
      <c r="A28" s="1634" t="s">
        <v>3150</v>
      </c>
      <c r="B28" s="1634" t="s">
        <v>3071</v>
      </c>
      <c r="C28" s="1634" t="s">
        <v>3072</v>
      </c>
      <c r="D28" s="1634" t="s">
        <v>3073</v>
      </c>
      <c r="E28" s="1634">
        <v>15766</v>
      </c>
      <c r="F28" s="1634">
        <v>44144.800000000003</v>
      </c>
      <c r="G28" s="1634" t="s">
        <v>3151</v>
      </c>
      <c r="H28" s="1634" t="s">
        <v>3152</v>
      </c>
      <c r="I28" s="1634" t="s">
        <v>3120</v>
      </c>
      <c r="J28" s="1634">
        <v>1950</v>
      </c>
      <c r="K28" s="1634">
        <v>1950</v>
      </c>
      <c r="L28" s="1634">
        <v>82.46</v>
      </c>
      <c r="M28" s="1634">
        <v>441.73</v>
      </c>
      <c r="N28" s="1634">
        <v>0</v>
      </c>
      <c r="O28" s="1634" t="s">
        <v>3077</v>
      </c>
    </row>
    <row r="29" spans="1:15">
      <c r="A29" s="1634" t="s">
        <v>3153</v>
      </c>
      <c r="B29" s="1634" t="s">
        <v>3071</v>
      </c>
      <c r="C29" s="1634" t="s">
        <v>3072</v>
      </c>
      <c r="D29" s="1634" t="s">
        <v>3073</v>
      </c>
      <c r="E29" s="1634">
        <v>5838</v>
      </c>
      <c r="F29" s="1634">
        <v>1751.4</v>
      </c>
      <c r="G29" s="1634" t="s">
        <v>3154</v>
      </c>
      <c r="H29" s="1634" t="s">
        <v>3155</v>
      </c>
      <c r="I29" s="1634" t="s">
        <v>3127</v>
      </c>
      <c r="J29" s="1634">
        <v>960</v>
      </c>
      <c r="K29" s="1634">
        <v>2850</v>
      </c>
      <c r="L29" s="1634">
        <v>325.45</v>
      </c>
      <c r="M29" s="1634">
        <v>16272.7</v>
      </c>
      <c r="N29" s="1634">
        <v>196.88</v>
      </c>
      <c r="O29" s="1634" t="s">
        <v>3084</v>
      </c>
    </row>
    <row r="30" spans="1:15">
      <c r="A30" s="1634" t="s">
        <v>3156</v>
      </c>
      <c r="B30" s="1634" t="s">
        <v>3071</v>
      </c>
      <c r="C30" s="1634" t="s">
        <v>3072</v>
      </c>
      <c r="D30" s="1634" t="s">
        <v>3073</v>
      </c>
      <c r="E30" s="1634">
        <v>6025</v>
      </c>
      <c r="F30" s="1634">
        <v>1807.5</v>
      </c>
      <c r="G30" s="1634" t="s">
        <v>3154</v>
      </c>
      <c r="H30" s="1634" t="s">
        <v>3155</v>
      </c>
      <c r="I30" s="1634" t="s">
        <v>3157</v>
      </c>
      <c r="J30" s="1634">
        <v>960</v>
      </c>
      <c r="K30" s="1634">
        <v>980</v>
      </c>
      <c r="L30" s="1634">
        <v>108.44</v>
      </c>
      <c r="M30" s="1634">
        <v>5421.85</v>
      </c>
      <c r="N30" s="1634">
        <v>2.08</v>
      </c>
      <c r="O30" s="1634" t="s">
        <v>3093</v>
      </c>
    </row>
    <row r="31" spans="1:15">
      <c r="A31" s="1634" t="s">
        <v>3158</v>
      </c>
      <c r="B31" s="1634" t="s">
        <v>3071</v>
      </c>
      <c r="C31" s="1634" t="s">
        <v>3072</v>
      </c>
      <c r="D31" s="1634" t="s">
        <v>3073</v>
      </c>
      <c r="E31" s="1634">
        <v>4210</v>
      </c>
      <c r="F31" s="1634">
        <v>1263</v>
      </c>
      <c r="G31" s="1634" t="s">
        <v>3154</v>
      </c>
      <c r="H31" s="1634" t="s">
        <v>3155</v>
      </c>
      <c r="I31" s="1634" t="s">
        <v>3097</v>
      </c>
      <c r="J31" s="1634">
        <v>640</v>
      </c>
      <c r="K31" s="1634">
        <v>640</v>
      </c>
      <c r="L31" s="1634">
        <v>101.35</v>
      </c>
      <c r="M31" s="1634">
        <v>5067.3</v>
      </c>
      <c r="N31" s="1634">
        <v>0</v>
      </c>
      <c r="O31" s="1634" t="s">
        <v>3093</v>
      </c>
    </row>
    <row r="32" spans="1:15">
      <c r="A32" s="1634" t="s">
        <v>3159</v>
      </c>
      <c r="B32" s="1634" t="s">
        <v>3071</v>
      </c>
      <c r="C32" s="1634" t="s">
        <v>3072</v>
      </c>
      <c r="D32" s="1634" t="s">
        <v>3073</v>
      </c>
      <c r="E32" s="1634">
        <v>10007</v>
      </c>
      <c r="F32" s="1634">
        <v>14009.8</v>
      </c>
      <c r="G32" s="1634" t="s">
        <v>3160</v>
      </c>
      <c r="H32" s="1634" t="s">
        <v>3155</v>
      </c>
      <c r="I32" s="1634" t="s">
        <v>3161</v>
      </c>
      <c r="J32" s="1634">
        <v>650</v>
      </c>
      <c r="K32" s="1634">
        <v>650</v>
      </c>
      <c r="L32" s="1634">
        <v>43.3</v>
      </c>
      <c r="M32" s="1634">
        <v>463.95</v>
      </c>
      <c r="N32" s="1634">
        <v>0</v>
      </c>
      <c r="O32" s="1634" t="s">
        <v>3077</v>
      </c>
    </row>
    <row r="33" spans="1:15">
      <c r="A33" s="1634" t="s">
        <v>3162</v>
      </c>
      <c r="B33" s="1634" t="s">
        <v>3071</v>
      </c>
      <c r="C33" s="1634" t="s">
        <v>3072</v>
      </c>
      <c r="D33" s="1634" t="s">
        <v>3073</v>
      </c>
      <c r="E33" s="1634">
        <v>19998</v>
      </c>
      <c r="F33" s="1634">
        <v>23997.599999999999</v>
      </c>
      <c r="G33" s="1634" t="s">
        <v>3163</v>
      </c>
      <c r="H33" s="1634" t="s">
        <v>3164</v>
      </c>
      <c r="I33" s="1634" t="s">
        <v>3076</v>
      </c>
      <c r="J33" s="1634">
        <v>1100</v>
      </c>
      <c r="K33" s="1634">
        <v>1550</v>
      </c>
      <c r="L33" s="1634">
        <v>51.67</v>
      </c>
      <c r="M33" s="1634">
        <v>645.89</v>
      </c>
      <c r="N33" s="1634">
        <v>40.909999999999997</v>
      </c>
      <c r="O33" s="1634" t="s">
        <v>3084</v>
      </c>
    </row>
    <row r="34" spans="1:15">
      <c r="A34" s="1634" t="s">
        <v>3165</v>
      </c>
      <c r="B34" s="1634" t="s">
        <v>3071</v>
      </c>
      <c r="C34" s="1634" t="s">
        <v>3072</v>
      </c>
      <c r="D34" s="1634" t="s">
        <v>3073</v>
      </c>
      <c r="E34" s="1634">
        <v>23200</v>
      </c>
      <c r="F34" s="1634">
        <v>46400</v>
      </c>
      <c r="G34" s="1634" t="s">
        <v>3166</v>
      </c>
      <c r="H34" s="1634" t="s">
        <v>3167</v>
      </c>
      <c r="I34" s="1634" t="s">
        <v>3092</v>
      </c>
      <c r="J34" s="1634">
        <v>2160</v>
      </c>
      <c r="K34" s="1634">
        <v>3140</v>
      </c>
      <c r="L34" s="1634">
        <v>90.23</v>
      </c>
      <c r="M34" s="1634">
        <v>676.72</v>
      </c>
      <c r="N34" s="1634">
        <v>45.37</v>
      </c>
      <c r="O34" s="1634" t="s">
        <v>3093</v>
      </c>
    </row>
    <row r="35" spans="1:15">
      <c r="A35" s="1634" t="s">
        <v>3165</v>
      </c>
      <c r="B35" s="1634" t="s">
        <v>3071</v>
      </c>
      <c r="C35" s="1634" t="s">
        <v>3072</v>
      </c>
      <c r="D35" s="1634" t="s">
        <v>3073</v>
      </c>
      <c r="E35" s="1634">
        <v>30666</v>
      </c>
      <c r="F35" s="1634">
        <v>61332</v>
      </c>
      <c r="G35" s="1634" t="s">
        <v>3166</v>
      </c>
      <c r="H35" s="1634" t="s">
        <v>3167</v>
      </c>
      <c r="I35" s="1634" t="s">
        <v>3092</v>
      </c>
      <c r="J35" s="1634">
        <v>2850</v>
      </c>
      <c r="K35" s="1634">
        <v>4140</v>
      </c>
      <c r="L35" s="1634">
        <v>90</v>
      </c>
      <c r="M35" s="1634">
        <v>675</v>
      </c>
      <c r="N35" s="1634">
        <v>45.26</v>
      </c>
      <c r="O35" s="1634" t="s">
        <v>3093</v>
      </c>
    </row>
    <row r="36" spans="1:15">
      <c r="A36" s="1634" t="s">
        <v>3168</v>
      </c>
      <c r="B36" s="1634" t="s">
        <v>3071</v>
      </c>
      <c r="C36" s="1634" t="s">
        <v>3072</v>
      </c>
      <c r="D36" s="1634" t="s">
        <v>3073</v>
      </c>
      <c r="E36" s="1634">
        <v>24400</v>
      </c>
      <c r="F36" s="1634">
        <v>73200</v>
      </c>
      <c r="G36" s="1634" t="s">
        <v>3169</v>
      </c>
      <c r="H36" s="1634" t="s">
        <v>3170</v>
      </c>
      <c r="I36" s="1634" t="s">
        <v>3171</v>
      </c>
      <c r="J36" s="1634">
        <v>2230</v>
      </c>
      <c r="K36" s="1634">
        <v>2230</v>
      </c>
      <c r="L36" s="1634">
        <v>60.93</v>
      </c>
      <c r="M36" s="1634">
        <v>304.63</v>
      </c>
      <c r="N36" s="1634">
        <v>0</v>
      </c>
      <c r="O36" s="1634" t="s">
        <v>3077</v>
      </c>
    </row>
    <row r="37" spans="1:15">
      <c r="A37" s="1634" t="s">
        <v>3172</v>
      </c>
      <c r="B37" s="1634" t="s">
        <v>3071</v>
      </c>
      <c r="C37" s="1634" t="s">
        <v>3072</v>
      </c>
      <c r="D37" s="1634" t="s">
        <v>3073</v>
      </c>
      <c r="E37" s="1634">
        <v>8135</v>
      </c>
      <c r="F37" s="1634">
        <v>17897</v>
      </c>
      <c r="G37" s="1634" t="s">
        <v>3173</v>
      </c>
      <c r="H37" s="1634" t="s">
        <v>3174</v>
      </c>
      <c r="I37" s="1634" t="s">
        <v>3175</v>
      </c>
      <c r="J37" s="1634">
        <v>3930</v>
      </c>
      <c r="K37" s="1634">
        <v>6000</v>
      </c>
      <c r="L37" s="1634">
        <v>491.7</v>
      </c>
      <c r="M37" s="1634">
        <v>3352.51</v>
      </c>
      <c r="N37" s="1634">
        <v>52.67</v>
      </c>
      <c r="O37" s="1634" t="s">
        <v>3089</v>
      </c>
    </row>
    <row r="38" spans="1:15">
      <c r="A38" s="1634" t="s">
        <v>3176</v>
      </c>
      <c r="B38" s="1634" t="s">
        <v>3071</v>
      </c>
      <c r="C38" s="1634" t="s">
        <v>3072</v>
      </c>
      <c r="D38" s="1634" t="s">
        <v>3073</v>
      </c>
      <c r="E38" s="1634">
        <v>20007</v>
      </c>
      <c r="F38" s="1634">
        <v>36012.6</v>
      </c>
      <c r="G38" s="1634" t="s">
        <v>3177</v>
      </c>
      <c r="H38" s="1634" t="s">
        <v>3178</v>
      </c>
      <c r="I38" s="1634" t="s">
        <v>3179</v>
      </c>
      <c r="J38" s="1634">
        <v>1260</v>
      </c>
      <c r="K38" s="1634">
        <v>1290</v>
      </c>
      <c r="L38" s="1634">
        <v>42.98</v>
      </c>
      <c r="M38" s="1634">
        <v>358.2</v>
      </c>
      <c r="N38" s="1634">
        <v>2.38</v>
      </c>
      <c r="O38" s="1634" t="s">
        <v>3084</v>
      </c>
    </row>
    <row r="39" spans="1:15">
      <c r="A39" s="1634" t="s">
        <v>3180</v>
      </c>
      <c r="B39" s="1634" t="s">
        <v>3071</v>
      </c>
      <c r="C39" s="1634" t="s">
        <v>3072</v>
      </c>
      <c r="D39" s="1634" t="s">
        <v>3073</v>
      </c>
      <c r="E39" s="1634">
        <v>3100</v>
      </c>
      <c r="F39" s="1634">
        <v>3100</v>
      </c>
      <c r="G39" s="1634" t="s">
        <v>3181</v>
      </c>
      <c r="H39" s="1634" t="s">
        <v>3182</v>
      </c>
      <c r="I39" s="1634" t="s">
        <v>3183</v>
      </c>
      <c r="J39" s="1634">
        <v>510</v>
      </c>
      <c r="K39" s="1634">
        <v>510</v>
      </c>
      <c r="L39" s="1634">
        <v>109.68</v>
      </c>
      <c r="M39" s="1634">
        <v>1645.16</v>
      </c>
      <c r="N39" s="1634">
        <v>0</v>
      </c>
      <c r="O39" s="1634" t="s">
        <v>3077</v>
      </c>
    </row>
    <row r="40" spans="1:15">
      <c r="A40" s="1634" t="s">
        <v>3184</v>
      </c>
      <c r="B40" s="1634" t="s">
        <v>3071</v>
      </c>
      <c r="C40" s="1634" t="s">
        <v>3072</v>
      </c>
      <c r="D40" s="1634" t="s">
        <v>3073</v>
      </c>
      <c r="E40" s="1634">
        <v>140324</v>
      </c>
      <c r="F40" s="1634">
        <v>252583.2</v>
      </c>
      <c r="G40" s="1634" t="s">
        <v>3185</v>
      </c>
      <c r="H40" s="1634" t="s">
        <v>3182</v>
      </c>
      <c r="I40" s="1634" t="s">
        <v>3105</v>
      </c>
      <c r="J40" s="1634">
        <v>11600</v>
      </c>
      <c r="K40" s="1634">
        <v>17170</v>
      </c>
      <c r="L40" s="1634">
        <v>81.569999999999993</v>
      </c>
      <c r="M40" s="1634">
        <v>679.77</v>
      </c>
      <c r="N40" s="1634">
        <v>48.02</v>
      </c>
      <c r="O40" s="1634" t="s">
        <v>3077</v>
      </c>
    </row>
    <row r="41" spans="1:15">
      <c r="A41" s="1634" t="s">
        <v>3186</v>
      </c>
      <c r="B41" s="1634" t="s">
        <v>3071</v>
      </c>
      <c r="C41" s="1634" t="s">
        <v>3072</v>
      </c>
      <c r="D41" s="1634" t="s">
        <v>3073</v>
      </c>
      <c r="E41" s="1634">
        <v>28760</v>
      </c>
      <c r="F41" s="1634">
        <v>51768</v>
      </c>
      <c r="G41" s="1634" t="s">
        <v>3177</v>
      </c>
      <c r="H41" s="1634" t="s">
        <v>3187</v>
      </c>
      <c r="I41" s="1634" t="s">
        <v>3105</v>
      </c>
      <c r="J41" s="1634">
        <v>2500</v>
      </c>
      <c r="K41" s="1634">
        <v>3700</v>
      </c>
      <c r="L41" s="1634">
        <v>85.77</v>
      </c>
      <c r="M41" s="1634">
        <v>714.73</v>
      </c>
      <c r="N41" s="1634">
        <v>48</v>
      </c>
      <c r="O41" s="1634" t="s">
        <v>3084</v>
      </c>
    </row>
    <row r="42" spans="1:15">
      <c r="A42" s="1634" t="s">
        <v>3188</v>
      </c>
      <c r="B42" s="1634" t="s">
        <v>3071</v>
      </c>
      <c r="C42" s="1634" t="s">
        <v>3072</v>
      </c>
      <c r="D42" s="1634" t="s">
        <v>3073</v>
      </c>
      <c r="E42" s="1634">
        <v>27576</v>
      </c>
      <c r="F42" s="1634">
        <v>82728</v>
      </c>
      <c r="G42" s="1634" t="s">
        <v>3189</v>
      </c>
      <c r="H42" s="1634" t="s">
        <v>3187</v>
      </c>
      <c r="I42" s="1634" t="s">
        <v>3190</v>
      </c>
      <c r="J42" s="1634">
        <v>3140</v>
      </c>
      <c r="K42" s="1634">
        <v>4680</v>
      </c>
      <c r="L42" s="1634">
        <v>113.14</v>
      </c>
      <c r="M42" s="1634">
        <v>565.71</v>
      </c>
      <c r="N42" s="1634">
        <v>49.04</v>
      </c>
      <c r="O42" s="1634" t="s">
        <v>3077</v>
      </c>
    </row>
    <row r="43" spans="1:15">
      <c r="A43" s="1634" t="s">
        <v>3191</v>
      </c>
      <c r="B43" s="1634" t="s">
        <v>3071</v>
      </c>
      <c r="C43" s="1634" t="s">
        <v>3072</v>
      </c>
      <c r="D43" s="1634" t="s">
        <v>3073</v>
      </c>
      <c r="E43" s="1634">
        <v>46688</v>
      </c>
      <c r="F43" s="1634">
        <v>140064</v>
      </c>
      <c r="G43" s="1634" t="s">
        <v>3189</v>
      </c>
      <c r="H43" s="1634" t="s">
        <v>3187</v>
      </c>
      <c r="I43" s="1634" t="s">
        <v>3190</v>
      </c>
      <c r="J43" s="1634">
        <v>4970</v>
      </c>
      <c r="K43" s="1634">
        <v>7400</v>
      </c>
      <c r="L43" s="1634">
        <v>105.67</v>
      </c>
      <c r="M43" s="1634">
        <v>528.33000000000004</v>
      </c>
      <c r="N43" s="1634">
        <v>48.89</v>
      </c>
      <c r="O43" s="1634" t="s">
        <v>3077</v>
      </c>
    </row>
    <row r="44" spans="1:15">
      <c r="A44" s="1634" t="s">
        <v>3192</v>
      </c>
      <c r="B44" s="1634" t="s">
        <v>3071</v>
      </c>
      <c r="C44" s="1634" t="s">
        <v>3072</v>
      </c>
      <c r="D44" s="1634" t="s">
        <v>3073</v>
      </c>
      <c r="E44" s="1634">
        <v>62440</v>
      </c>
      <c r="F44" s="1634">
        <v>156100</v>
      </c>
      <c r="G44" s="1634" t="s">
        <v>3193</v>
      </c>
      <c r="H44" s="1634" t="s">
        <v>3194</v>
      </c>
      <c r="I44" s="1634" t="s">
        <v>3076</v>
      </c>
      <c r="J44" s="1634">
        <v>13580</v>
      </c>
      <c r="K44" s="1634">
        <v>18300</v>
      </c>
      <c r="L44" s="1634">
        <v>195.39</v>
      </c>
      <c r="M44" s="1634">
        <v>1172.32</v>
      </c>
      <c r="N44" s="1634">
        <v>34.76</v>
      </c>
      <c r="O44" s="1634" t="s">
        <v>3084</v>
      </c>
    </row>
    <row r="45" spans="1:15">
      <c r="A45" s="1634" t="s">
        <v>3195</v>
      </c>
      <c r="B45" s="1634" t="s">
        <v>3071</v>
      </c>
      <c r="C45" s="1634" t="s">
        <v>3072</v>
      </c>
      <c r="D45" s="1634" t="s">
        <v>3073</v>
      </c>
      <c r="E45" s="1634">
        <v>13470</v>
      </c>
      <c r="F45" s="1634">
        <v>37716</v>
      </c>
      <c r="G45" s="1634" t="s">
        <v>3196</v>
      </c>
      <c r="H45" s="1634" t="s">
        <v>3194</v>
      </c>
      <c r="I45" s="1634" t="s">
        <v>3197</v>
      </c>
      <c r="J45" s="1634">
        <v>3030</v>
      </c>
      <c r="K45" s="1634">
        <v>4390</v>
      </c>
      <c r="L45" s="1634">
        <v>217.27</v>
      </c>
      <c r="M45" s="1634">
        <v>1163.96</v>
      </c>
      <c r="N45" s="1634">
        <v>44.88</v>
      </c>
      <c r="O45" s="1634" t="s">
        <v>3093</v>
      </c>
    </row>
    <row r="46" spans="1:15">
      <c r="A46" s="1634" t="s">
        <v>3198</v>
      </c>
      <c r="B46" s="1634" t="s">
        <v>3071</v>
      </c>
      <c r="C46" s="1634" t="s">
        <v>3072</v>
      </c>
      <c r="D46" s="1634" t="s">
        <v>3073</v>
      </c>
      <c r="E46" s="1634">
        <v>63030</v>
      </c>
      <c r="F46" s="1634">
        <v>176484</v>
      </c>
      <c r="G46" s="1634" t="s">
        <v>3196</v>
      </c>
      <c r="H46" s="1634" t="s">
        <v>3194</v>
      </c>
      <c r="I46" s="1634" t="s">
        <v>3197</v>
      </c>
      <c r="J46" s="1634">
        <v>14180</v>
      </c>
      <c r="K46" s="1634">
        <v>20560</v>
      </c>
      <c r="L46" s="1634">
        <v>217.46</v>
      </c>
      <c r="M46" s="1634">
        <v>1164.98</v>
      </c>
      <c r="N46" s="1634">
        <v>44.99</v>
      </c>
      <c r="O46" s="1634" t="s">
        <v>3121</v>
      </c>
    </row>
    <row r="47" spans="1:15">
      <c r="A47" s="1634" t="s">
        <v>3199</v>
      </c>
      <c r="B47" s="1634" t="s">
        <v>3071</v>
      </c>
      <c r="C47" s="1634" t="s">
        <v>3072</v>
      </c>
      <c r="D47" s="1634" t="s">
        <v>3073</v>
      </c>
      <c r="E47" s="1634">
        <v>17520</v>
      </c>
      <c r="F47" s="1634">
        <v>49056</v>
      </c>
      <c r="G47" s="1634" t="s">
        <v>3196</v>
      </c>
      <c r="H47" s="1634" t="s">
        <v>3194</v>
      </c>
      <c r="I47" s="1634" t="s">
        <v>3197</v>
      </c>
      <c r="J47" s="1634">
        <v>4070</v>
      </c>
      <c r="K47" s="1634">
        <v>5900</v>
      </c>
      <c r="L47" s="1634">
        <v>224.51</v>
      </c>
      <c r="M47" s="1634">
        <v>1202.71</v>
      </c>
      <c r="N47" s="1634">
        <v>44.96</v>
      </c>
      <c r="O47" s="1634" t="s">
        <v>3093</v>
      </c>
    </row>
    <row r="48" spans="1:15">
      <c r="A48" s="1634" t="s">
        <v>3200</v>
      </c>
      <c r="B48" s="1634" t="s">
        <v>3071</v>
      </c>
      <c r="C48" s="1634" t="s">
        <v>3072</v>
      </c>
      <c r="D48" s="1634" t="s">
        <v>3073</v>
      </c>
      <c r="E48" s="1634">
        <v>64820</v>
      </c>
      <c r="F48" s="1634">
        <v>181496</v>
      </c>
      <c r="G48" s="1634" t="s">
        <v>3196</v>
      </c>
      <c r="H48" s="1634" t="s">
        <v>3194</v>
      </c>
      <c r="I48" s="1634" t="s">
        <v>3197</v>
      </c>
      <c r="J48" s="1634">
        <v>15070</v>
      </c>
      <c r="K48" s="1634">
        <v>21850</v>
      </c>
      <c r="L48" s="1634">
        <v>224.72</v>
      </c>
      <c r="M48" s="1634">
        <v>1203.8800000000001</v>
      </c>
      <c r="N48" s="1634">
        <v>44.99</v>
      </c>
      <c r="O48" s="1634" t="s">
        <v>3089</v>
      </c>
    </row>
    <row r="49" spans="1:15">
      <c r="A49" s="1634" t="s">
        <v>3201</v>
      </c>
      <c r="B49" s="1634" t="s">
        <v>3071</v>
      </c>
      <c r="C49" s="1634" t="s">
        <v>3072</v>
      </c>
      <c r="D49" s="1634" t="s">
        <v>3073</v>
      </c>
      <c r="E49" s="1634">
        <v>17020</v>
      </c>
      <c r="F49" s="1634">
        <v>47656</v>
      </c>
      <c r="G49" s="1634" t="s">
        <v>3196</v>
      </c>
      <c r="H49" s="1634" t="s">
        <v>3194</v>
      </c>
      <c r="I49" s="1634" t="s">
        <v>3197</v>
      </c>
      <c r="J49" s="1634">
        <v>3830</v>
      </c>
      <c r="K49" s="1634">
        <v>5550</v>
      </c>
      <c r="L49" s="1634">
        <v>217.39</v>
      </c>
      <c r="M49" s="1634">
        <v>1164.5899999999999</v>
      </c>
      <c r="N49" s="1634">
        <v>44.91</v>
      </c>
      <c r="O49" s="1634" t="s">
        <v>3093</v>
      </c>
    </row>
    <row r="50" spans="1:15">
      <c r="A50" s="1634" t="s">
        <v>3202</v>
      </c>
      <c r="B50" s="1634" t="s">
        <v>3071</v>
      </c>
      <c r="C50" s="1634" t="s">
        <v>3072</v>
      </c>
      <c r="D50" s="1634" t="s">
        <v>3073</v>
      </c>
      <c r="E50" s="1634">
        <v>14610</v>
      </c>
      <c r="F50" s="1634">
        <v>40908</v>
      </c>
      <c r="G50" s="1634" t="s">
        <v>3196</v>
      </c>
      <c r="H50" s="1634" t="s">
        <v>3194</v>
      </c>
      <c r="I50" s="1634" t="s">
        <v>3197</v>
      </c>
      <c r="J50" s="1634">
        <v>3290</v>
      </c>
      <c r="K50" s="1634">
        <v>4770</v>
      </c>
      <c r="L50" s="1634">
        <v>217.66</v>
      </c>
      <c r="M50" s="1634">
        <v>1166.02</v>
      </c>
      <c r="N50" s="1634">
        <v>44.98</v>
      </c>
      <c r="O50" s="1634" t="s">
        <v>3093</v>
      </c>
    </row>
    <row r="51" spans="1:15">
      <c r="A51" s="1634" t="s">
        <v>3203</v>
      </c>
      <c r="B51" s="1634" t="s">
        <v>3071</v>
      </c>
      <c r="C51" s="1634" t="s">
        <v>3072</v>
      </c>
      <c r="D51" s="1634" t="s">
        <v>3073</v>
      </c>
      <c r="E51" s="1634">
        <v>40650</v>
      </c>
      <c r="F51" s="1634">
        <v>113820</v>
      </c>
      <c r="G51" s="1634" t="s">
        <v>3196</v>
      </c>
      <c r="H51" s="1634" t="s">
        <v>3194</v>
      </c>
      <c r="I51" s="1634" t="s">
        <v>3197</v>
      </c>
      <c r="J51" s="1634">
        <v>9150</v>
      </c>
      <c r="K51" s="1634">
        <v>13260</v>
      </c>
      <c r="L51" s="1634">
        <v>217.47</v>
      </c>
      <c r="M51" s="1634">
        <v>1165</v>
      </c>
      <c r="N51" s="1634">
        <v>44.92</v>
      </c>
      <c r="O51" s="1634" t="s">
        <v>3093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827</v>
      </c>
      <c r="C2" s="320" t="s">
        <v>2460</v>
      </c>
      <c r="D2" s="320"/>
      <c r="E2" s="320"/>
      <c r="F2" s="320"/>
      <c r="G2" s="320"/>
      <c r="H2" s="320"/>
      <c r="I2" s="320"/>
      <c r="J2" s="320"/>
      <c r="K2" s="320"/>
    </row>
    <row r="3" spans="1:33" ht="18" customHeight="1" thickBot="1">
      <c r="A3" s="247" t="s">
        <v>2329</v>
      </c>
      <c r="B3" s="248">
        <f ca="1">ROUND(B2*10000/IF(C1="",'数据-汇总表'!E3,INDIRECT("'数据-取费表'!K"&amp;$K$1)),0)</f>
        <v>5417</v>
      </c>
      <c r="C3" s="320" t="s">
        <v>2461</v>
      </c>
      <c r="D3" s="320"/>
      <c r="E3" s="320"/>
      <c r="F3" s="320"/>
      <c r="G3" s="320"/>
      <c r="H3" s="320"/>
      <c r="I3" s="320"/>
      <c r="J3" s="320"/>
      <c r="K3" s="320"/>
    </row>
    <row r="4" spans="1:33" s="956" customFormat="1" ht="16.5" customHeight="1">
      <c r="A4" s="953" t="s">
        <v>2462</v>
      </c>
      <c r="B4" s="954"/>
      <c r="C4" s="996">
        <f>SUM(C8:K8)</f>
        <v>916.02</v>
      </c>
      <c r="D4" s="954"/>
      <c r="E4" s="954"/>
      <c r="F4" s="954"/>
      <c r="G4" s="954"/>
      <c r="H4" s="954"/>
      <c r="I4" s="954"/>
      <c r="J4" s="954"/>
      <c r="K4" s="955"/>
    </row>
    <row r="5" spans="1:33" s="960" customFormat="1" ht="15">
      <c r="A5" s="957" t="s">
        <v>2463</v>
      </c>
      <c r="B5" s="958" t="s">
        <v>2464</v>
      </c>
      <c r="C5" s="2555" t="s">
        <v>1373</v>
      </c>
      <c r="D5" s="2555"/>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v>6000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1526.7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2468</v>
      </c>
      <c r="B8" s="177" t="s">
        <v>2469</v>
      </c>
      <c r="C8" s="997">
        <f>C6*C7/10000</f>
        <v>916.02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1526.7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1526.7</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14</v>
      </c>
      <c r="D18" s="1033"/>
      <c r="E18" s="24"/>
      <c r="F18" s="976"/>
      <c r="G18" s="2557"/>
      <c r="H18" s="1576"/>
      <c r="I18" s="2558"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90</v>
      </c>
      <c r="F19" s="976"/>
      <c r="G19" s="15"/>
      <c r="H19" s="1578"/>
      <c r="I19" s="981"/>
      <c r="J19" s="981"/>
      <c r="K19" s="982"/>
    </row>
    <row r="20" spans="1:33" s="975" customFormat="1" ht="13.5" customHeight="1">
      <c r="A20" s="971" t="s">
        <v>806</v>
      </c>
      <c r="B20" s="972" t="s">
        <v>2492</v>
      </c>
      <c r="C20" s="24">
        <f ca="1">ROUND(D20*E20/10000,0)</f>
        <v>14</v>
      </c>
      <c r="D20" s="1033">
        <f ca="1">IF(C1="",'数据-汇总表'!E6,IF(INDIRECT("'数据-取费表'!c"&amp;$K$1)="住宅",INDIRECT("'数据-取费表'!s"&amp;$K$1),INDIRECT("'数据-取费表'!k"&amp;$K$1)+INDIRECT("'数据-取费表'!s"&amp;$K$1)))</f>
        <v>1526.7</v>
      </c>
      <c r="E20" s="24">
        <f>'数据-取费表'!B28</f>
        <v>90</v>
      </c>
      <c r="F20" s="976"/>
      <c r="G20" s="15"/>
      <c r="H20" s="981"/>
      <c r="I20" s="981"/>
      <c r="J20" s="981"/>
      <c r="K20" s="982"/>
    </row>
    <row r="21" spans="1:33" s="975" customFormat="1" ht="13.5" customHeight="1">
      <c r="A21" s="961" t="s">
        <v>802</v>
      </c>
      <c r="B21" s="985" t="s">
        <v>2493</v>
      </c>
      <c r="C21" s="986">
        <f ca="1">C16+C17+C18</f>
        <v>14</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2506</v>
      </c>
      <c r="B28" s="2560" t="s">
        <v>2507</v>
      </c>
      <c r="C28" s="331">
        <f ca="1">C30</f>
        <v>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3</v>
      </c>
      <c r="D30" s="328"/>
      <c r="E30" s="329"/>
      <c r="F30" s="334"/>
      <c r="G30" s="140"/>
      <c r="H30" s="979"/>
      <c r="I30" s="979"/>
      <c r="J30" s="979"/>
      <c r="K30" s="980"/>
    </row>
    <row r="31" spans="1:33" s="975" customFormat="1" ht="13.5" customHeight="1" thickBot="1">
      <c r="A31" s="2561" t="s">
        <v>2511</v>
      </c>
      <c r="B31" s="1005" t="s">
        <v>2512</v>
      </c>
      <c r="C31" s="1006">
        <f>ROUND(C4*F31/(1+'数据-取费表'!C42),0)</f>
        <v>48</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827</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1">
        <f ca="1">C6+C10+C12</f>
        <v>0</v>
      </c>
      <c r="D5" s="1821" t="s">
        <v>1397</v>
      </c>
      <c r="E5" s="1292"/>
      <c r="F5" s="1293"/>
      <c r="G5" s="1850"/>
      <c r="H5" s="344">
        <v>1</v>
      </c>
      <c r="I5" s="345" t="s">
        <v>1396</v>
      </c>
      <c r="J5" s="1291">
        <f ca="1">J6+J10+J12</f>
        <v>0</v>
      </c>
      <c r="K5" s="1821" t="s">
        <v>1397</v>
      </c>
      <c r="L5" s="1292"/>
      <c r="M5" s="1293"/>
    </row>
    <row r="6" spans="1:37" ht="18" customHeight="1">
      <c r="A6" s="1290" t="s">
        <v>1032</v>
      </c>
      <c r="B6" s="3188" t="s">
        <v>1398</v>
      </c>
      <c r="C6" s="1295">
        <f ca="1">ROUND(F6*F8*F7*(1-F9)/10000,0)</f>
        <v>0</v>
      </c>
      <c r="D6" s="164" t="s">
        <v>3028</v>
      </c>
      <c r="E6" s="347" t="s">
        <v>1400</v>
      </c>
      <c r="F6" s="348">
        <f ca="1">INDIRECT("'数据-取费表'!u"&amp;$G$1)</f>
        <v>0</v>
      </c>
      <c r="G6" s="1850"/>
      <c r="H6" s="1290" t="s">
        <v>1032</v>
      </c>
      <c r="I6" s="3188" t="s">
        <v>1398</v>
      </c>
      <c r="J6" s="346">
        <f ca="1">ROUND(M6*M8*M7*(1-M9)/10000,0)</f>
        <v>0</v>
      </c>
      <c r="K6" s="164" t="s">
        <v>3027</v>
      </c>
      <c r="L6" s="347" t="s">
        <v>1400</v>
      </c>
      <c r="M6" s="348">
        <f ca="1">INDIRECT("'数据-取费表'!z"&amp;$G$1)</f>
        <v>0</v>
      </c>
    </row>
    <row r="7" spans="1:37" ht="18" customHeight="1">
      <c r="A7" s="1294"/>
      <c r="B7" s="3189"/>
      <c r="C7" s="1296"/>
      <c r="D7" s="352"/>
      <c r="E7" s="1297" t="s">
        <v>1401</v>
      </c>
      <c r="F7" s="348">
        <f ca="1">IF(INDIRECT("'数据-取费表'!ah"&amp;$G$1)="",INDIRECT("'数据-取费表'!k"&amp;$G$1),INDIRECT("'数据-取费表'!ah"&amp;$G$1))</f>
        <v>0</v>
      </c>
      <c r="G7" s="1850"/>
      <c r="H7" s="349"/>
      <c r="I7" s="3189"/>
      <c r="J7" s="351"/>
      <c r="K7" s="352"/>
      <c r="L7" s="347" t="s">
        <v>1401</v>
      </c>
      <c r="M7" s="348">
        <f ca="1">F7</f>
        <v>0</v>
      </c>
    </row>
    <row r="8" spans="1:37" ht="18" customHeight="1">
      <c r="A8" s="349"/>
      <c r="B8" s="3189"/>
      <c r="C8" s="351"/>
      <c r="D8" s="352"/>
      <c r="E8" s="347" t="s">
        <v>1402</v>
      </c>
      <c r="F8" s="348">
        <f ca="1">INDIRECT("'数据-取费表'!ai"&amp;$G$1)</f>
        <v>0</v>
      </c>
      <c r="G8" s="1850"/>
      <c r="H8" s="349"/>
      <c r="I8" s="3189"/>
      <c r="J8" s="351"/>
      <c r="K8" s="352"/>
      <c r="L8" s="347" t="s">
        <v>1402</v>
      </c>
      <c r="M8" s="348">
        <f ca="1">INDIRECT("'数据-取费表'!ai"&amp;$G$1)</f>
        <v>0</v>
      </c>
    </row>
    <row r="9" spans="1:37" ht="18" customHeight="1">
      <c r="A9" s="349"/>
      <c r="B9" s="3190"/>
      <c r="C9" s="351"/>
      <c r="D9" s="352"/>
      <c r="E9" s="347" t="s">
        <v>1403</v>
      </c>
      <c r="F9" s="357">
        <f ca="1">INDIRECT("'数据-取费表'!w"&amp;$G$1)</f>
        <v>0</v>
      </c>
      <c r="G9" s="1850"/>
      <c r="H9" s="349"/>
      <c r="I9" s="3190"/>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3037</v>
      </c>
      <c r="E10" s="358" t="s">
        <v>1405</v>
      </c>
      <c r="F10" s="1365"/>
      <c r="G10" s="1850"/>
      <c r="H10" s="1290" t="s">
        <v>1036</v>
      </c>
      <c r="I10" s="1822" t="s">
        <v>1404</v>
      </c>
      <c r="J10" s="346">
        <f ca="1">ROUND(IF(M10="押一",J6/12*M11,IF(M10="押二",J6/12*2*M11,IF(M10="押三",J6/12*3*M11,J11*M11))),0)</f>
        <v>0</v>
      </c>
      <c r="K10" s="1823" t="s">
        <v>3036</v>
      </c>
      <c r="L10" s="358" t="s">
        <v>1405</v>
      </c>
      <c r="M10" s="1365" t="s">
        <v>1406</v>
      </c>
    </row>
    <row r="11" spans="1:37" ht="18" customHeight="1">
      <c r="A11" s="353"/>
      <c r="B11" s="1824" t="s">
        <v>1383</v>
      </c>
      <c r="C11" s="1178"/>
      <c r="D11" s="1825"/>
      <c r="E11" s="358" t="s">
        <v>1407</v>
      </c>
      <c r="F11" s="359">
        <f ca="1">'数据-取费表'!B39</f>
        <v>1.4999999999999999E-2</v>
      </c>
      <c r="G11" s="1850"/>
      <c r="H11" s="1298"/>
      <c r="I11" s="1824" t="s">
        <v>1383</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8" t="s">
        <v>1027</v>
      </c>
      <c r="I16" s="1329" t="s">
        <v>1419</v>
      </c>
      <c r="J16" s="355">
        <f ca="1">ROUND(J17+J22+J23+J24,0)</f>
        <v>0</v>
      </c>
      <c r="K16" s="1336" t="s">
        <v>1420</v>
      </c>
      <c r="L16" s="1337"/>
      <c r="M16" s="1293"/>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ROUND(J5*M24,1)</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8" t="s">
        <v>1028</v>
      </c>
      <c r="I25" s="1343" t="s">
        <v>1458</v>
      </c>
      <c r="J25" s="355">
        <f ca="1">J5-J16</f>
        <v>0</v>
      </c>
      <c r="K25" s="1344" t="s">
        <v>1459</v>
      </c>
      <c r="L25" s="1345"/>
      <c r="M25" s="1346"/>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0</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0" t="s">
        <v>1384</v>
      </c>
      <c r="B34" s="164" t="s">
        <v>1436</v>
      </c>
      <c r="C34" s="25">
        <f ca="1">IF(项目基本情况!B11="自然人","——",ROUND(F34*F35/10000,2))</f>
        <v>0</v>
      </c>
      <c r="D34" s="370" t="s">
        <v>1437</v>
      </c>
      <c r="E34" s="347" t="s">
        <v>1438</v>
      </c>
      <c r="F34" s="371">
        <f>'数据-取费表'!B52</f>
        <v>8</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5">
        <f ca="1">C5-C30</f>
        <v>0</v>
      </c>
      <c r="D39" s="1344" t="s">
        <v>1479</v>
      </c>
      <c r="E39" s="1345"/>
      <c r="F39" s="1346"/>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366" t="s">
        <v>1393</v>
      </c>
      <c r="D47" s="1197" t="s">
        <v>1394</v>
      </c>
      <c r="E47" s="1278" t="s">
        <v>1395</v>
      </c>
      <c r="F47" s="1279"/>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5" t="s">
        <v>1396</v>
      </c>
      <c r="C48" s="1816">
        <f ca="1">C49+C53+C55</f>
        <v>0</v>
      </c>
      <c r="D48" s="1361"/>
      <c r="E48" s="1362"/>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3">
        <f ca="1">ROUND(F49*F51*F50*(1-F52)/10000,0)</f>
        <v>0</v>
      </c>
      <c r="D49" s="1275" t="s">
        <v>3029</v>
      </c>
      <c r="E49" s="1829" t="s">
        <v>1486</v>
      </c>
      <c r="F49" s="1280"/>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367"/>
      <c r="D50" s="1172"/>
      <c r="E50" s="1276" t="s">
        <v>1401</v>
      </c>
      <c r="F50" s="1277">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4"/>
      <c r="I52" s="1902" t="s">
        <v>1538</v>
      </c>
      <c r="J52" s="1903"/>
      <c r="K52" s="1902" t="s">
        <v>1539</v>
      </c>
      <c r="L52" s="1903"/>
      <c r="O52" s="1893" t="s">
        <v>1042</v>
      </c>
      <c r="P52" s="1884" t="s">
        <v>1540</v>
      </c>
      <c r="Q52" s="1885">
        <f ca="1">J53</f>
        <v>0</v>
      </c>
      <c r="R52" s="1885" t="s">
        <v>1541</v>
      </c>
    </row>
    <row r="53" spans="1:18" s="1841" customFormat="1" ht="24.75" thickBot="1">
      <c r="A53" s="1404" t="s">
        <v>1134</v>
      </c>
      <c r="B53" s="1830" t="s">
        <v>1404</v>
      </c>
      <c r="C53" s="361">
        <f ca="1">ROUND(IF(F53="押一",C49/12*F11,IF(F53="押二",C49/12*2*F11,IF(F53="押三",C49/12*3*F11,C54*F11))),0)</f>
        <v>0</v>
      </c>
      <c r="D53" s="1823" t="s">
        <v>3036</v>
      </c>
      <c r="E53" s="358" t="s">
        <v>1405</v>
      </c>
      <c r="F53" s="1365"/>
      <c r="I53" s="1904" t="s">
        <v>1542</v>
      </c>
      <c r="J53" s="2951">
        <f ca="1">IF(M47="住宅",IF(D1="——",MAX(J51,L48),MAX(J51,L48-'数据-取费表'!B24)),IF(D1="——",MIN(J51,L48),MIN(J51,L48-'数据-取费表'!B24)))</f>
        <v>0</v>
      </c>
      <c r="K53" s="3186" t="s">
        <v>1543</v>
      </c>
      <c r="L53" s="3187"/>
      <c r="O53" s="1883" t="s">
        <v>1043</v>
      </c>
      <c r="P53" s="1884" t="s">
        <v>1544</v>
      </c>
      <c r="Q53" s="1885" t="e">
        <f ca="1">Q47+Q48</f>
        <v>#DIV/0!</v>
      </c>
      <c r="R53" s="1885" t="s">
        <v>1044</v>
      </c>
    </row>
    <row r="54" spans="1:18" s="1841" customFormat="1" ht="13.5" thickBot="1">
      <c r="A54" s="1405"/>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c r="K56" s="1886" t="s">
        <v>1550</v>
      </c>
      <c r="L56" s="1889">
        <f ca="1">IF(L48&lt;J51,"——",L48-J53)</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1552</v>
      </c>
      <c r="L57" s="1889">
        <f ca="1">IF(L48&lt;J51,"——",IF(L55="比较法",L49,IF(L55="基准地价",L50,L51)))</f>
        <v>0</v>
      </c>
      <c r="O57" s="1883" t="s">
        <v>1038</v>
      </c>
      <c r="P57" s="1884" t="s">
        <v>1553</v>
      </c>
      <c r="Q57" s="1885" t="e">
        <f ca="1">L60</f>
        <v>#DIV/0!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8</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4"/>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9" sqref="J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2">
        <f ca="1">J53</f>
        <v>33.299999999999997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898</v>
      </c>
      <c r="C2" s="1844" t="s">
        <v>1586</v>
      </c>
      <c r="D2" s="1936">
        <f ca="1">C40+J29+L46</f>
        <v>8975812</v>
      </c>
      <c r="E2" s="1845" t="s">
        <v>1587</v>
      </c>
      <c r="F2" s="1846"/>
      <c r="G2" s="1847"/>
      <c r="H2" s="1839"/>
      <c r="I2" s="1839"/>
      <c r="J2" s="1839"/>
      <c r="K2" s="1840"/>
      <c r="L2" s="1839"/>
      <c r="M2" s="1839"/>
    </row>
    <row r="3" spans="1:37" ht="18" customHeight="1" thickBot="1">
      <c r="A3" s="1848" t="s">
        <v>1588</v>
      </c>
      <c r="B3" s="1849">
        <f ca="1">IF(ISERROR(D2/F43),0,ROUND(D2/F43,0))</f>
        <v>5879</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1">
        <f ca="1">C6+C10+C12</f>
        <v>601825</v>
      </c>
      <c r="D5" s="1821" t="s">
        <v>1596</v>
      </c>
      <c r="E5" s="1292"/>
      <c r="F5" s="1293"/>
      <c r="G5" s="1850"/>
      <c r="H5" s="344">
        <v>1</v>
      </c>
      <c r="I5" s="345" t="s">
        <v>1595</v>
      </c>
      <c r="J5" s="1291">
        <f ca="1">J6+J10+J12</f>
        <v>0</v>
      </c>
      <c r="K5" s="1821" t="s">
        <v>1596</v>
      </c>
      <c r="L5" s="1292"/>
      <c r="M5" s="1293"/>
    </row>
    <row r="6" spans="1:37" ht="18" customHeight="1">
      <c r="A6" s="1290" t="s">
        <v>1032</v>
      </c>
      <c r="B6" s="3188" t="s">
        <v>1398</v>
      </c>
      <c r="C6" s="1295">
        <f ca="1">ROUND(F6*F8*F7*(1-F9),0)</f>
        <v>601825</v>
      </c>
      <c r="D6" s="164" t="s">
        <v>3025</v>
      </c>
      <c r="E6" s="347" t="s">
        <v>1400</v>
      </c>
      <c r="F6" s="348">
        <f ca="1">INDIRECT("'数据-取费表'!u"&amp;$G$1)</f>
        <v>1.2</v>
      </c>
      <c r="G6" s="1850"/>
      <c r="H6" s="1290" t="s">
        <v>1032</v>
      </c>
      <c r="I6" s="3188" t="s">
        <v>1398</v>
      </c>
      <c r="J6" s="346">
        <f ca="1">ROUND(M6*M8*M7*(1-M9),0)</f>
        <v>0</v>
      </c>
      <c r="K6" s="1833" t="s">
        <v>3026</v>
      </c>
      <c r="L6" s="347" t="s">
        <v>1400</v>
      </c>
      <c r="M6" s="348">
        <f ca="1">INDIRECT("'数据-取费表'!z"&amp;$G$1)</f>
        <v>0</v>
      </c>
    </row>
    <row r="7" spans="1:37" ht="18" customHeight="1">
      <c r="A7" s="1294"/>
      <c r="B7" s="3189"/>
      <c r="C7" s="1296"/>
      <c r="D7" s="352"/>
      <c r="E7" s="1297" t="s">
        <v>1401</v>
      </c>
      <c r="F7" s="348">
        <f ca="1">IF(INDIRECT("'数据-取费表'!ah"&amp;$G$1)="",INDIRECT("'数据-取费表'!k"&amp;$G$1),INDIRECT("'数据-取费表'!ah"&amp;$G$1))</f>
        <v>1526.7</v>
      </c>
      <c r="G7" s="1850"/>
      <c r="H7" s="349"/>
      <c r="I7" s="3189"/>
      <c r="J7" s="351"/>
      <c r="K7" s="352"/>
      <c r="L7" s="347" t="s">
        <v>1401</v>
      </c>
      <c r="M7" s="348">
        <f ca="1">F7</f>
        <v>1526.7</v>
      </c>
    </row>
    <row r="8" spans="1:37" ht="18" customHeight="1">
      <c r="A8" s="349"/>
      <c r="B8" s="3189"/>
      <c r="C8" s="351"/>
      <c r="D8" s="352"/>
      <c r="E8" s="347" t="s">
        <v>1402</v>
      </c>
      <c r="F8" s="348">
        <f ca="1">INDIRECT("'数据-取费表'!ai"&amp;$G$1)</f>
        <v>365</v>
      </c>
      <c r="G8" s="1850"/>
      <c r="H8" s="349"/>
      <c r="I8" s="3189"/>
      <c r="J8" s="351"/>
      <c r="K8" s="352"/>
      <c r="L8" s="347" t="s">
        <v>1402</v>
      </c>
      <c r="M8" s="348">
        <f ca="1">INDIRECT("'数据-取费表'!ai"&amp;$G$1)</f>
        <v>365</v>
      </c>
    </row>
    <row r="9" spans="1:37" ht="18" customHeight="1">
      <c r="A9" s="349"/>
      <c r="B9" s="3190"/>
      <c r="C9" s="351"/>
      <c r="D9" s="352"/>
      <c r="E9" s="347" t="s">
        <v>1403</v>
      </c>
      <c r="F9" s="357">
        <f ca="1">INDIRECT("'数据-取费表'!w"&amp;$G$1)</f>
        <v>0.1</v>
      </c>
      <c r="G9" s="1850"/>
      <c r="H9" s="349"/>
      <c r="I9" s="3190"/>
      <c r="J9" s="351"/>
      <c r="K9" s="352"/>
      <c r="L9" s="358" t="s">
        <v>1403</v>
      </c>
      <c r="M9" s="359">
        <f ca="1">INDIRECT("'数据-取费表'!ab"&amp;$G$1)</f>
        <v>0</v>
      </c>
    </row>
    <row r="10" spans="1:37" ht="18" customHeight="1">
      <c r="A10" s="1290" t="s">
        <v>1036</v>
      </c>
      <c r="B10" s="1822" t="s">
        <v>1404</v>
      </c>
      <c r="C10" s="361">
        <f ca="1">ROUND(IF(F10="押一",C6/12*F11,IF(F10="押二",C6/12*2*F11,IF(F10="押三",C6/12*3*F11,C11*F11))),0)</f>
        <v>0</v>
      </c>
      <c r="D10" s="1823" t="s">
        <v>3036</v>
      </c>
      <c r="E10" s="358" t="s">
        <v>1405</v>
      </c>
      <c r="F10" s="1365" t="s">
        <v>3216</v>
      </c>
      <c r="G10" s="1850"/>
      <c r="H10" s="1290" t="s">
        <v>1036</v>
      </c>
      <c r="I10" s="1822" t="s">
        <v>1404</v>
      </c>
      <c r="J10" s="346">
        <f ca="1">ROUND(IF(M10="押一",J6/12*M11,IF(M10="押二",J6/12*2*M11,IF(M10="押三",J6/12*3*M11,J11*M11))),0)</f>
        <v>0</v>
      </c>
      <c r="K10" s="1834" t="s">
        <v>3038</v>
      </c>
      <c r="L10" s="358" t="s">
        <v>1405</v>
      </c>
      <c r="M10" s="1365"/>
    </row>
    <row r="11" spans="1:37" ht="18" customHeight="1">
      <c r="A11" s="353"/>
      <c r="B11" s="1824" t="s">
        <v>1597</v>
      </c>
      <c r="C11" s="1178"/>
      <c r="D11" s="352"/>
      <c r="E11" s="358" t="s">
        <v>1407</v>
      </c>
      <c r="F11" s="359">
        <f ca="1">'数据-取费表'!B39</f>
        <v>1.4999999999999999E-2</v>
      </c>
      <c r="G11" s="1850"/>
      <c r="H11" s="1298"/>
      <c r="I11" s="1824" t="s">
        <v>1598</v>
      </c>
      <c r="J11" s="1178"/>
      <c r="K11" s="748"/>
      <c r="L11" s="358" t="s">
        <v>1407</v>
      </c>
      <c r="M11" s="1056">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5">
        <f ca="1">ROUND(C29*F13,0)</f>
        <v>5702031</v>
      </c>
      <c r="D13" s="1330" t="s">
        <v>1410</v>
      </c>
      <c r="E13" s="1330" t="s">
        <v>1411</v>
      </c>
      <c r="F13" s="1331">
        <f ca="1">INDIRECT("'数据-取费表'!y"&amp;$G$1)</f>
        <v>1</v>
      </c>
      <c r="G13" s="1850"/>
      <c r="H13" s="1328">
        <v>2</v>
      </c>
      <c r="I13" s="1329" t="s">
        <v>1409</v>
      </c>
      <c r="J13" s="1289">
        <f ca="1">ROUND(J14*J15,0)</f>
        <v>0</v>
      </c>
      <c r="K13" s="1336" t="s">
        <v>1410</v>
      </c>
      <c r="L13" s="1851"/>
      <c r="M13" s="1852"/>
    </row>
    <row r="14" spans="1:37" ht="18" customHeight="1">
      <c r="A14" s="1201" t="s">
        <v>1031</v>
      </c>
      <c r="B14" s="347" t="s">
        <v>1412</v>
      </c>
      <c r="C14" s="363">
        <f ca="1">ROUND(INDIRECT("'数据-取费表'!l"&amp;$G$1)*F43+'数据-取费表'!L14*INDIRECT("'数据-取费表'!S"&amp;$G$1),0)</f>
        <v>3664080</v>
      </c>
      <c r="D14" s="1799" t="s">
        <v>1413</v>
      </c>
      <c r="E14" s="1793"/>
      <c r="F14" s="364"/>
      <c r="G14" s="1850"/>
      <c r="H14" s="1201" t="s">
        <v>1032</v>
      </c>
      <c r="I14" s="347" t="s">
        <v>1414</v>
      </c>
      <c r="J14" s="24">
        <f ca="1">C29</f>
        <v>5702031</v>
      </c>
      <c r="K14" s="15"/>
      <c r="L14" s="979"/>
      <c r="M14" s="980"/>
    </row>
    <row r="15" spans="1:37" s="1857" customFormat="1" ht="18" customHeight="1" thickBot="1">
      <c r="A15" s="1201" t="s">
        <v>1033</v>
      </c>
      <c r="B15" s="347" t="s">
        <v>1415</v>
      </c>
      <c r="C15" s="24">
        <f ca="1">ROUND(C14*F15,0)</f>
        <v>109922</v>
      </c>
      <c r="D15" s="365" t="s">
        <v>1416</v>
      </c>
      <c r="E15" s="365" t="s">
        <v>1417</v>
      </c>
      <c r="F15" s="366">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8" t="s">
        <v>1027</v>
      </c>
      <c r="I16" s="1329" t="s">
        <v>1419</v>
      </c>
      <c r="J16" s="355">
        <f ca="1">ROUND(J17+J22+J23+J24,0)</f>
        <v>133427</v>
      </c>
      <c r="K16" s="1336" t="s">
        <v>1420</v>
      </c>
      <c r="L16" s="1337"/>
      <c r="M16" s="1293"/>
    </row>
    <row r="17" spans="1:37" s="1857" customFormat="1" ht="18" customHeight="1">
      <c r="A17" s="1201" t="s">
        <v>1385</v>
      </c>
      <c r="B17" s="347" t="s">
        <v>1421</v>
      </c>
      <c r="C17" s="24">
        <f ca="1">ROUND(F17*(F43+INDIRECT("'数据-取费表'!S"&amp;$G$1)),0)</f>
        <v>305340</v>
      </c>
      <c r="D17" s="347" t="s">
        <v>1422</v>
      </c>
      <c r="E17" s="347" t="s">
        <v>1423</v>
      </c>
      <c r="F17" s="26">
        <f>'数据-取费表'!B35</f>
        <v>200</v>
      </c>
      <c r="G17" s="1853"/>
      <c r="H17" s="1201" t="s">
        <v>1032</v>
      </c>
      <c r="I17" s="347" t="s">
        <v>1424</v>
      </c>
      <c r="J17" s="24">
        <f ca="1">ROUND(IF(项目基本情况!B11="自然人",J6*M17/(1+'数据-取费表'!C42),J18+J19+J20),0)</f>
        <v>47897</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54961</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4134303</v>
      </c>
      <c r="D19" s="140" t="s">
        <v>1431</v>
      </c>
      <c r="E19" s="1817"/>
      <c r="F19" s="26"/>
      <c r="G19" s="1850"/>
      <c r="H19" s="1201" t="s">
        <v>1033</v>
      </c>
      <c r="I19" s="347" t="s">
        <v>1432</v>
      </c>
      <c r="J19" s="24">
        <f ca="1">IF(K19="按租金收入计税",ROUND(J6*M19/(1+'数据-取费表'!C42),0),ROUND(C29*M19*0.7,0))</f>
        <v>47897</v>
      </c>
      <c r="K19" s="1827" t="s">
        <v>1433</v>
      </c>
      <c r="L19" s="347" t="s">
        <v>1417</v>
      </c>
      <c r="M19" s="367">
        <f>IF(K19="按租金收入计税",'数据-取费表'!B51,'数据-取费表'!B50)</f>
        <v>1.2E-2</v>
      </c>
    </row>
    <row r="20" spans="1:37" s="1857" customFormat="1" ht="18" customHeight="1">
      <c r="A20" s="1201" t="s">
        <v>1036</v>
      </c>
      <c r="B20" s="347" t="s">
        <v>1434</v>
      </c>
      <c r="C20" s="24">
        <f ca="1">ROUND(C19*F20,0)</f>
        <v>82686</v>
      </c>
      <c r="D20" s="369" t="s">
        <v>1435</v>
      </c>
      <c r="E20" s="347" t="s">
        <v>1417</v>
      </c>
      <c r="F20" s="367">
        <f>'数据-取费表'!B37</f>
        <v>0.02</v>
      </c>
      <c r="G20" s="1853"/>
      <c r="H20" s="1201" t="s">
        <v>1384</v>
      </c>
      <c r="I20" s="164" t="s">
        <v>1436</v>
      </c>
      <c r="J20" s="25">
        <f ca="1">ROUND(M20*M21,0)</f>
        <v>0</v>
      </c>
      <c r="K20" s="370" t="s">
        <v>1437</v>
      </c>
      <c r="L20" s="347" t="s">
        <v>1438</v>
      </c>
      <c r="M20" s="371">
        <f>'数据-取费表'!B52</f>
        <v>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85530</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200307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8" t="s">
        <v>1388</v>
      </c>
      <c r="I24" s="1339" t="s">
        <v>1434</v>
      </c>
      <c r="J24" s="1340">
        <f ca="1">ROUND(J5*M24,0)</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8" t="s">
        <v>1028</v>
      </c>
      <c r="I25" s="1343" t="s">
        <v>1458</v>
      </c>
      <c r="J25" s="355">
        <f ca="1">J5-J16</f>
        <v>-133427</v>
      </c>
      <c r="K25" s="1344" t="s">
        <v>1459</v>
      </c>
      <c r="L25" s="1345"/>
      <c r="M25" s="1346"/>
    </row>
    <row r="26" spans="1:37" ht="18" customHeight="1">
      <c r="A26" s="1201" t="s">
        <v>1031</v>
      </c>
      <c r="B26" s="347" t="s">
        <v>1460</v>
      </c>
      <c r="C26" s="24">
        <f ca="1">ROUND((C19+C20)*F26,0)</f>
        <v>843398</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5702031</v>
      </c>
      <c r="D29" s="1341"/>
      <c r="E29" s="1339"/>
      <c r="F29" s="1342"/>
      <c r="G29" s="1853"/>
      <c r="H29" s="380" t="s">
        <v>1030</v>
      </c>
      <c r="I29" s="381" t="s">
        <v>1474</v>
      </c>
      <c r="J29" s="382">
        <f ca="1">ROUND(J26/(1+F40)^F41,0)</f>
        <v>0</v>
      </c>
      <c r="K29" s="383" t="s">
        <v>1475</v>
      </c>
      <c r="L29" s="384"/>
      <c r="M29" s="385">
        <f ca="1">INDIRECT("'数据-取费表'!k"&amp;$G$1)</f>
        <v>1526.7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5">
        <f ca="1">ROUND(C31+C36+C37+C38,0)</f>
        <v>200405</v>
      </c>
      <c r="D30" s="1336" t="s">
        <v>1420</v>
      </c>
      <c r="E30" s="1337"/>
      <c r="F30" s="1293"/>
      <c r="G30" s="1850"/>
      <c r="H30" s="745"/>
      <c r="I30" s="746"/>
      <c r="J30" s="747"/>
      <c r="K30" s="748"/>
      <c r="L30" s="749"/>
      <c r="M30" s="750"/>
    </row>
    <row r="31" spans="1:37" ht="18" customHeight="1">
      <c r="A31" s="1201" t="s">
        <v>1032</v>
      </c>
      <c r="B31" s="347" t="s">
        <v>1424</v>
      </c>
      <c r="C31" s="24">
        <f ca="1">ROUND(IF(项目基本情况!B11="自然人",C6*F31/(1+'数据-取费表'!C42),C32+C33+C34),0)</f>
        <v>100304</v>
      </c>
      <c r="D31" s="1799" t="s">
        <v>1425</v>
      </c>
      <c r="E31" s="1797" t="s">
        <v>1476</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1031</v>
      </c>
      <c r="B32" s="347" t="s">
        <v>1428</v>
      </c>
      <c r="C32" s="24">
        <f ca="1">IF(项目基本情况!B11="自然人","——",ROUND(C6*F32/(1+'数据-取费表'!C42),0))</f>
        <v>31524</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68780</v>
      </c>
      <c r="D33" s="1827" t="s">
        <v>3217</v>
      </c>
      <c r="E33" s="347" t="s">
        <v>1417</v>
      </c>
      <c r="F33" s="367">
        <f>IF(D33="按票据","——",IF(D33="按租金收入计税",'数据-取费表'!B51,'数据-取费表'!B50))</f>
        <v>0.12</v>
      </c>
      <c r="G33" s="1850"/>
      <c r="H33" s="1858"/>
      <c r="I33" s="1859"/>
      <c r="J33" s="1860"/>
      <c r="K33" s="1861"/>
      <c r="L33" s="1858"/>
      <c r="M33" s="1858"/>
    </row>
    <row r="34" spans="1:18" ht="18" customHeight="1">
      <c r="A34" s="1290" t="s">
        <v>1384</v>
      </c>
      <c r="B34" s="164" t="s">
        <v>1436</v>
      </c>
      <c r="C34" s="25">
        <f ca="1">IF(项目基本情况!B11="自然人","——",ROUND(F34*F35,))</f>
        <v>0</v>
      </c>
      <c r="D34" s="370" t="s">
        <v>1437</v>
      </c>
      <c r="E34" s="347" t="s">
        <v>1438</v>
      </c>
      <c r="F34" s="371">
        <f>'数据-取费表'!B52</f>
        <v>8</v>
      </c>
      <c r="G34" s="1850"/>
      <c r="H34" s="745"/>
      <c r="I34" s="1859"/>
      <c r="J34" s="1860"/>
      <c r="K34" s="1862"/>
      <c r="L34" s="1863"/>
      <c r="M34" s="1863"/>
    </row>
    <row r="35" spans="1:18" ht="18" customHeight="1">
      <c r="A35" s="1352"/>
      <c r="B35" s="1350"/>
      <c r="C35" s="29"/>
      <c r="D35" s="373"/>
      <c r="E35" s="347" t="s">
        <v>1442</v>
      </c>
      <c r="F35" s="348">
        <f ca="1">INDIRECT("'数据-取费表'!r"&amp;$G$1)</f>
        <v>0</v>
      </c>
      <c r="G35" s="1850"/>
      <c r="H35" s="745"/>
      <c r="I35" s="1859"/>
      <c r="J35" s="1860"/>
      <c r="K35" s="1861"/>
      <c r="L35" s="1858"/>
      <c r="M35" s="1858"/>
    </row>
    <row r="36" spans="1:18" ht="18" customHeight="1">
      <c r="A36" s="1351" t="s">
        <v>1036</v>
      </c>
      <c r="B36" s="347" t="s">
        <v>1444</v>
      </c>
      <c r="C36" s="24">
        <f ca="1">ROUND(C29*F36,0)</f>
        <v>85530</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8553</v>
      </c>
      <c r="D37" s="1797" t="s">
        <v>1449</v>
      </c>
      <c r="E37" s="347" t="s">
        <v>1450</v>
      </c>
      <c r="F37" s="376">
        <f ca="1">INDIRECT("'数据-取费表'!Al"&amp;$G$1)</f>
        <v>1.5E-3</v>
      </c>
      <c r="G37" s="1850"/>
      <c r="H37" s="1858"/>
      <c r="I37" s="1859"/>
      <c r="J37" s="1860"/>
      <c r="K37" s="751"/>
      <c r="L37" s="1858"/>
      <c r="M37" s="1858"/>
    </row>
    <row r="38" spans="1:18" ht="18" customHeight="1" thickBot="1">
      <c r="A38" s="1338" t="s">
        <v>1388</v>
      </c>
      <c r="B38" s="1339" t="s">
        <v>1434</v>
      </c>
      <c r="C38" s="1340">
        <f ca="1">ROUND(C5*F38,1)</f>
        <v>6018.3</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5">
        <f ca="1">C5-C30</f>
        <v>401420</v>
      </c>
      <c r="D39" s="1344" t="s">
        <v>1479</v>
      </c>
      <c r="E39" s="1345"/>
      <c r="F39" s="1346"/>
      <c r="G39" s="1850"/>
      <c r="H39" s="1858"/>
      <c r="I39" s="1859"/>
      <c r="J39" s="1860"/>
      <c r="K39" s="1864"/>
      <c r="L39" s="1858"/>
      <c r="M39" s="1858"/>
    </row>
    <row r="40" spans="1:18" ht="18" customHeight="1">
      <c r="A40" s="344" t="s">
        <v>1029</v>
      </c>
      <c r="B40" s="345" t="s">
        <v>1480</v>
      </c>
      <c r="C40" s="346">
        <f ca="1">ROUND(C39*(1-((1+F42)/(1+F40))^F41)/(F40-F42),0)</f>
        <v>8831903</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33.299999999999997</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ROUND(C40/F43,0)</f>
        <v>5785</v>
      </c>
      <c r="D43" s="383" t="s">
        <v>1483</v>
      </c>
      <c r="E43" s="384" t="s">
        <v>1484</v>
      </c>
      <c r="F43" s="385">
        <f ca="1">INDIRECT("'数据-取费表'!k"&amp;$G$1)</f>
        <v>1526.7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-21440037</v>
      </c>
      <c r="D45" s="1938" t="s">
        <v>1599</v>
      </c>
      <c r="E45" s="1865"/>
      <c r="F45" s="1865"/>
      <c r="O45" s="1868" t="s">
        <v>1514</v>
      </c>
      <c r="P45" s="1838"/>
      <c r="Q45" s="1838"/>
      <c r="R45" s="1838"/>
    </row>
    <row r="46" spans="1:18" s="1841" customFormat="1" ht="13.5" thickBot="1">
      <c r="A46" s="1869" t="s">
        <v>1515</v>
      </c>
      <c r="C46" s="1870">
        <f ca="1">ROUND(C45/10000,0)</f>
        <v>-2144</v>
      </c>
      <c r="D46" s="1871" t="str">
        <f>C2</f>
        <v>万元</v>
      </c>
      <c r="I46" s="1872" t="s">
        <v>1516</v>
      </c>
      <c r="J46" s="1873"/>
      <c r="K46" s="1874"/>
      <c r="L46" s="1875">
        <f ca="1">IF(M47="住宅",0,IF(L48&gt;J51,L60,J60))</f>
        <v>143909</v>
      </c>
      <c r="O46" s="1876" t="s">
        <v>1517</v>
      </c>
      <c r="P46" s="1877" t="s">
        <v>1518</v>
      </c>
      <c r="Q46" s="1878" t="s">
        <v>1519</v>
      </c>
      <c r="R46" s="1878" t="s">
        <v>1520</v>
      </c>
    </row>
    <row r="47" spans="1:18" s="1841" customFormat="1" ht="13.5" thickBot="1">
      <c r="A47" s="1165" t="s">
        <v>1391</v>
      </c>
      <c r="B47" s="1197" t="s">
        <v>1392</v>
      </c>
      <c r="C47" s="1197" t="s">
        <v>1393</v>
      </c>
      <c r="D47" s="1197" t="s">
        <v>1394</v>
      </c>
      <c r="E47" s="1278" t="s">
        <v>1395</v>
      </c>
      <c r="F47" s="1279"/>
      <c r="G47" s="792"/>
      <c r="I47" s="1879" t="s">
        <v>1521</v>
      </c>
      <c r="J47" s="1880" t="s">
        <v>3218</v>
      </c>
      <c r="K47" s="1881" t="s">
        <v>1522</v>
      </c>
      <c r="L47" s="1882">
        <f ca="1">INDIRECT("'数据-取费表'!d"&amp;$G$1)</f>
        <v>40</v>
      </c>
      <c r="M47" s="1837" t="str">
        <f>IF(ISNUMBER(FIND("住宅",C1)),"住宅","非住宅")</f>
        <v>非住宅</v>
      </c>
      <c r="O47" s="1883" t="s">
        <v>1037</v>
      </c>
      <c r="P47" s="1884" t="s">
        <v>1523</v>
      </c>
      <c r="Q47" s="1885">
        <f ca="1">C40+J29</f>
        <v>8831903</v>
      </c>
      <c r="R47" s="1885" t="s">
        <v>1524</v>
      </c>
    </row>
    <row r="48" spans="1:18" s="1841" customFormat="1" ht="28.5" thickBot="1">
      <c r="A48" s="1359" t="s">
        <v>1132</v>
      </c>
      <c r="B48" s="345" t="s">
        <v>1396</v>
      </c>
      <c r="C48" s="1816">
        <f ca="1">C49+C53+C55</f>
        <v>0</v>
      </c>
      <c r="D48" s="1361"/>
      <c r="E48" s="1362"/>
      <c r="F48" s="1181"/>
      <c r="G48" s="792"/>
      <c r="H48" s="793"/>
      <c r="I48" s="1886" t="s">
        <v>1525</v>
      </c>
      <c r="J48" s="1887" t="s">
        <v>3219</v>
      </c>
      <c r="K48" s="1888" t="s">
        <v>1526</v>
      </c>
      <c r="L48" s="1889">
        <f ca="1">INDIRECT("'数据-取费表'!f"&amp;$G$1)</f>
        <v>33.299999999999997</v>
      </c>
      <c r="O48" s="1883" t="s">
        <v>1038</v>
      </c>
      <c r="P48" s="1884" t="s">
        <v>1527</v>
      </c>
      <c r="Q48" s="1885">
        <f ca="1">J60</f>
        <v>143909</v>
      </c>
      <c r="R48" s="1885" t="s">
        <v>1528</v>
      </c>
    </row>
    <row r="49" spans="1:18" s="1841" customFormat="1" ht="13.5" thickBot="1">
      <c r="A49" s="1194" t="s">
        <v>1133</v>
      </c>
      <c r="B49" s="1828" t="s">
        <v>1485</v>
      </c>
      <c r="C49" s="1363">
        <f ca="1">ROUND(F49*F51*F50*(1-F52),0)</f>
        <v>0</v>
      </c>
      <c r="D49" s="1275" t="s">
        <v>1399</v>
      </c>
      <c r="E49" s="1829" t="s">
        <v>1486</v>
      </c>
      <c r="F49" s="1280"/>
      <c r="G49" s="1890"/>
      <c r="H49" s="793"/>
      <c r="I49" s="1886" t="s">
        <v>1529</v>
      </c>
      <c r="J49" s="1891"/>
      <c r="K49" s="1888" t="s">
        <v>1530</v>
      </c>
      <c r="L49" s="1892"/>
      <c r="O49" s="1893" t="s">
        <v>1039</v>
      </c>
      <c r="P49" s="1884" t="s">
        <v>1531</v>
      </c>
      <c r="Q49" s="1885">
        <f ca="1">C29</f>
        <v>5702031</v>
      </c>
      <c r="R49" s="1885" t="s">
        <v>1524</v>
      </c>
    </row>
    <row r="50" spans="1:18" s="1841" customFormat="1" ht="13.5" thickBot="1">
      <c r="A50" s="1195"/>
      <c r="B50" s="1198"/>
      <c r="C50" s="1199"/>
      <c r="D50" s="1172"/>
      <c r="E50" s="1276" t="s">
        <v>1401</v>
      </c>
      <c r="F50" s="1277">
        <f ca="1">F7</f>
        <v>1526.7</v>
      </c>
      <c r="H50" s="793"/>
      <c r="I50" s="1886" t="s">
        <v>1532</v>
      </c>
      <c r="J50" s="1894">
        <f>SUMPRODUCT((I63:I65=J47)*(J62:L62=J48)*(J63:L65))</f>
        <v>60</v>
      </c>
      <c r="K50" s="1888" t="s">
        <v>1533</v>
      </c>
      <c r="L50" s="1892"/>
      <c r="M50" s="1895"/>
      <c r="O50" s="1893" t="s">
        <v>1040</v>
      </c>
      <c r="P50" s="1884" t="s">
        <v>1534</v>
      </c>
      <c r="Q50" s="1896">
        <f ca="1">J58</f>
        <v>0.44500000000000001</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-1337090</v>
      </c>
      <c r="M51" s="1901"/>
      <c r="O51" s="1893" t="s">
        <v>1041</v>
      </c>
      <c r="P51" s="1884" t="s">
        <v>1537</v>
      </c>
      <c r="Q51" s="1896">
        <f>J52</f>
        <v>0.09</v>
      </c>
      <c r="R51" s="1885"/>
    </row>
    <row r="52" spans="1:18" s="1841" customFormat="1" ht="13.5" thickBot="1">
      <c r="A52" s="1196"/>
      <c r="B52" s="1198"/>
      <c r="C52" s="1199"/>
      <c r="D52" s="1172"/>
      <c r="E52" s="1200" t="s">
        <v>1403</v>
      </c>
      <c r="F52" s="1274"/>
      <c r="I52" s="1902" t="s">
        <v>1538</v>
      </c>
      <c r="J52" s="1903">
        <v>0.09</v>
      </c>
      <c r="K52" s="1902" t="s">
        <v>1539</v>
      </c>
      <c r="L52" s="1903"/>
      <c r="O52" s="1893" t="s">
        <v>1042</v>
      </c>
      <c r="P52" s="1884" t="s">
        <v>1540</v>
      </c>
      <c r="Q52" s="1885">
        <f ca="1">J53</f>
        <v>33.299999999999997</v>
      </c>
      <c r="R52" s="1885" t="s">
        <v>1541</v>
      </c>
    </row>
    <row r="53" spans="1:18" s="1841" customFormat="1" ht="30.75" customHeight="1" thickBot="1">
      <c r="A53" s="1360" t="s">
        <v>1134</v>
      </c>
      <c r="B53" s="369" t="s">
        <v>1404</v>
      </c>
      <c r="C53" s="361">
        <f ca="1">ROUND(IF(F53="押一",C49/12*F11,IF(F53="押二",C49/12*2*F11,IF(F53="押三",C49/12*3*F11,C54*F11))),0)</f>
        <v>0</v>
      </c>
      <c r="D53" s="1823" t="s">
        <v>3039</v>
      </c>
      <c r="E53" s="358" t="s">
        <v>1405</v>
      </c>
      <c r="F53" s="1365"/>
      <c r="I53" s="1904" t="s">
        <v>1542</v>
      </c>
      <c r="J53" s="2951">
        <f ca="1">IF(M47="住宅",IF(D1="——",MAX(J51,L48),MAX(J51,L48-'数据-取费表'!B24)),IF(D1="——",MIN(J51,L48),MIN(J51,L48-'数据-取费表'!B24)))</f>
        <v>33.299999999999997</v>
      </c>
      <c r="K53" s="3186" t="s">
        <v>1543</v>
      </c>
      <c r="L53" s="3187"/>
      <c r="O53" s="1883" t="s">
        <v>1043</v>
      </c>
      <c r="P53" s="1884" t="s">
        <v>1544</v>
      </c>
      <c r="Q53" s="1885">
        <f ca="1">Q47+Q48</f>
        <v>8975812</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f ca="1">ROUND(IF(J47="钢混",J57/J50,1-(1-2%)*(J50-J57)/J50),3)</f>
        <v>0.44500000000000001</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5702031</v>
      </c>
      <c r="D56" s="1912"/>
      <c r="E56" s="1913"/>
      <c r="F56" s="1905"/>
      <c r="I56" s="1914" t="s">
        <v>1549</v>
      </c>
      <c r="J56" s="1915" t="s">
        <v>3220</v>
      </c>
      <c r="K56" s="1886" t="s">
        <v>1550</v>
      </c>
      <c r="L56" s="1889" t="str">
        <f ca="1">IF(L48&lt;J51,"——",L48-J51)</f>
        <v>——</v>
      </c>
      <c r="O56" s="1883" t="s">
        <v>1037</v>
      </c>
      <c r="P56" s="1884" t="s">
        <v>1523</v>
      </c>
      <c r="Q56" s="1885">
        <f ca="1">C40+J29</f>
        <v>8831903</v>
      </c>
      <c r="R56" s="1885" t="s">
        <v>1524</v>
      </c>
    </row>
    <row r="57" spans="1:18" s="1841" customFormat="1" ht="24.75" thickBot="1">
      <c r="A57" s="1916"/>
      <c r="B57" s="1169" t="s">
        <v>1473</v>
      </c>
      <c r="C57" s="282">
        <f ca="1">C29</f>
        <v>5702031</v>
      </c>
      <c r="D57" s="1917"/>
      <c r="E57" s="1918"/>
      <c r="F57" s="1919"/>
      <c r="I57" s="1920" t="s">
        <v>1551</v>
      </c>
      <c r="J57" s="1921">
        <f ca="1">IF(OR(M47="住宅",J51&lt;L48,J56="是"),"——",J51-L48)</f>
        <v>26.700000000000003</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7" t="s">
        <v>1419</v>
      </c>
      <c r="C58" s="361">
        <f ca="1">ROUND(C59+C64+C65+C66,0)</f>
        <v>573054</v>
      </c>
      <c r="D58" s="1179" t="s">
        <v>1420</v>
      </c>
      <c r="E58" s="1180"/>
      <c r="F58" s="1181"/>
      <c r="I58" s="1920" t="s">
        <v>1555</v>
      </c>
      <c r="J58" s="1922">
        <f ca="1">IF(J55&lt;0.4,0.4,J55)</f>
        <v>0.44500000000000001</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478971</v>
      </c>
      <c r="D59" s="1182" t="s">
        <v>1425</v>
      </c>
      <c r="E59" s="1183" t="s">
        <v>1426</v>
      </c>
      <c r="F59" s="368">
        <f ca="1">IF(项目基本情况!B11="企业","",IF(INDIRECT("'数据-取费表'!c"&amp;$G$1)="住宅",5%,IF(F49*F50*F51/12/(1+'数据-取费表'!C42)&gt;20000,12%,7%)))</f>
        <v>7.0000000000000007E-2</v>
      </c>
      <c r="I59" s="1920" t="s">
        <v>1558</v>
      </c>
      <c r="J59" s="1921">
        <f ca="1">IF(OR(M47="住宅",J51&lt;L48,J56="是"),"——",ROUND(C29*J58,0))</f>
        <v>2537404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f ca="1">IF(OR(M47="住宅",J51&lt;L48,J56="是"),"0",ROUND(J59/(1+J52)^J53,0))</f>
        <v>143909</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478971</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8</v>
      </c>
      <c r="I62" s="1927" t="s">
        <v>1565</v>
      </c>
      <c r="J62" s="1928" t="s">
        <v>1566</v>
      </c>
      <c r="K62" s="1928" t="s">
        <v>1567</v>
      </c>
      <c r="L62" s="1928" t="s">
        <v>1568</v>
      </c>
      <c r="M62" s="1929" t="s">
        <v>1569</v>
      </c>
      <c r="O62" s="1883" t="s">
        <v>1043</v>
      </c>
      <c r="P62" s="1884" t="s">
        <v>1570</v>
      </c>
      <c r="Q62" s="1885">
        <f ca="1">Q56+Q57</f>
        <v>8831903</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85530</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8553</v>
      </c>
      <c r="D65" s="1183" t="s">
        <v>1449</v>
      </c>
      <c r="E65" s="1169" t="s">
        <v>1450</v>
      </c>
      <c r="F65" s="376">
        <f t="shared" ca="1" si="0"/>
        <v>1.5E-3</v>
      </c>
      <c r="I65" s="1927" t="s">
        <v>1574</v>
      </c>
      <c r="J65" s="1928">
        <v>40</v>
      </c>
      <c r="K65" s="1928">
        <v>30</v>
      </c>
      <c r="L65" s="1928">
        <v>50</v>
      </c>
      <c r="M65" s="1930">
        <v>0.02</v>
      </c>
      <c r="O65" s="1883" t="s">
        <v>1037</v>
      </c>
      <c r="P65" s="1884" t="s">
        <v>1575</v>
      </c>
      <c r="Q65" s="1885">
        <f ca="1">C40+J29</f>
        <v>8831903</v>
      </c>
      <c r="R65" s="1885" t="s">
        <v>1524</v>
      </c>
    </row>
    <row r="66" spans="1:18" s="1841" customFormat="1" ht="16.5" thickBot="1">
      <c r="A66" s="1201" t="s">
        <v>1499</v>
      </c>
      <c r="B66" s="1169" t="s">
        <v>1434</v>
      </c>
      <c r="C66" s="24">
        <f ca="1">ROUND(C48*F66,0)</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-573054</v>
      </c>
      <c r="D67" s="1182" t="s">
        <v>1459</v>
      </c>
      <c r="E67" s="1187"/>
      <c r="F67" s="1188"/>
      <c r="O67" s="1893" t="s">
        <v>1039</v>
      </c>
      <c r="P67" s="1884" t="s">
        <v>1557</v>
      </c>
      <c r="Q67" s="1931">
        <f ca="1">L51</f>
        <v>-1337090</v>
      </c>
      <c r="R67" s="1885" t="s">
        <v>1577</v>
      </c>
    </row>
    <row r="68" spans="1:18" s="1841" customFormat="1" ht="16.5" thickBot="1">
      <c r="A68" s="1166" t="s">
        <v>1029</v>
      </c>
      <c r="B68" s="1167" t="s">
        <v>1480</v>
      </c>
      <c r="C68" s="346">
        <f ca="1">ROUND(C67*(1-((1+F70)/(1+F68))^F69)/(F68-F70),0)</f>
        <v>-12608134</v>
      </c>
      <c r="D68" s="1184" t="s">
        <v>1464</v>
      </c>
      <c r="E68" s="1169" t="s">
        <v>1465</v>
      </c>
      <c r="F68" s="357">
        <f ca="1">F40</f>
        <v>5.5E-2</v>
      </c>
      <c r="O68" s="1893" t="s">
        <v>1040</v>
      </c>
      <c r="P68" s="1932" t="s">
        <v>1578</v>
      </c>
      <c r="Q68" s="1885">
        <f ca="1">ROUND(Q69-Q70*Q71,0)</f>
        <v>-83253</v>
      </c>
      <c r="R68" s="1885" t="s">
        <v>1048</v>
      </c>
    </row>
    <row r="69" spans="1:18" s="1841" customFormat="1" ht="13.5" thickBot="1">
      <c r="A69" s="1170"/>
      <c r="B69" s="1171"/>
      <c r="C69" s="351"/>
      <c r="D69" s="1189" t="s">
        <v>1468</v>
      </c>
      <c r="E69" s="1169" t="s">
        <v>1469</v>
      </c>
      <c r="F69" s="379">
        <f ca="1">F41</f>
        <v>33.299999999999997</v>
      </c>
      <c r="O69" s="1893" t="s">
        <v>1045</v>
      </c>
      <c r="P69" s="1932" t="s">
        <v>1579</v>
      </c>
      <c r="Q69" s="1885">
        <f ca="1">C39</f>
        <v>401420</v>
      </c>
      <c r="R69" s="1885" t="s">
        <v>1524</v>
      </c>
    </row>
    <row r="70" spans="1:18" s="1841" customFormat="1" ht="13.5" thickBot="1">
      <c r="A70" s="1173"/>
      <c r="B70" s="1174"/>
      <c r="C70" s="355"/>
      <c r="D70" s="1185"/>
      <c r="E70" s="1169" t="s">
        <v>1472</v>
      </c>
      <c r="F70" s="1274">
        <f ca="1">F42</f>
        <v>0.03</v>
      </c>
      <c r="O70" s="1893" t="s">
        <v>1046</v>
      </c>
      <c r="P70" s="1932" t="s">
        <v>1580</v>
      </c>
      <c r="Q70" s="1885">
        <f ca="1">C13</f>
        <v>5702031</v>
      </c>
      <c r="R70" s="1885" t="s">
        <v>1524</v>
      </c>
    </row>
    <row r="71" spans="1:18" s="1841" customFormat="1" ht="13.5" thickBot="1">
      <c r="A71" s="1190" t="s">
        <v>1030</v>
      </c>
      <c r="B71" s="1191" t="s">
        <v>1482</v>
      </c>
      <c r="C71" s="382">
        <f ca="1">ROUND(C68/F71,0)</f>
        <v>-8258</v>
      </c>
      <c r="D71" s="1192" t="s">
        <v>1483</v>
      </c>
      <c r="E71" s="1193" t="s">
        <v>1484</v>
      </c>
      <c r="F71" s="385">
        <f ca="1">F43</f>
        <v>1526.7</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484673</v>
      </c>
      <c r="D75" s="1841"/>
      <c r="E75" s="1841"/>
      <c r="F75" s="1841"/>
      <c r="K75" s="1867"/>
      <c r="L75" s="1841"/>
      <c r="O75" s="1883" t="s">
        <v>1043</v>
      </c>
      <c r="P75" s="1884" t="s">
        <v>1544</v>
      </c>
      <c r="Q75" s="1885">
        <f ca="1">Q65+Q66</f>
        <v>8831903</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-0.20700000000000007</v>
      </c>
    </row>
    <row r="80" spans="1:18">
      <c r="B80" s="386" t="s">
        <v>1506</v>
      </c>
      <c r="C80" s="318">
        <f ca="1">ROUND(C75/C39,3)</f>
        <v>1.2070000000000001</v>
      </c>
    </row>
    <row r="81" spans="2:3">
      <c r="B81" s="314" t="s">
        <v>1507</v>
      </c>
      <c r="C81" s="282"/>
    </row>
    <row r="82" spans="2:3">
      <c r="B82" s="317" t="s">
        <v>1508</v>
      </c>
      <c r="C82" s="319">
        <f ca="1">1-C83</f>
        <v>0.35399999999999998</v>
      </c>
    </row>
    <row r="83" spans="2:3">
      <c r="B83" s="317" t="s">
        <v>1509</v>
      </c>
      <c r="C83" s="318">
        <f ca="1">ROUND(C13/C40,3)</f>
        <v>0.64600000000000002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2523</v>
      </c>
      <c r="B1" s="2563"/>
      <c r="C1" s="2563"/>
      <c r="D1" s="2563"/>
      <c r="E1" s="2564"/>
    </row>
    <row r="2" spans="1:6" ht="15.75">
      <c r="A2" s="2565" t="s">
        <v>2327</v>
      </c>
      <c r="B2" s="2566">
        <f ca="1">SUMIF(B6:B13,"&lt;&gt;#ref!",B6:B13)</f>
        <v>898</v>
      </c>
      <c r="C2" s="2567" t="s">
        <v>2516</v>
      </c>
      <c r="D2" s="2568" t="s">
        <v>2517</v>
      </c>
      <c r="E2" s="2569">
        <f>SUM(E6:E13)</f>
        <v>1526.7</v>
      </c>
    </row>
    <row r="3" spans="1:6" ht="15.75">
      <c r="A3" s="2565" t="s">
        <v>1390</v>
      </c>
      <c r="B3" s="2566">
        <f ca="1">ROUND(B2*10000/E2,0)</f>
        <v>5882</v>
      </c>
      <c r="C3" s="2567" t="s">
        <v>2524</v>
      </c>
      <c r="D3" s="2570"/>
      <c r="E3" s="2571"/>
    </row>
    <row r="4" spans="1:6" ht="15.75">
      <c r="A4" s="2572"/>
      <c r="B4" s="2570"/>
      <c r="C4" s="2570"/>
      <c r="D4" s="2570"/>
      <c r="E4" s="2571"/>
    </row>
    <row r="5" spans="1:6" ht="15">
      <c r="A5" s="2573" t="s">
        <v>2518</v>
      </c>
      <c r="B5" s="3191" t="s">
        <v>2519</v>
      </c>
      <c r="C5" s="3191"/>
      <c r="D5" s="2574"/>
      <c r="E5" s="2575" t="s">
        <v>2520</v>
      </c>
      <c r="F5" s="2576" t="s">
        <v>2521</v>
      </c>
    </row>
    <row r="6" spans="1:6">
      <c r="A6" s="2577" t="str">
        <f>'数据-取费表'!AN6</f>
        <v>收益法 (元)</v>
      </c>
      <c r="B6" s="2576">
        <f ca="1">IF(F6="是",'数据-取费表'!AO6,0)</f>
        <v>898</v>
      </c>
      <c r="C6" s="2567" t="s">
        <v>2516</v>
      </c>
      <c r="D6" s="2570"/>
      <c r="E6" s="2578">
        <f>IF(OR(A6=0,F6="否"),0,'数据-取费表'!K6+'数据-取费表'!S6)</f>
        <v>1526.7</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97" t="s">
        <v>1074</v>
      </c>
      <c r="B2" s="3198" t="s">
        <v>1075</v>
      </c>
      <c r="C2" s="3198"/>
      <c r="D2" s="1300" t="s">
        <v>1076</v>
      </c>
      <c r="E2" s="1300" t="s">
        <v>1077</v>
      </c>
      <c r="F2" s="1300" t="s">
        <v>1078</v>
      </c>
      <c r="G2" s="1300" t="s">
        <v>1079</v>
      </c>
      <c r="H2" s="1300" t="s">
        <v>1080</v>
      </c>
      <c r="I2" s="1301" t="s">
        <v>1081</v>
      </c>
    </row>
    <row r="3" spans="1:9">
      <c r="A3" s="3197"/>
      <c r="B3" s="3198" t="s">
        <v>1082</v>
      </c>
      <c r="C3" s="3198"/>
      <c r="D3" s="1302"/>
      <c r="E3" s="1300"/>
      <c r="F3" s="1303"/>
      <c r="G3" s="1303"/>
      <c r="H3" s="1304"/>
      <c r="I3" s="1305">
        <f>ROUND(D3*E3*F3*G3*H3/10000,0)</f>
        <v>0</v>
      </c>
    </row>
    <row r="4" spans="1:9">
      <c r="A4" s="3197"/>
      <c r="B4" s="3198" t="s">
        <v>1083</v>
      </c>
      <c r="C4" s="3198"/>
      <c r="D4" s="1302"/>
      <c r="E4" s="1300"/>
      <c r="F4" s="1303"/>
      <c r="G4" s="1303"/>
      <c r="H4" s="1304"/>
      <c r="I4" s="1305">
        <f t="shared" ref="I4:I9" si="0">ROUND(D4*E4*F4*G4*H4/10000,0)</f>
        <v>0</v>
      </c>
    </row>
    <row r="5" spans="1:9">
      <c r="A5" s="3197"/>
      <c r="B5" s="3198" t="s">
        <v>1084</v>
      </c>
      <c r="C5" s="3198"/>
      <c r="D5" s="1302"/>
      <c r="E5" s="1300"/>
      <c r="F5" s="1303"/>
      <c r="G5" s="1303"/>
      <c r="H5" s="1304"/>
      <c r="I5" s="1305">
        <f t="shared" si="0"/>
        <v>0</v>
      </c>
    </row>
    <row r="6" spans="1:9">
      <c r="A6" s="3197"/>
      <c r="B6" s="3198" t="s">
        <v>1085</v>
      </c>
      <c r="C6" s="3198"/>
      <c r="D6" s="1302"/>
      <c r="E6" s="1300"/>
      <c r="F6" s="1303"/>
      <c r="G6" s="1303"/>
      <c r="H6" s="1304"/>
      <c r="I6" s="1305">
        <f t="shared" si="0"/>
        <v>0</v>
      </c>
    </row>
    <row r="7" spans="1:9">
      <c r="A7" s="3197"/>
      <c r="B7" s="3198" t="s">
        <v>1086</v>
      </c>
      <c r="C7" s="3198"/>
      <c r="D7" s="1302"/>
      <c r="E7" s="1300"/>
      <c r="F7" s="1303"/>
      <c r="G7" s="1303"/>
      <c r="H7" s="1304"/>
      <c r="I7" s="1305">
        <f t="shared" si="0"/>
        <v>0</v>
      </c>
    </row>
    <row r="8" spans="1:9">
      <c r="A8" s="3197"/>
      <c r="B8" s="3198" t="s">
        <v>1087</v>
      </c>
      <c r="C8" s="3198"/>
      <c r="D8" s="1302"/>
      <c r="E8" s="1300"/>
      <c r="F8" s="1303"/>
      <c r="G8" s="1303"/>
      <c r="H8" s="1304"/>
      <c r="I8" s="1305">
        <f t="shared" si="0"/>
        <v>0</v>
      </c>
    </row>
    <row r="9" spans="1:9">
      <c r="A9" s="3197"/>
      <c r="B9" s="3198" t="s">
        <v>1088</v>
      </c>
      <c r="C9" s="3198"/>
      <c r="D9" s="1302"/>
      <c r="E9" s="1300"/>
      <c r="F9" s="1303"/>
      <c r="G9" s="1303"/>
      <c r="H9" s="1304"/>
      <c r="I9" s="1305">
        <f t="shared" si="0"/>
        <v>0</v>
      </c>
    </row>
    <row r="10" spans="1:9">
      <c r="A10" s="3197"/>
      <c r="B10" s="3199" t="s">
        <v>1089</v>
      </c>
      <c r="C10" s="3199"/>
      <c r="D10" s="1306"/>
      <c r="E10" s="1306" t="e">
        <f>ROUND(D1*10000/D10/H9,0)</f>
        <v>#DIV/0!</v>
      </c>
      <c r="F10" s="1307"/>
      <c r="G10" s="1307"/>
      <c r="H10" s="1308"/>
      <c r="I10" s="1309">
        <f>SUM(I3:I9)</f>
        <v>0</v>
      </c>
    </row>
    <row r="11" spans="1:9" ht="14.25">
      <c r="A11" s="3197" t="s">
        <v>1090</v>
      </c>
      <c r="B11" s="3198" t="s">
        <v>1091</v>
      </c>
      <c r="C11" s="3198"/>
      <c r="D11" s="1302" t="s">
        <v>1092</v>
      </c>
      <c r="E11" s="1302" t="s">
        <v>1093</v>
      </c>
      <c r="F11" s="1303" t="s">
        <v>1094</v>
      </c>
      <c r="G11" s="1303" t="s">
        <v>1080</v>
      </c>
      <c r="H11" s="1310" t="s">
        <v>1095</v>
      </c>
      <c r="I11" s="1301" t="s">
        <v>1081</v>
      </c>
    </row>
    <row r="12" spans="1:9">
      <c r="A12" s="3197"/>
      <c r="B12" s="3198" t="s">
        <v>1096</v>
      </c>
      <c r="C12" s="3198"/>
      <c r="D12" s="1302"/>
      <c r="E12" s="1302"/>
      <c r="F12" s="1303"/>
      <c r="G12" s="1304"/>
      <c r="H12" s="1311"/>
      <c r="I12" s="1301">
        <f>ROUND(D12*E12*F12*G12/10000,0)</f>
        <v>0</v>
      </c>
    </row>
    <row r="13" spans="1:9">
      <c r="A13" s="3197"/>
      <c r="B13" s="3198" t="s">
        <v>1097</v>
      </c>
      <c r="C13" s="3198"/>
      <c r="D13" s="1302"/>
      <c r="E13" s="1302"/>
      <c r="F13" s="1303"/>
      <c r="G13" s="1304"/>
      <c r="H13" s="1311"/>
      <c r="I13" s="1301">
        <f>ROUND(D13*E13*F13*G13/10000,0)</f>
        <v>0</v>
      </c>
    </row>
    <row r="14" spans="1:9">
      <c r="A14" s="3197"/>
      <c r="B14" s="3198" t="s">
        <v>1098</v>
      </c>
      <c r="C14" s="3198"/>
      <c r="D14" s="1302"/>
      <c r="E14" s="1302"/>
      <c r="F14" s="1303"/>
      <c r="G14" s="1304"/>
      <c r="H14" s="1311"/>
      <c r="I14" s="1301">
        <f>ROUND(D14*E14*F14*G14/10000,0)</f>
        <v>0</v>
      </c>
    </row>
    <row r="15" spans="1:9">
      <c r="A15" s="3197"/>
      <c r="B15" s="3199" t="s">
        <v>1089</v>
      </c>
      <c r="C15" s="3199"/>
      <c r="D15" s="1306"/>
      <c r="E15" s="1306">
        <f>SUM(E12:E14)</f>
        <v>0</v>
      </c>
      <c r="F15" s="1307"/>
      <c r="G15" s="1304"/>
      <c r="H15" s="1311"/>
      <c r="I15" s="1312">
        <f>SUM(I12:I14)</f>
        <v>0</v>
      </c>
    </row>
    <row r="16" spans="1:9" ht="24">
      <c r="A16" s="3197" t="s">
        <v>1099</v>
      </c>
      <c r="B16" s="3198" t="s">
        <v>1100</v>
      </c>
      <c r="C16" s="3198"/>
      <c r="D16" s="1302" t="s">
        <v>1076</v>
      </c>
      <c r="E16" s="1313" t="s">
        <v>1101</v>
      </c>
      <c r="F16" s="1303" t="s">
        <v>1102</v>
      </c>
      <c r="G16" s="1304" t="s">
        <v>1080</v>
      </c>
      <c r="H16" s="1310" t="s">
        <v>1095</v>
      </c>
      <c r="I16" s="1301" t="s">
        <v>1081</v>
      </c>
    </row>
    <row r="17" spans="1:9" ht="14.25">
      <c r="A17" s="3197"/>
      <c r="B17" s="3198" t="s">
        <v>1103</v>
      </c>
      <c r="C17" s="3198"/>
      <c r="D17" s="1302"/>
      <c r="E17" s="1302"/>
      <c r="F17" s="1303"/>
      <c r="G17" s="1304"/>
      <c r="H17" s="1314"/>
      <c r="I17" s="1315">
        <f>ROUND(D17*E17*F17*G17/10000,0)</f>
        <v>0</v>
      </c>
    </row>
    <row r="18" spans="1:9" ht="14.25">
      <c r="A18" s="3197"/>
      <c r="B18" s="3198" t="s">
        <v>1104</v>
      </c>
      <c r="C18" s="3198"/>
      <c r="D18" s="1302"/>
      <c r="E18" s="1302"/>
      <c r="F18" s="1303"/>
      <c r="G18" s="1304"/>
      <c r="H18" s="1314"/>
      <c r="I18" s="1315">
        <f>ROUND(D18*E18*F18*G18/10000,0)</f>
        <v>0</v>
      </c>
    </row>
    <row r="19" spans="1:9" ht="14.25">
      <c r="A19" s="3197"/>
      <c r="B19" s="3198" t="s">
        <v>1105</v>
      </c>
      <c r="C19" s="3198"/>
      <c r="D19" s="1302"/>
      <c r="E19" s="1302"/>
      <c r="F19" s="1303"/>
      <c r="G19" s="1304"/>
      <c r="H19" s="1314"/>
      <c r="I19" s="1315">
        <f>ROUND(D19*E19*F19*G19/10000,0)</f>
        <v>0</v>
      </c>
    </row>
    <row r="20" spans="1:9">
      <c r="A20" s="3197"/>
      <c r="B20" s="3199" t="s">
        <v>1089</v>
      </c>
      <c r="C20" s="3199"/>
      <c r="D20" s="1306">
        <f>SUM(D17:D19)</f>
        <v>0</v>
      </c>
      <c r="E20" s="1306"/>
      <c r="F20" s="1307"/>
      <c r="G20" s="1304"/>
      <c r="H20" s="1311"/>
      <c r="I20" s="1312">
        <f>SUM(I17:I19)</f>
        <v>0</v>
      </c>
    </row>
    <row r="21" spans="1:9">
      <c r="A21" s="3197" t="s">
        <v>1106</v>
      </c>
      <c r="B21" s="3201"/>
      <c r="C21" s="3201"/>
      <c r="D21" s="3201"/>
      <c r="E21" s="3201"/>
      <c r="F21" s="3201"/>
      <c r="G21" s="3201"/>
      <c r="H21" s="1764">
        <v>0.1</v>
      </c>
      <c r="I21" s="1309">
        <f>ROUND(I10*H21,0)</f>
        <v>0</v>
      </c>
    </row>
    <row r="22" spans="1:9" ht="14.25">
      <c r="A22" s="3202" t="s">
        <v>1107</v>
      </c>
      <c r="B22" s="3203"/>
      <c r="C22" s="3204"/>
      <c r="D22" s="1316" t="s">
        <v>1108</v>
      </c>
      <c r="E22" s="1316" t="s">
        <v>1109</v>
      </c>
      <c r="F22" s="1317" t="s">
        <v>1110</v>
      </c>
      <c r="G22" s="1317" t="s">
        <v>1111</v>
      </c>
      <c r="H22" s="1310" t="s">
        <v>1112</v>
      </c>
      <c r="I22" s="1301" t="s">
        <v>1113</v>
      </c>
    </row>
    <row r="23" spans="1:9" ht="14.25" thickBot="1">
      <c r="A23" s="3205"/>
      <c r="B23" s="3206"/>
      <c r="C23" s="3207"/>
      <c r="D23" s="1318"/>
      <c r="E23" s="1318"/>
      <c r="F23" s="1318"/>
      <c r="G23" s="1319"/>
      <c r="H23" s="1320"/>
      <c r="I23" s="1321">
        <f>ROUND(E23*D23*F23*(1-G23)/10000,0)</f>
        <v>0</v>
      </c>
    </row>
    <row r="26" spans="1:9">
      <c r="A26" s="1322" t="s">
        <v>1114</v>
      </c>
      <c r="B26" s="1322"/>
      <c r="C26" s="1322"/>
      <c r="D26" s="1322"/>
      <c r="E26" s="3208">
        <f>C27-C30-C31-C32</f>
        <v>0</v>
      </c>
      <c r="F26" s="3208"/>
      <c r="G26" s="3208"/>
      <c r="H26" s="1736" t="s">
        <v>1336</v>
      </c>
    </row>
    <row r="27" spans="1:9">
      <c r="A27" s="1323">
        <v>1</v>
      </c>
      <c r="B27" s="1324" t="s">
        <v>1115</v>
      </c>
      <c r="C27" s="1324">
        <f>C28+C29</f>
        <v>0</v>
      </c>
      <c r="D27" s="1324"/>
      <c r="E27" s="3209"/>
      <c r="F27" s="3209"/>
      <c r="G27" s="3209"/>
    </row>
    <row r="28" spans="1:9">
      <c r="A28" s="1325" t="s">
        <v>1116</v>
      </c>
      <c r="B28" s="1324" t="s">
        <v>1117</v>
      </c>
      <c r="C28" s="1324"/>
      <c r="D28" s="1324"/>
      <c r="E28" s="3209"/>
      <c r="F28" s="3209"/>
      <c r="G28" s="320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00"/>
      <c r="F32" s="3200"/>
      <c r="G32" s="3200"/>
    </row>
    <row r="33" spans="1:7" hidden="1">
      <c r="A33" s="3210" t="s">
        <v>1126</v>
      </c>
      <c r="B33" s="3211"/>
      <c r="C33" s="3211"/>
      <c r="D33" s="3212"/>
      <c r="E33" s="3208"/>
      <c r="F33" s="3208"/>
      <c r="G33" s="3208"/>
    </row>
    <row r="34" spans="1:7" hidden="1">
      <c r="A34" s="1327">
        <v>1</v>
      </c>
      <c r="B34" s="1324" t="s">
        <v>1127</v>
      </c>
      <c r="C34" s="1324"/>
      <c r="D34" s="1324"/>
      <c r="E34" s="3209"/>
      <c r="F34" s="3209"/>
      <c r="G34" s="3209"/>
    </row>
    <row r="35" spans="1:7" hidden="1">
      <c r="A35" s="1327">
        <v>2</v>
      </c>
      <c r="B35" s="1324" t="s">
        <v>1128</v>
      </c>
      <c r="C35" s="1324"/>
      <c r="D35" s="1324"/>
      <c r="E35" s="3209"/>
      <c r="F35" s="3209"/>
      <c r="G35" s="3209"/>
    </row>
    <row r="36" spans="1:7" hidden="1">
      <c r="A36" s="1327">
        <v>3</v>
      </c>
      <c r="B36" s="1324" t="s">
        <v>1129</v>
      </c>
      <c r="C36" s="1324"/>
      <c r="D36" s="1324"/>
      <c r="E36" s="3209"/>
      <c r="F36" s="3209"/>
      <c r="G36" s="3209"/>
    </row>
    <row r="37" spans="1:7" hidden="1">
      <c r="A37" s="1327">
        <v>4</v>
      </c>
      <c r="B37" s="1324" t="s">
        <v>1130</v>
      </c>
      <c r="C37" s="1324"/>
      <c r="D37" s="1324"/>
      <c r="E37" s="3209"/>
      <c r="F37" s="3209"/>
      <c r="G37" s="3209"/>
    </row>
    <row r="38" spans="1:7" hidden="1">
      <c r="A38" s="3210" t="s">
        <v>1131</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3" t="s">
        <v>2526</v>
      </c>
      <c r="C1" s="1633" t="s">
        <v>2527</v>
      </c>
      <c r="D1" s="1620"/>
      <c r="E1" s="2584"/>
      <c r="F1" s="2585" t="s">
        <v>2528</v>
      </c>
      <c r="G1" s="1630" t="s">
        <v>2529</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7"/>
      <c r="D2" s="1364"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2531</v>
      </c>
      <c r="D3" s="399">
        <f>IF(D1="",'数据-汇总表'!E3,SUMIF('数据-汇总表'!$C19:$C33,D1,'数据-汇总表'!$E19:$E33))</f>
        <v>1526.7</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2532</v>
      </c>
      <c r="B4" s="402"/>
      <c r="C4" s="3161" t="s">
        <v>2533</v>
      </c>
      <c r="D4" s="3162"/>
      <c r="E4" s="3163" t="s">
        <v>2534</v>
      </c>
      <c r="F4" s="3164"/>
      <c r="G4" s="3161" t="s">
        <v>2535</v>
      </c>
      <c r="H4" s="3162"/>
      <c r="I4" s="3161" t="s">
        <v>2536</v>
      </c>
      <c r="J4" s="3162"/>
      <c r="K4" s="2597" t="s">
        <v>2537</v>
      </c>
      <c r="L4" s="1130"/>
      <c r="M4" s="1131"/>
      <c r="N4" s="1131"/>
      <c r="O4" s="1131"/>
      <c r="P4" s="3165" t="s">
        <v>2538</v>
      </c>
      <c r="Q4" s="3166"/>
      <c r="R4" s="3148" t="s">
        <v>2534</v>
      </c>
      <c r="S4" s="3149"/>
      <c r="T4" s="3148" t="s">
        <v>2535</v>
      </c>
      <c r="U4" s="3149"/>
      <c r="V4" s="3173" t="s">
        <v>2536</v>
      </c>
      <c r="W4" s="3173"/>
      <c r="X4" s="1812"/>
      <c r="Y4" s="3148" t="s">
        <v>2538</v>
      </c>
      <c r="Z4" s="3149"/>
      <c r="AA4" s="3143" t="s">
        <v>2534</v>
      </c>
      <c r="AB4" s="3143" t="s">
        <v>2535</v>
      </c>
      <c r="AC4" s="3143" t="s">
        <v>2536</v>
      </c>
    </row>
    <row r="5" spans="1:29" ht="15">
      <c r="A5" s="404"/>
      <c r="B5" s="405"/>
      <c r="C5" s="3154" t="s">
        <v>2539</v>
      </c>
      <c r="D5" s="3155"/>
      <c r="E5" s="3152" t="s">
        <v>2540</v>
      </c>
      <c r="F5" s="3153"/>
      <c r="G5" s="3154" t="s">
        <v>2541</v>
      </c>
      <c r="H5" s="3155"/>
      <c r="I5" s="3154" t="s">
        <v>2542</v>
      </c>
      <c r="J5" s="3155"/>
      <c r="K5" s="2598"/>
      <c r="L5" s="1130"/>
      <c r="M5" s="1131"/>
      <c r="N5" s="1131"/>
      <c r="O5" s="1131"/>
      <c r="P5" s="3167"/>
      <c r="Q5" s="3168"/>
      <c r="R5" s="3150"/>
      <c r="S5" s="3151"/>
      <c r="T5" s="3150"/>
      <c r="U5" s="3151"/>
      <c r="V5" s="3173"/>
      <c r="W5" s="3173"/>
      <c r="X5" s="1812"/>
      <c r="Y5" s="3150"/>
      <c r="Z5" s="3151"/>
      <c r="AA5" s="3144"/>
      <c r="AB5" s="3144"/>
      <c r="AC5" s="3144"/>
    </row>
    <row r="6" spans="1:29" ht="15.75" thickBot="1">
      <c r="A6" s="406"/>
      <c r="B6" s="407"/>
      <c r="C6" s="3156" t="s">
        <v>2543</v>
      </c>
      <c r="D6" s="3157"/>
      <c r="E6" s="3158" t="s">
        <v>2543</v>
      </c>
      <c r="F6" s="3159"/>
      <c r="G6" s="3156" t="s">
        <v>2543</v>
      </c>
      <c r="H6" s="3157"/>
      <c r="I6" s="3156" t="s">
        <v>2543</v>
      </c>
      <c r="J6" s="3157"/>
      <c r="K6" s="2598" t="s">
        <v>2544</v>
      </c>
      <c r="L6" s="1130"/>
      <c r="M6" s="1131"/>
      <c r="N6" s="1131"/>
      <c r="O6" s="1131"/>
      <c r="P6" s="3169"/>
      <c r="Q6" s="3170"/>
      <c r="R6" s="3150"/>
      <c r="S6" s="3151"/>
      <c r="T6" s="3171"/>
      <c r="U6" s="3172"/>
      <c r="V6" s="3173"/>
      <c r="W6" s="3173"/>
      <c r="X6" s="1812"/>
      <c r="Y6" s="3171"/>
      <c r="Z6" s="3172"/>
      <c r="AA6" s="3145"/>
      <c r="AB6" s="3145"/>
      <c r="AC6" s="3145"/>
    </row>
    <row r="7" spans="1:29" s="117" customFormat="1" ht="15.75" thickBot="1">
      <c r="A7" s="408" t="s">
        <v>2545</v>
      </c>
      <c r="B7" s="409"/>
      <c r="C7" s="410">
        <f>'数据-取费表'!B2</f>
        <v>43770</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46" t="s">
        <v>2546</v>
      </c>
      <c r="Q7" s="3174"/>
      <c r="R7" s="770" t="s">
        <v>23</v>
      </c>
      <c r="S7" s="771">
        <f t="shared" ref="S7:S15" si="0">F7</f>
        <v>0</v>
      </c>
      <c r="T7" s="770" t="s">
        <v>23</v>
      </c>
      <c r="U7" s="771">
        <f t="shared" ref="U7:U15" si="1">H7</f>
        <v>0</v>
      </c>
      <c r="V7" s="770" t="s">
        <v>23</v>
      </c>
      <c r="W7" s="771">
        <f t="shared" ref="W7:W15" si="2">J7</f>
        <v>0</v>
      </c>
      <c r="X7" s="772"/>
      <c r="Y7" s="3146" t="s">
        <v>2546</v>
      </c>
      <c r="Z7" s="3147"/>
      <c r="AA7" s="773" t="e">
        <f>D7/F7</f>
        <v>#DIV/0!</v>
      </c>
      <c r="AB7" s="773" t="e">
        <f>D7/H7</f>
        <v>#DIV/0!</v>
      </c>
      <c r="AC7" s="773" t="e">
        <f>D7/J7</f>
        <v>#DIV/0!</v>
      </c>
    </row>
    <row r="8" spans="1:29" s="117" customFormat="1" ht="15.7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46" t="s">
        <v>2549</v>
      </c>
      <c r="Q8" s="3147"/>
      <c r="R8" s="770" t="s">
        <v>23</v>
      </c>
      <c r="S8" s="771">
        <f t="shared" si="0"/>
        <v>0</v>
      </c>
      <c r="T8" s="770" t="s">
        <v>23</v>
      </c>
      <c r="U8" s="771">
        <f t="shared" si="1"/>
        <v>0</v>
      </c>
      <c r="V8" s="770" t="s">
        <v>23</v>
      </c>
      <c r="W8" s="771">
        <f t="shared" si="2"/>
        <v>0</v>
      </c>
      <c r="X8" s="772"/>
      <c r="Y8" s="3146" t="s">
        <v>2549</v>
      </c>
      <c r="Z8" s="314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4"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794"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4"/>
      <c r="Q12" s="1794">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4"/>
      <c r="Q13" s="1794">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4"/>
      <c r="Q14" s="1794">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2556</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9" t="s">
        <v>2557</v>
      </c>
      <c r="Q15" s="1809" t="str">
        <f t="shared" si="6"/>
        <v>居住社区成熟度</v>
      </c>
      <c r="R15" s="774" t="s">
        <v>21</v>
      </c>
      <c r="S15" s="775">
        <f t="shared" si="0"/>
        <v>100</v>
      </c>
      <c r="T15" s="774" t="s">
        <v>21</v>
      </c>
      <c r="U15" s="775">
        <f t="shared" si="1"/>
        <v>100</v>
      </c>
      <c r="V15" s="774" t="s">
        <v>21</v>
      </c>
      <c r="W15" s="775">
        <f t="shared" si="2"/>
        <v>100</v>
      </c>
      <c r="X15" s="1812"/>
      <c r="Y15" s="3175" t="s">
        <v>2557</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20"/>
      <c r="Q16" s="1809"/>
      <c r="R16" s="774"/>
      <c r="S16" s="775"/>
      <c r="T16" s="774"/>
      <c r="U16" s="775"/>
      <c r="V16" s="774"/>
      <c r="W16" s="775"/>
      <c r="X16" s="1812"/>
      <c r="Y16" s="3176"/>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0"/>
      <c r="Q17" s="1809" t="str">
        <f>B17</f>
        <v>交通便捷度</v>
      </c>
      <c r="R17" s="774" t="s">
        <v>21</v>
      </c>
      <c r="S17" s="775">
        <f>F17</f>
        <v>100</v>
      </c>
      <c r="T17" s="774" t="s">
        <v>21</v>
      </c>
      <c r="U17" s="775">
        <f>H17</f>
        <v>100</v>
      </c>
      <c r="V17" s="774" t="s">
        <v>21</v>
      </c>
      <c r="W17" s="775">
        <f>J17</f>
        <v>100</v>
      </c>
      <c r="X17" s="1812"/>
      <c r="Y17" s="3176"/>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20"/>
      <c r="Q18" s="1809"/>
      <c r="R18" s="774"/>
      <c r="S18" s="775"/>
      <c r="T18" s="774"/>
      <c r="U18" s="775"/>
      <c r="V18" s="774"/>
      <c r="W18" s="775"/>
      <c r="X18" s="1812"/>
      <c r="Y18" s="3176"/>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0"/>
      <c r="Q19" s="1809" t="str">
        <f>B19</f>
        <v>公共配套设施</v>
      </c>
      <c r="R19" s="774" t="s">
        <v>21</v>
      </c>
      <c r="S19" s="775">
        <f>F19</f>
        <v>100</v>
      </c>
      <c r="T19" s="774" t="s">
        <v>21</v>
      </c>
      <c r="U19" s="775">
        <f>H19</f>
        <v>100</v>
      </c>
      <c r="V19" s="774" t="s">
        <v>21</v>
      </c>
      <c r="W19" s="775">
        <f>J19</f>
        <v>100</v>
      </c>
      <c r="X19" s="1812"/>
      <c r="Y19" s="3176"/>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20"/>
      <c r="Q20" s="1809"/>
      <c r="R20" s="774"/>
      <c r="S20" s="775"/>
      <c r="T20" s="774"/>
      <c r="U20" s="775"/>
      <c r="V20" s="774"/>
      <c r="W20" s="775"/>
      <c r="X20" s="1812"/>
      <c r="Y20" s="3176"/>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20"/>
      <c r="Q22" s="1809"/>
      <c r="R22" s="774"/>
      <c r="S22" s="775"/>
      <c r="T22" s="774"/>
      <c r="U22" s="775"/>
      <c r="V22" s="774"/>
      <c r="W22" s="775"/>
      <c r="X22" s="1812"/>
      <c r="Y22" s="3176"/>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0"/>
      <c r="Q23" s="1809" t="str">
        <f>B23</f>
        <v>自然及人文环境</v>
      </c>
      <c r="R23" s="774" t="s">
        <v>21</v>
      </c>
      <c r="S23" s="775">
        <f>F23</f>
        <v>100</v>
      </c>
      <c r="T23" s="774" t="s">
        <v>21</v>
      </c>
      <c r="U23" s="775">
        <f>H23</f>
        <v>100</v>
      </c>
      <c r="V23" s="774" t="s">
        <v>21</v>
      </c>
      <c r="W23" s="775">
        <f>J23</f>
        <v>100</v>
      </c>
      <c r="X23" s="1812"/>
      <c r="Y23" s="3176"/>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20"/>
      <c r="Q24" s="1809"/>
      <c r="R24" s="774"/>
      <c r="S24" s="775"/>
      <c r="T24" s="774"/>
      <c r="U24" s="775"/>
      <c r="V24" s="774"/>
      <c r="W24" s="775"/>
      <c r="X24" s="1812"/>
      <c r="Y24" s="3176"/>
      <c r="Z24" s="1813"/>
      <c r="AA24" s="1810">
        <v>1</v>
      </c>
      <c r="AB24" s="1810">
        <v>1</v>
      </c>
      <c r="AC24" s="1810">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6"/>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0"/>
      <c r="Q26" s="1809" t="str">
        <f t="shared" si="11"/>
        <v>朝向</v>
      </c>
      <c r="R26" s="774" t="s">
        <v>21</v>
      </c>
      <c r="S26" s="775">
        <f t="shared" si="12"/>
        <v>100</v>
      </c>
      <c r="T26" s="774" t="s">
        <v>21</v>
      </c>
      <c r="U26" s="775">
        <f t="shared" si="13"/>
        <v>100</v>
      </c>
      <c r="V26" s="774" t="s">
        <v>21</v>
      </c>
      <c r="W26" s="775">
        <f t="shared" si="14"/>
        <v>100</v>
      </c>
      <c r="X26" s="1812"/>
      <c r="Y26" s="317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0"/>
      <c r="Q27" s="1794">
        <f t="shared" si="11"/>
        <v>111</v>
      </c>
      <c r="R27" s="770" t="s">
        <v>21</v>
      </c>
      <c r="S27" s="771">
        <f t="shared" si="12"/>
        <v>100</v>
      </c>
      <c r="T27" s="770" t="s">
        <v>21</v>
      </c>
      <c r="U27" s="771">
        <f t="shared" si="13"/>
        <v>100</v>
      </c>
      <c r="V27" s="770" t="s">
        <v>21</v>
      </c>
      <c r="W27" s="771">
        <f t="shared" si="14"/>
        <v>100</v>
      </c>
      <c r="X27" s="772"/>
      <c r="Y27" s="317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0"/>
      <c r="Q28" s="1809">
        <f t="shared" si="11"/>
        <v>111</v>
      </c>
      <c r="R28" s="774" t="s">
        <v>21</v>
      </c>
      <c r="S28" s="775">
        <f t="shared" si="12"/>
        <v>100</v>
      </c>
      <c r="T28" s="774" t="s">
        <v>21</v>
      </c>
      <c r="U28" s="775">
        <f t="shared" si="13"/>
        <v>100</v>
      </c>
      <c r="V28" s="774" t="s">
        <v>21</v>
      </c>
      <c r="W28" s="775">
        <f t="shared" si="14"/>
        <v>100</v>
      </c>
      <c r="X28" s="1812"/>
      <c r="Y28" s="317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0"/>
      <c r="Q29" s="1809">
        <f t="shared" si="11"/>
        <v>111</v>
      </c>
      <c r="R29" s="774" t="s">
        <v>21</v>
      </c>
      <c r="S29" s="775">
        <f t="shared" si="12"/>
        <v>100</v>
      </c>
      <c r="T29" s="774" t="s">
        <v>21</v>
      </c>
      <c r="U29" s="775">
        <f t="shared" si="13"/>
        <v>100</v>
      </c>
      <c r="V29" s="774" t="s">
        <v>21</v>
      </c>
      <c r="W29" s="775">
        <f t="shared" si="14"/>
        <v>100</v>
      </c>
      <c r="X29" s="1812"/>
      <c r="Y29" s="317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0"/>
      <c r="Q30" s="1809">
        <f t="shared" si="11"/>
        <v>111</v>
      </c>
      <c r="R30" s="774" t="s">
        <v>21</v>
      </c>
      <c r="S30" s="775">
        <f t="shared" si="12"/>
        <v>100</v>
      </c>
      <c r="T30" s="774" t="s">
        <v>21</v>
      </c>
      <c r="U30" s="775">
        <f t="shared" si="13"/>
        <v>100</v>
      </c>
      <c r="V30" s="774" t="s">
        <v>21</v>
      </c>
      <c r="W30" s="775">
        <f t="shared" si="14"/>
        <v>100</v>
      </c>
      <c r="X30" s="1812"/>
      <c r="Y30" s="3176"/>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0"/>
      <c r="Q31" s="1809">
        <f t="shared" si="11"/>
        <v>111</v>
      </c>
      <c r="R31" s="774" t="s">
        <v>21</v>
      </c>
      <c r="S31" s="775">
        <f t="shared" si="12"/>
        <v>100</v>
      </c>
      <c r="T31" s="774" t="s">
        <v>21</v>
      </c>
      <c r="U31" s="775">
        <f t="shared" si="13"/>
        <v>100</v>
      </c>
      <c r="V31" s="774" t="s">
        <v>21</v>
      </c>
      <c r="W31" s="775">
        <f t="shared" si="14"/>
        <v>100</v>
      </c>
      <c r="X31" s="1812"/>
      <c r="Y31" s="3176"/>
      <c r="Z31" s="1813">
        <f t="shared" si="18"/>
        <v>111</v>
      </c>
      <c r="AA31" s="1810">
        <f t="shared" si="15"/>
        <v>1</v>
      </c>
      <c r="AB31" s="1810">
        <f t="shared" si="16"/>
        <v>1</v>
      </c>
      <c r="AC31" s="1810">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15" t="s">
        <v>2562</v>
      </c>
      <c r="Q32" s="1809" t="str">
        <f t="shared" si="11"/>
        <v>建筑类型</v>
      </c>
      <c r="R32" s="774" t="s">
        <v>21</v>
      </c>
      <c r="S32" s="775">
        <f t="shared" si="12"/>
        <v>100</v>
      </c>
      <c r="T32" s="774" t="s">
        <v>21</v>
      </c>
      <c r="U32" s="775">
        <f t="shared" si="13"/>
        <v>100</v>
      </c>
      <c r="V32" s="774" t="s">
        <v>21</v>
      </c>
      <c r="W32" s="775">
        <f t="shared" si="14"/>
        <v>100</v>
      </c>
      <c r="X32" s="1812"/>
      <c r="Y32" s="3178"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1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0" t="e">
        <f t="shared" si="15"/>
        <v>#N/A</v>
      </c>
      <c r="AB33" s="1810" t="e">
        <f t="shared" si="16"/>
        <v>#N/A</v>
      </c>
      <c r="AC33" s="1810"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16"/>
      <c r="Q34" s="1809" t="str">
        <f t="shared" si="11"/>
        <v>建筑结构</v>
      </c>
      <c r="R34" s="774" t="s">
        <v>21</v>
      </c>
      <c r="S34" s="775">
        <f t="shared" si="12"/>
        <v>100</v>
      </c>
      <c r="T34" s="774" t="s">
        <v>21</v>
      </c>
      <c r="U34" s="775">
        <f t="shared" si="13"/>
        <v>100</v>
      </c>
      <c r="V34" s="774" t="s">
        <v>21</v>
      </c>
      <c r="W34" s="775">
        <f t="shared" si="14"/>
        <v>100</v>
      </c>
      <c r="X34" s="1812"/>
      <c r="Y34" s="3178"/>
      <c r="Z34" s="1813" t="str">
        <f t="shared" si="18"/>
        <v>建筑结构</v>
      </c>
      <c r="AA34" s="1810">
        <f t="shared" si="15"/>
        <v>1</v>
      </c>
      <c r="AB34" s="1810">
        <f t="shared" si="16"/>
        <v>1</v>
      </c>
      <c r="AC34" s="1810">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16"/>
      <c r="Q35" s="1809" t="str">
        <f t="shared" si="11"/>
        <v>建筑品质</v>
      </c>
      <c r="R35" s="774" t="s">
        <v>21</v>
      </c>
      <c r="S35" s="775">
        <f t="shared" si="12"/>
        <v>100</v>
      </c>
      <c r="T35" s="774" t="s">
        <v>21</v>
      </c>
      <c r="U35" s="775">
        <f t="shared" si="13"/>
        <v>100</v>
      </c>
      <c r="V35" s="774" t="s">
        <v>21</v>
      </c>
      <c r="W35" s="775">
        <f t="shared" si="14"/>
        <v>100</v>
      </c>
      <c r="X35" s="1812"/>
      <c r="Y35" s="3178"/>
      <c r="Z35" s="1813" t="str">
        <f t="shared" si="18"/>
        <v>建筑品质</v>
      </c>
      <c r="AA35" s="1810">
        <f t="shared" si="15"/>
        <v>1</v>
      </c>
      <c r="AB35" s="1810">
        <f t="shared" si="16"/>
        <v>1</v>
      </c>
      <c r="AC35" s="1810">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16"/>
      <c r="Q36" s="1809" t="str">
        <f t="shared" si="11"/>
        <v>公共部分装修</v>
      </c>
      <c r="R36" s="774" t="s">
        <v>21</v>
      </c>
      <c r="S36" s="775">
        <f t="shared" si="12"/>
        <v>100</v>
      </c>
      <c r="T36" s="774" t="s">
        <v>21</v>
      </c>
      <c r="U36" s="775">
        <f t="shared" si="13"/>
        <v>100</v>
      </c>
      <c r="V36" s="774" t="s">
        <v>21</v>
      </c>
      <c r="W36" s="775">
        <f t="shared" si="14"/>
        <v>100</v>
      </c>
      <c r="X36" s="1812"/>
      <c r="Y36" s="3178"/>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6"/>
      <c r="Q37" s="1794"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16" t="s">
        <v>2562</v>
      </c>
      <c r="Q38" s="1809" t="str">
        <f t="shared" si="11"/>
        <v>物业管理</v>
      </c>
      <c r="R38" s="774" t="s">
        <v>21</v>
      </c>
      <c r="S38" s="775">
        <f t="shared" si="12"/>
        <v>100</v>
      </c>
      <c r="T38" s="774" t="s">
        <v>21</v>
      </c>
      <c r="U38" s="775">
        <f t="shared" si="13"/>
        <v>100</v>
      </c>
      <c r="V38" s="774" t="s">
        <v>21</v>
      </c>
      <c r="W38" s="775">
        <f t="shared" si="14"/>
        <v>100</v>
      </c>
      <c r="X38" s="1812"/>
      <c r="Y38" s="3178" t="s">
        <v>2562</v>
      </c>
      <c r="Z38" s="1813" t="str">
        <f t="shared" si="18"/>
        <v>物业管理</v>
      </c>
      <c r="AA38" s="1810">
        <f t="shared" si="15"/>
        <v>1</v>
      </c>
      <c r="AB38" s="1810">
        <f t="shared" si="16"/>
        <v>1</v>
      </c>
      <c r="AC38" s="1810">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16"/>
      <c r="Q39" s="1809" t="str">
        <f t="shared" si="11"/>
        <v>市政基础设施</v>
      </c>
      <c r="R39" s="774" t="s">
        <v>21</v>
      </c>
      <c r="S39" s="775">
        <f t="shared" si="12"/>
        <v>100</v>
      </c>
      <c r="T39" s="774" t="s">
        <v>21</v>
      </c>
      <c r="U39" s="775">
        <f t="shared" si="13"/>
        <v>100</v>
      </c>
      <c r="V39" s="774" t="s">
        <v>21</v>
      </c>
      <c r="W39" s="775">
        <f t="shared" si="14"/>
        <v>100</v>
      </c>
      <c r="X39" s="1812"/>
      <c r="Y39" s="3178"/>
      <c r="Z39" s="1813" t="str">
        <f t="shared" si="18"/>
        <v>市政基础设施</v>
      </c>
      <c r="AA39" s="1810">
        <f t="shared" si="15"/>
        <v>1</v>
      </c>
      <c r="AB39" s="1810">
        <f t="shared" si="16"/>
        <v>1</v>
      </c>
      <c r="AC39" s="1810">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16"/>
      <c r="Q40" s="1809" t="str">
        <f t="shared" si="11"/>
        <v>房型</v>
      </c>
      <c r="R40" s="774" t="s">
        <v>21</v>
      </c>
      <c r="S40" s="775">
        <f t="shared" si="12"/>
        <v>100</v>
      </c>
      <c r="T40" s="774" t="s">
        <v>21</v>
      </c>
      <c r="U40" s="775">
        <f t="shared" si="13"/>
        <v>100</v>
      </c>
      <c r="V40" s="774" t="s">
        <v>21</v>
      </c>
      <c r="W40" s="775">
        <f t="shared" si="14"/>
        <v>100</v>
      </c>
      <c r="X40" s="1812"/>
      <c r="Y40" s="3178"/>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0">
        <f t="shared" si="15"/>
        <v>1</v>
      </c>
      <c r="AB41" s="1810">
        <f t="shared" si="16"/>
        <v>1</v>
      </c>
      <c r="AC41" s="1810">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16"/>
      <c r="Q42" s="1809" t="str">
        <f t="shared" si="11"/>
        <v>内部装修</v>
      </c>
      <c r="R42" s="774" t="s">
        <v>21</v>
      </c>
      <c r="S42" s="775">
        <f t="shared" si="12"/>
        <v>100</v>
      </c>
      <c r="T42" s="774" t="s">
        <v>21</v>
      </c>
      <c r="U42" s="775">
        <f t="shared" si="13"/>
        <v>100</v>
      </c>
      <c r="V42" s="774" t="s">
        <v>21</v>
      </c>
      <c r="W42" s="775">
        <f t="shared" si="14"/>
        <v>100</v>
      </c>
      <c r="X42" s="1812"/>
      <c r="Y42" s="3178"/>
      <c r="Z42" s="1813" t="str">
        <f t="shared" si="18"/>
        <v>内部装修</v>
      </c>
      <c r="AA42" s="1810">
        <f t="shared" si="15"/>
        <v>1</v>
      </c>
      <c r="AB42" s="1810">
        <f t="shared" si="16"/>
        <v>1</v>
      </c>
      <c r="AC42" s="1810">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16"/>
      <c r="Q43" s="1809" t="str">
        <f t="shared" si="11"/>
        <v>内部装修维护情况</v>
      </c>
      <c r="R43" s="774" t="s">
        <v>21</v>
      </c>
      <c r="S43" s="775">
        <f t="shared" si="12"/>
        <v>100</v>
      </c>
      <c r="T43" s="774" t="s">
        <v>21</v>
      </c>
      <c r="U43" s="775">
        <f t="shared" si="13"/>
        <v>100</v>
      </c>
      <c r="V43" s="774" t="s">
        <v>21</v>
      </c>
      <c r="W43" s="775">
        <f t="shared" si="14"/>
        <v>100</v>
      </c>
      <c r="X43" s="1812"/>
      <c r="Y43" s="317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16"/>
      <c r="Q44" s="1794">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16"/>
      <c r="Q45" s="1809">
        <f t="shared" si="11"/>
        <v>111</v>
      </c>
      <c r="R45" s="774" t="s">
        <v>21</v>
      </c>
      <c r="S45" s="775">
        <f t="shared" si="12"/>
        <v>100</v>
      </c>
      <c r="T45" s="774" t="s">
        <v>21</v>
      </c>
      <c r="U45" s="775">
        <f t="shared" si="13"/>
        <v>100</v>
      </c>
      <c r="V45" s="774" t="s">
        <v>21</v>
      </c>
      <c r="W45" s="775">
        <f t="shared" si="14"/>
        <v>100</v>
      </c>
      <c r="X45" s="1812"/>
      <c r="Y45" s="3178"/>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17"/>
      <c r="Q46" s="1809">
        <f t="shared" si="11"/>
        <v>111</v>
      </c>
      <c r="R46" s="774" t="s">
        <v>20</v>
      </c>
      <c r="S46" s="775">
        <f t="shared" si="12"/>
        <v>100</v>
      </c>
      <c r="T46" s="774" t="s">
        <v>20</v>
      </c>
      <c r="U46" s="775">
        <f t="shared" si="13"/>
        <v>100</v>
      </c>
      <c r="V46" s="774" t="s">
        <v>20</v>
      </c>
      <c r="W46" s="775">
        <f t="shared" si="14"/>
        <v>100</v>
      </c>
      <c r="X46" s="1812"/>
      <c r="Y46" s="3218"/>
      <c r="Z46" s="1813">
        <f t="shared" si="18"/>
        <v>111</v>
      </c>
      <c r="AA46" s="1810">
        <f t="shared" si="15"/>
        <v>1</v>
      </c>
      <c r="AB46" s="1810">
        <f t="shared" si="16"/>
        <v>1</v>
      </c>
      <c r="AC46" s="1810">
        <f t="shared" si="17"/>
        <v>1</v>
      </c>
    </row>
    <row r="47" spans="1:29" ht="15">
      <c r="A47" s="479" t="s">
        <v>2574</v>
      </c>
      <c r="B47" s="480"/>
      <c r="C47" s="1406" t="s">
        <v>19</v>
      </c>
      <c r="D47" s="1407"/>
      <c r="E47" s="1408"/>
      <c r="F47" s="1409"/>
      <c r="G47" s="1410"/>
      <c r="H47" s="1411"/>
      <c r="I47" s="1408"/>
      <c r="J47" s="1411"/>
      <c r="K47" s="2622"/>
      <c r="L47" s="1143"/>
      <c r="M47" s="1144"/>
      <c r="N47" s="1131"/>
      <c r="O47" s="1144"/>
      <c r="P47" s="3160" t="str">
        <f>A47</f>
        <v>成交单价（元/平方米）</v>
      </c>
      <c r="Q47" s="3160"/>
      <c r="R47" s="3214">
        <f>E47</f>
        <v>0</v>
      </c>
      <c r="S47" s="3214"/>
      <c r="T47" s="3214">
        <f>G47</f>
        <v>0</v>
      </c>
      <c r="U47" s="3214"/>
      <c r="V47" s="3214">
        <f>I47</f>
        <v>0</v>
      </c>
      <c r="W47" s="3214"/>
      <c r="X47" s="759"/>
      <c r="Y47" s="781"/>
      <c r="Z47" s="759"/>
      <c r="AA47" s="759"/>
      <c r="AB47" s="759"/>
      <c r="AC47" s="759"/>
    </row>
    <row r="48" spans="1:29" ht="15.75" thickBot="1">
      <c r="A48" s="486" t="s">
        <v>2575</v>
      </c>
      <c r="B48" s="487"/>
      <c r="C48" s="1412" t="e">
        <f>R49</f>
        <v>#DIV/0!</v>
      </c>
      <c r="D48" s="1413"/>
      <c r="E48" s="1414" t="e">
        <f>R48</f>
        <v>#DIV/0!</v>
      </c>
      <c r="F48" s="1414"/>
      <c r="G48" s="1412" t="e">
        <f>T48</f>
        <v>#DIV/0!</v>
      </c>
      <c r="H48" s="1413"/>
      <c r="I48" s="1414" t="e">
        <f>V48</f>
        <v>#DIV/0!</v>
      </c>
      <c r="J48" s="1413"/>
      <c r="K48" s="2623"/>
      <c r="L48" s="1143"/>
      <c r="M48" s="1144"/>
      <c r="N48" s="1144"/>
      <c r="O48" s="1144"/>
      <c r="P48" s="3160" t="str">
        <f>A48</f>
        <v>比较价值（元/平方米）</v>
      </c>
      <c r="Q48" s="3160"/>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2576</v>
      </c>
      <c r="B49" s="493"/>
      <c r="C49" s="1415" t="e">
        <f>R49</f>
        <v>#DIV/0!</v>
      </c>
      <c r="D49" s="1416"/>
      <c r="E49" s="1416"/>
      <c r="F49" s="1416"/>
      <c r="G49" s="1416"/>
      <c r="H49" s="1416"/>
      <c r="I49" s="1416"/>
      <c r="J49" s="1416"/>
      <c r="K49" s="2624"/>
      <c r="L49" s="1143"/>
      <c r="M49" s="1144"/>
      <c r="N49" s="1144"/>
      <c r="O49" s="1144"/>
      <c r="P49" s="3180" t="str">
        <f>A49</f>
        <v>估价对象XX用房的比较价值（楼面单价，元/平方米）</v>
      </c>
      <c r="Q49" s="3181"/>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7"/>
      <c r="Q57" s="504"/>
    </row>
    <row r="58" spans="1:29" s="508" customFormat="1" ht="15">
      <c r="A58" s="505" t="s">
        <v>2581</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2601</v>
      </c>
      <c r="D82" s="539" t="s">
        <v>2602</v>
      </c>
      <c r="E82" s="539" t="s">
        <v>2603</v>
      </c>
      <c r="F82" s="539" t="s">
        <v>2604</v>
      </c>
      <c r="G82" s="539" t="s">
        <v>2605</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2608</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2560</v>
      </c>
      <c r="B100" s="528" t="s">
        <v>2609</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2612</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2613</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2614</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2615</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2616</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4">
        <v>6</v>
      </c>
      <c r="C139" s="1085">
        <v>96</v>
      </c>
      <c r="D139" s="2649" t="s">
        <v>2628</v>
      </c>
      <c r="E139" s="1086">
        <v>100</v>
      </c>
      <c r="F139" s="1087">
        <v>102.5</v>
      </c>
      <c r="G139" s="2649" t="s">
        <v>2628</v>
      </c>
      <c r="H139" s="1088">
        <v>105</v>
      </c>
      <c r="I139" s="2650" t="s">
        <v>2629</v>
      </c>
      <c r="J139" s="1085">
        <v>20</v>
      </c>
      <c r="K139" s="1089">
        <f>C145/(J139-2)</f>
        <v>4.0555555555555553E-3</v>
      </c>
    </row>
    <row r="140" spans="1:17" ht="15">
      <c r="B140" s="1090">
        <v>5</v>
      </c>
      <c r="C140" s="1091">
        <v>100</v>
      </c>
      <c r="D140" s="1091"/>
      <c r="E140" s="1092"/>
      <c r="F140" s="1093">
        <v>102</v>
      </c>
      <c r="G140" s="1091"/>
      <c r="H140" s="1094"/>
      <c r="I140" s="2651" t="s">
        <v>2630</v>
      </c>
      <c r="J140" s="315">
        <f>ROUNDUP((J139-1)/2,0)</f>
        <v>10</v>
      </c>
      <c r="K140" s="1095">
        <v>100</v>
      </c>
    </row>
    <row r="141" spans="1:17" ht="15">
      <c r="B141" s="1090">
        <v>4</v>
      </c>
      <c r="C141" s="1091">
        <v>102</v>
      </c>
      <c r="D141" s="1091"/>
      <c r="E141" s="1092"/>
      <c r="F141" s="1093">
        <v>101.5</v>
      </c>
      <c r="G141" s="1091"/>
      <c r="H141" s="1094"/>
      <c r="I141" s="2651" t="s">
        <v>2631</v>
      </c>
      <c r="J141" s="315">
        <v>1</v>
      </c>
      <c r="K141" s="1096">
        <f>ROUND(100+(J141-J140)*K139*100,1)</f>
        <v>96.4</v>
      </c>
    </row>
    <row r="142" spans="1:17" ht="15">
      <c r="B142" s="1090">
        <v>3</v>
      </c>
      <c r="C142" s="1091">
        <v>103</v>
      </c>
      <c r="D142" s="1091"/>
      <c r="E142" s="1092"/>
      <c r="F142" s="1093">
        <v>101</v>
      </c>
      <c r="G142" s="1091"/>
      <c r="H142" s="1094"/>
      <c r="I142" s="2651" t="s">
        <v>2632</v>
      </c>
      <c r="J142" s="315">
        <f>J139</f>
        <v>20</v>
      </c>
      <c r="K142" s="1097">
        <v>95</v>
      </c>
    </row>
    <row r="143" spans="1:17" ht="15">
      <c r="B143" s="1090">
        <v>2</v>
      </c>
      <c r="C143" s="1091">
        <v>100</v>
      </c>
      <c r="D143" s="1091"/>
      <c r="E143" s="1092"/>
      <c r="F143" s="1093">
        <v>100.5</v>
      </c>
      <c r="G143" s="1091"/>
      <c r="H143" s="1094"/>
      <c r="I143" s="2651" t="s">
        <v>2633</v>
      </c>
      <c r="J143" s="1091">
        <v>15</v>
      </c>
      <c r="K143" s="1096">
        <f>ROUND(100+(J143-J140)*K139*100,1)</f>
        <v>102</v>
      </c>
    </row>
    <row r="144" spans="1:17" ht="15">
      <c r="B144" s="1090">
        <v>1</v>
      </c>
      <c r="C144" s="1091">
        <v>98</v>
      </c>
      <c r="D144" s="2652" t="s">
        <v>2634</v>
      </c>
      <c r="E144" s="1092">
        <v>102</v>
      </c>
      <c r="F144" s="1098">
        <v>100</v>
      </c>
      <c r="G144" s="2652" t="s">
        <v>2634</v>
      </c>
      <c r="H144" s="1094">
        <v>105</v>
      </c>
      <c r="I144" s="2651" t="s">
        <v>2633</v>
      </c>
      <c r="J144" s="1091">
        <v>18</v>
      </c>
      <c r="K144" s="1096">
        <f>ROUND(100+(J144-J140)*K139*100,1)</f>
        <v>103.2</v>
      </c>
    </row>
    <row r="145" spans="2:11" ht="15.75" thickBot="1">
      <c r="B145" s="2653" t="s">
        <v>2635</v>
      </c>
      <c r="C145" s="1099">
        <f>ROUND(MAX(C139:C144)/MIN(C139:C144)-1,3)</f>
        <v>7.2999999999999995E-2</v>
      </c>
      <c r="D145" s="1100"/>
      <c r="E145" s="1100"/>
      <c r="F145" s="2654" t="s">
        <v>2636</v>
      </c>
      <c r="G145" s="2655"/>
      <c r="H145" s="2656"/>
      <c r="I145" s="2657" t="s">
        <v>2633</v>
      </c>
      <c r="J145" s="1101">
        <v>8</v>
      </c>
      <c r="K145" s="1102">
        <f>ROUND(100+(J145-J140)*K139*100,1)</f>
        <v>99.2</v>
      </c>
    </row>
    <row r="147" spans="2:11">
      <c r="B147" s="2638" t="s">
        <v>2637</v>
      </c>
    </row>
    <row r="148" spans="2:11">
      <c r="B148" s="263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3" t="s">
        <v>2639</v>
      </c>
      <c r="C1" s="1633" t="s">
        <v>2527</v>
      </c>
      <c r="D1" s="1620"/>
      <c r="E1" s="2658"/>
      <c r="F1" s="2585"/>
      <c r="G1" s="1630" t="s">
        <v>2640</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2329</v>
      </c>
      <c r="B3" s="609" t="e">
        <f ca="1">IF(C2="——",C49,ROUND(B2*10000/D3,0))</f>
        <v>#DIV/0!</v>
      </c>
      <c r="C3" s="400" t="s">
        <v>2641</v>
      </c>
      <c r="D3" s="399">
        <f>IF(D1="",'数据-汇总表'!E3,SUMIF('数据-汇总表'!$C19:$C33,D1,'数据-汇总表'!$E19:$E33))</f>
        <v>1526.7</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73" t="s">
        <v>2645</v>
      </c>
      <c r="AC4" s="3143" t="s">
        <v>2646</v>
      </c>
    </row>
    <row r="5" spans="1:29"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73"/>
      <c r="AC5" s="3144"/>
    </row>
    <row r="6" spans="1:29" ht="15.75" thickBot="1">
      <c r="A6" s="406"/>
      <c r="B6" s="407"/>
      <c r="C6" s="3156" t="s">
        <v>2543</v>
      </c>
      <c r="D6" s="3157"/>
      <c r="E6" s="3158" t="s">
        <v>2543</v>
      </c>
      <c r="F6" s="3159"/>
      <c r="G6" s="3156" t="s">
        <v>2543</v>
      </c>
      <c r="H6" s="3157"/>
      <c r="I6" s="3156" t="s">
        <v>2543</v>
      </c>
      <c r="J6" s="3157"/>
      <c r="K6" s="610" t="s">
        <v>2544</v>
      </c>
      <c r="L6" s="1130"/>
      <c r="M6" s="1131"/>
      <c r="N6" s="1131"/>
      <c r="O6" s="1131"/>
      <c r="P6" s="3169"/>
      <c r="Q6" s="3170"/>
      <c r="R6" s="3150"/>
      <c r="S6" s="3151"/>
      <c r="T6" s="3171"/>
      <c r="U6" s="3172"/>
      <c r="V6" s="3173"/>
      <c r="W6" s="3173"/>
      <c r="X6" s="1812"/>
      <c r="Y6" s="3171"/>
      <c r="Z6" s="3172"/>
      <c r="AA6" s="3145"/>
      <c r="AB6" s="3173"/>
      <c r="AC6" s="3145"/>
    </row>
    <row r="7" spans="1:29" s="117" customFormat="1" ht="15.75" thickBot="1">
      <c r="A7" s="408" t="s">
        <v>2545</v>
      </c>
      <c r="B7" s="409"/>
      <c r="C7" s="410">
        <f>'数据-取费表'!B2</f>
        <v>43770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46" t="s">
        <v>2546</v>
      </c>
      <c r="Q7" s="3174"/>
      <c r="R7" s="770" t="s">
        <v>17</v>
      </c>
      <c r="S7" s="771">
        <f t="shared" ref="S7:S15" si="0">F7</f>
        <v>0</v>
      </c>
      <c r="T7" s="770" t="s">
        <v>17</v>
      </c>
      <c r="U7" s="771">
        <f t="shared" ref="U7:U15" si="1">H7</f>
        <v>0</v>
      </c>
      <c r="V7" s="770" t="s">
        <v>17</v>
      </c>
      <c r="W7" s="771">
        <f t="shared" ref="W7:W15" si="2">J7</f>
        <v>0</v>
      </c>
      <c r="X7" s="772"/>
      <c r="Y7" s="3146" t="s">
        <v>2546</v>
      </c>
      <c r="Z7" s="314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46" t="s">
        <v>2549</v>
      </c>
      <c r="Q8" s="3147"/>
      <c r="R8" s="770" t="s">
        <v>17</v>
      </c>
      <c r="S8" s="771">
        <f t="shared" si="0"/>
        <v>0</v>
      </c>
      <c r="T8" s="770" t="s">
        <v>17</v>
      </c>
      <c r="U8" s="771">
        <f t="shared" si="1"/>
        <v>0</v>
      </c>
      <c r="V8" s="770" t="s">
        <v>17</v>
      </c>
      <c r="W8" s="771">
        <f t="shared" si="2"/>
        <v>0</v>
      </c>
      <c r="X8" s="772"/>
      <c r="Y8" s="3146" t="s">
        <v>2549</v>
      </c>
      <c r="Z8" s="314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4"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2557</v>
      </c>
      <c r="Q15" s="1809" t="str">
        <f t="shared" si="6"/>
        <v>商业繁华度</v>
      </c>
      <c r="R15" s="774" t="s">
        <v>17</v>
      </c>
      <c r="S15" s="775">
        <f t="shared" si="0"/>
        <v>100</v>
      </c>
      <c r="T15" s="774" t="s">
        <v>17</v>
      </c>
      <c r="U15" s="775">
        <f t="shared" si="1"/>
        <v>100</v>
      </c>
      <c r="V15" s="774" t="s">
        <v>17</v>
      </c>
      <c r="W15" s="775">
        <f t="shared" si="2"/>
        <v>100</v>
      </c>
      <c r="X15" s="1812"/>
      <c r="Y15" s="3175"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0"/>
      <c r="Q16" s="1809"/>
      <c r="R16" s="774"/>
      <c r="S16" s="775"/>
      <c r="T16" s="774"/>
      <c r="U16" s="775"/>
      <c r="V16" s="774"/>
      <c r="W16" s="775"/>
      <c r="X16" s="1812"/>
      <c r="Y16" s="3176"/>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20"/>
      <c r="Q18" s="1809"/>
      <c r="R18" s="774"/>
      <c r="S18" s="775"/>
      <c r="T18" s="774"/>
      <c r="U18" s="775"/>
      <c r="V18" s="774"/>
      <c r="W18" s="775"/>
      <c r="X18" s="1812"/>
      <c r="Y18" s="3176"/>
      <c r="Z18" s="1813"/>
      <c r="AA18" s="1810">
        <v>1</v>
      </c>
      <c r="AB18" s="1810">
        <v>1</v>
      </c>
      <c r="AC18" s="1810">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20"/>
      <c r="Q20" s="1809"/>
      <c r="R20" s="774"/>
      <c r="S20" s="775"/>
      <c r="T20" s="774"/>
      <c r="U20" s="775"/>
      <c r="V20" s="774"/>
      <c r="W20" s="775"/>
      <c r="X20" s="1812"/>
      <c r="Y20" s="3176"/>
      <c r="Z20" s="1813"/>
      <c r="AA20" s="1810">
        <v>1</v>
      </c>
      <c r="AB20" s="1810">
        <v>1</v>
      </c>
      <c r="AC20" s="1810">
        <v>1</v>
      </c>
    </row>
    <row r="21" spans="1:29" ht="28.5">
      <c r="A21" s="428"/>
      <c r="B21" s="1383"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20"/>
      <c r="Q22" s="1809"/>
      <c r="R22" s="774"/>
      <c r="S22" s="775"/>
      <c r="T22" s="774"/>
      <c r="U22" s="775"/>
      <c r="V22" s="774"/>
      <c r="W22" s="775"/>
      <c r="X22" s="1812"/>
      <c r="Y22" s="3176"/>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09" t="str">
        <f>B23</f>
        <v>自然及人文环境</v>
      </c>
      <c r="R23" s="774" t="s">
        <v>17</v>
      </c>
      <c r="S23" s="775">
        <f>F23</f>
        <v>100</v>
      </c>
      <c r="T23" s="774" t="s">
        <v>17</v>
      </c>
      <c r="U23" s="775">
        <f>H23</f>
        <v>100</v>
      </c>
      <c r="V23" s="774" t="s">
        <v>17</v>
      </c>
      <c r="W23" s="775">
        <f>J23</f>
        <v>100</v>
      </c>
      <c r="X23" s="1812"/>
      <c r="Y23" s="3176"/>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20"/>
      <c r="Q24" s="1809"/>
      <c r="R24" s="774"/>
      <c r="S24" s="775"/>
      <c r="T24" s="774"/>
      <c r="U24" s="775"/>
      <c r="V24" s="774"/>
      <c r="W24" s="775"/>
      <c r="X24" s="1812"/>
      <c r="Y24" s="3176"/>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09" t="str">
        <f t="shared" ref="Q25:Q46" si="11">B25</f>
        <v>临街状况</v>
      </c>
      <c r="R25" s="774" t="s">
        <v>17</v>
      </c>
      <c r="S25" s="775">
        <f>F25</f>
        <v>100</v>
      </c>
      <c r="T25" s="774" t="s">
        <v>17</v>
      </c>
      <c r="U25" s="775">
        <f>H25</f>
        <v>100</v>
      </c>
      <c r="V25" s="774" t="s">
        <v>17</v>
      </c>
      <c r="W25" s="775">
        <f>J25</f>
        <v>100</v>
      </c>
      <c r="X25" s="1812"/>
      <c r="Y25" s="3176"/>
      <c r="Z25" s="1813" t="str">
        <f>Q25</f>
        <v>临街状况</v>
      </c>
      <c r="AA25" s="1810">
        <f t="shared" si="3"/>
        <v>1</v>
      </c>
      <c r="AB25" s="1810">
        <f t="shared" si="4"/>
        <v>1</v>
      </c>
      <c r="AC25" s="1810">
        <f t="shared" si="5"/>
        <v>1</v>
      </c>
    </row>
    <row r="26" spans="1:29" ht="15">
      <c r="A26" s="428"/>
      <c r="B26" s="1385"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09" t="str">
        <f t="shared" si="11"/>
        <v>平面位置/可视性</v>
      </c>
      <c r="R26" s="774" t="s">
        <v>17</v>
      </c>
      <c r="S26" s="775">
        <f>F26</f>
        <v>100</v>
      </c>
      <c r="T26" s="774" t="s">
        <v>17</v>
      </c>
      <c r="U26" s="775">
        <f>H26</f>
        <v>100</v>
      </c>
      <c r="V26" s="774" t="s">
        <v>17</v>
      </c>
      <c r="W26" s="775">
        <f>J26</f>
        <v>100</v>
      </c>
      <c r="X26" s="1812"/>
      <c r="Y26" s="3176"/>
      <c r="Z26" s="1813" t="str">
        <f>Q26</f>
        <v>平面位置/可视性</v>
      </c>
      <c r="AA26" s="1810">
        <f t="shared" si="3"/>
        <v>1</v>
      </c>
      <c r="AB26" s="1810">
        <f t="shared" si="4"/>
        <v>1</v>
      </c>
      <c r="AC26" s="1810">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0"/>
      <c r="Q27" s="1794" t="str">
        <f t="shared" si="11"/>
        <v>人流量</v>
      </c>
      <c r="R27" s="770" t="s">
        <v>17</v>
      </c>
      <c r="S27" s="771">
        <f>F27</f>
        <v>100</v>
      </c>
      <c r="T27" s="770" t="s">
        <v>17</v>
      </c>
      <c r="U27" s="771">
        <f>H27</f>
        <v>100</v>
      </c>
      <c r="V27" s="770" t="s">
        <v>17</v>
      </c>
      <c r="W27" s="771">
        <f>J27</f>
        <v>100</v>
      </c>
      <c r="X27" s="772"/>
      <c r="Y27" s="3176"/>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09">
        <f t="shared" si="11"/>
        <v>111</v>
      </c>
      <c r="R29" s="774" t="s">
        <v>17</v>
      </c>
      <c r="S29" s="775">
        <f t="shared" si="12"/>
        <v>100</v>
      </c>
      <c r="T29" s="774" t="s">
        <v>17</v>
      </c>
      <c r="U29" s="775">
        <f t="shared" si="13"/>
        <v>100</v>
      </c>
      <c r="V29" s="774" t="s">
        <v>17</v>
      </c>
      <c r="W29" s="775">
        <f t="shared" si="14"/>
        <v>100</v>
      </c>
      <c r="X29" s="1812"/>
      <c r="Y29" s="317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09">
        <f t="shared" si="11"/>
        <v>111</v>
      </c>
      <c r="R30" s="774" t="s">
        <v>17</v>
      </c>
      <c r="S30" s="775">
        <f t="shared" si="12"/>
        <v>100</v>
      </c>
      <c r="T30" s="774" t="s">
        <v>17</v>
      </c>
      <c r="U30" s="775">
        <f t="shared" si="13"/>
        <v>100</v>
      </c>
      <c r="V30" s="774" t="s">
        <v>17</v>
      </c>
      <c r="W30" s="775">
        <f t="shared" si="14"/>
        <v>100</v>
      </c>
      <c r="X30" s="1812"/>
      <c r="Y30" s="3176"/>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09">
        <f t="shared" si="11"/>
        <v>111</v>
      </c>
      <c r="R31" s="774" t="s">
        <v>17</v>
      </c>
      <c r="S31" s="775">
        <f t="shared" si="12"/>
        <v>100</v>
      </c>
      <c r="T31" s="774" t="s">
        <v>17</v>
      </c>
      <c r="U31" s="775">
        <f t="shared" si="13"/>
        <v>100</v>
      </c>
      <c r="V31" s="774" t="s">
        <v>17</v>
      </c>
      <c r="W31" s="775">
        <f t="shared" si="14"/>
        <v>100</v>
      </c>
      <c r="X31" s="1812"/>
      <c r="Y31" s="3176"/>
      <c r="Z31" s="1813">
        <f t="shared" si="15"/>
        <v>111</v>
      </c>
      <c r="AA31" s="1810">
        <f t="shared" si="3"/>
        <v>1</v>
      </c>
      <c r="AB31" s="1810">
        <f t="shared" si="4"/>
        <v>1</v>
      </c>
      <c r="AC31" s="1810">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15" t="s">
        <v>2562</v>
      </c>
      <c r="Q32" s="1809" t="str">
        <f t="shared" si="11"/>
        <v>商业类型</v>
      </c>
      <c r="R32" s="774" t="s">
        <v>17</v>
      </c>
      <c r="S32" s="775">
        <f t="shared" si="12"/>
        <v>100</v>
      </c>
      <c r="T32" s="774" t="s">
        <v>17</v>
      </c>
      <c r="U32" s="775">
        <f t="shared" si="13"/>
        <v>100</v>
      </c>
      <c r="V32" s="774" t="s">
        <v>17</v>
      </c>
      <c r="W32" s="775">
        <f t="shared" si="14"/>
        <v>100</v>
      </c>
      <c r="X32" s="1812"/>
      <c r="Y32" s="3178"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0" t="e">
        <f t="shared" si="3"/>
        <v>#N/A</v>
      </c>
      <c r="AB33" s="1810" t="e">
        <f t="shared" si="4"/>
        <v>#N/A</v>
      </c>
      <c r="AC33" s="1810"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16"/>
      <c r="Q34" s="1809" t="str">
        <f t="shared" si="11"/>
        <v>建筑结构</v>
      </c>
      <c r="R34" s="774" t="s">
        <v>17</v>
      </c>
      <c r="S34" s="775">
        <f t="shared" si="12"/>
        <v>100</v>
      </c>
      <c r="T34" s="774" t="s">
        <v>17</v>
      </c>
      <c r="U34" s="775">
        <f t="shared" si="13"/>
        <v>100</v>
      </c>
      <c r="V34" s="774" t="s">
        <v>17</v>
      </c>
      <c r="W34" s="775">
        <f t="shared" si="14"/>
        <v>100</v>
      </c>
      <c r="X34" s="1812"/>
      <c r="Y34" s="3178"/>
      <c r="Z34" s="1813" t="str">
        <f t="shared" si="15"/>
        <v>建筑结构</v>
      </c>
      <c r="AA34" s="1810">
        <f t="shared" si="3"/>
        <v>1</v>
      </c>
      <c r="AB34" s="1810">
        <f t="shared" si="4"/>
        <v>1</v>
      </c>
      <c r="AC34" s="1810">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16"/>
      <c r="Q35" s="1809" t="str">
        <f t="shared" si="11"/>
        <v>公共部分装修</v>
      </c>
      <c r="R35" s="774" t="s">
        <v>17</v>
      </c>
      <c r="S35" s="775">
        <f t="shared" si="12"/>
        <v>100</v>
      </c>
      <c r="T35" s="774" t="s">
        <v>17</v>
      </c>
      <c r="U35" s="775">
        <f t="shared" si="13"/>
        <v>100</v>
      </c>
      <c r="V35" s="774" t="s">
        <v>17</v>
      </c>
      <c r="W35" s="775">
        <f t="shared" si="14"/>
        <v>100</v>
      </c>
      <c r="X35" s="1812"/>
      <c r="Y35" s="3178"/>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809" t="str">
        <f t="shared" si="11"/>
        <v>成新度</v>
      </c>
      <c r="R36" s="774" t="s">
        <v>17</v>
      </c>
      <c r="S36" s="775" t="e">
        <f t="shared" si="12"/>
        <v>#N/A</v>
      </c>
      <c r="T36" s="774" t="s">
        <v>17</v>
      </c>
      <c r="U36" s="775" t="e">
        <f t="shared" si="13"/>
        <v>#N/A</v>
      </c>
      <c r="V36" s="774" t="s">
        <v>17</v>
      </c>
      <c r="W36" s="775" t="e">
        <f t="shared" si="14"/>
        <v>#N/A</v>
      </c>
      <c r="X36" s="1812"/>
      <c r="Y36" s="3178"/>
      <c r="Z36" s="1813" t="str">
        <f t="shared" si="15"/>
        <v>成新度</v>
      </c>
      <c r="AA36" s="1810" t="e">
        <f t="shared" si="3"/>
        <v>#N/A</v>
      </c>
      <c r="AB36" s="1810" t="e">
        <f t="shared" si="4"/>
        <v>#N/A</v>
      </c>
      <c r="AC36" s="1810"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16"/>
      <c r="Q37" s="1794"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16" t="s">
        <v>2562</v>
      </c>
      <c r="Q38" s="1809" t="str">
        <f t="shared" si="11"/>
        <v>业态</v>
      </c>
      <c r="R38" s="774" t="s">
        <v>17</v>
      </c>
      <c r="S38" s="775">
        <f t="shared" si="12"/>
        <v>100</v>
      </c>
      <c r="T38" s="774" t="s">
        <v>17</v>
      </c>
      <c r="U38" s="775">
        <f t="shared" si="13"/>
        <v>100</v>
      </c>
      <c r="V38" s="774" t="s">
        <v>17</v>
      </c>
      <c r="W38" s="775">
        <f t="shared" si="14"/>
        <v>100</v>
      </c>
      <c r="X38" s="1812"/>
      <c r="Y38" s="3178" t="s">
        <v>2562</v>
      </c>
      <c r="Z38" s="1813" t="str">
        <f t="shared" si="15"/>
        <v>业态</v>
      </c>
      <c r="AA38" s="1810">
        <f t="shared" si="3"/>
        <v>1</v>
      </c>
      <c r="AB38" s="1810">
        <f t="shared" si="4"/>
        <v>1</v>
      </c>
      <c r="AC38" s="1810">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16"/>
      <c r="Q39" s="1809" t="str">
        <f t="shared" si="11"/>
        <v>层高</v>
      </c>
      <c r="R39" s="774" t="s">
        <v>17</v>
      </c>
      <c r="S39" s="775">
        <f t="shared" si="12"/>
        <v>100</v>
      </c>
      <c r="T39" s="774" t="s">
        <v>17</v>
      </c>
      <c r="U39" s="775">
        <f t="shared" si="13"/>
        <v>100</v>
      </c>
      <c r="V39" s="774" t="s">
        <v>17</v>
      </c>
      <c r="W39" s="775">
        <f t="shared" si="14"/>
        <v>100</v>
      </c>
      <c r="X39" s="1812"/>
      <c r="Y39" s="3178"/>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809" t="str">
        <f t="shared" si="11"/>
        <v>单套建筑面积</v>
      </c>
      <c r="R40" s="774" t="s">
        <v>17</v>
      </c>
      <c r="S40" s="775">
        <f t="shared" si="12"/>
        <v>100</v>
      </c>
      <c r="T40" s="774" t="s">
        <v>17</v>
      </c>
      <c r="U40" s="775">
        <f t="shared" si="13"/>
        <v>100</v>
      </c>
      <c r="V40" s="774" t="s">
        <v>17</v>
      </c>
      <c r="W40" s="775">
        <f t="shared" si="14"/>
        <v>100</v>
      </c>
      <c r="X40" s="1812"/>
      <c r="Y40" s="3178"/>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0">
        <f t="shared" si="3"/>
        <v>1</v>
      </c>
      <c r="AB41" s="1810">
        <f t="shared" si="4"/>
        <v>1</v>
      </c>
      <c r="AC41" s="1810">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16"/>
      <c r="Q42" s="1809" t="str">
        <f t="shared" si="11"/>
        <v>内部装修</v>
      </c>
      <c r="R42" s="774" t="s">
        <v>17</v>
      </c>
      <c r="S42" s="775">
        <f t="shared" si="12"/>
        <v>100</v>
      </c>
      <c r="T42" s="774" t="s">
        <v>17</v>
      </c>
      <c r="U42" s="775">
        <f t="shared" si="13"/>
        <v>100</v>
      </c>
      <c r="V42" s="774" t="s">
        <v>17</v>
      </c>
      <c r="W42" s="775">
        <f t="shared" si="14"/>
        <v>100</v>
      </c>
      <c r="X42" s="1812"/>
      <c r="Y42" s="3178"/>
      <c r="Z42" s="1813" t="str">
        <f t="shared" si="15"/>
        <v>内部装修</v>
      </c>
      <c r="AA42" s="1810">
        <f t="shared" si="3"/>
        <v>1</v>
      </c>
      <c r="AB42" s="1810">
        <f t="shared" si="4"/>
        <v>1</v>
      </c>
      <c r="AC42" s="1810">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16"/>
      <c r="Q43" s="1809" t="str">
        <f t="shared" si="11"/>
        <v>内部装修维护情况</v>
      </c>
      <c r="R43" s="774" t="s">
        <v>17</v>
      </c>
      <c r="S43" s="775">
        <f t="shared" si="12"/>
        <v>100</v>
      </c>
      <c r="T43" s="774" t="s">
        <v>17</v>
      </c>
      <c r="U43" s="775">
        <f t="shared" si="13"/>
        <v>100</v>
      </c>
      <c r="V43" s="774" t="s">
        <v>17</v>
      </c>
      <c r="W43" s="775">
        <f t="shared" si="14"/>
        <v>100</v>
      </c>
      <c r="X43" s="1812"/>
      <c r="Y43" s="317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794">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809">
        <f t="shared" si="11"/>
        <v>111</v>
      </c>
      <c r="R45" s="774" t="s">
        <v>17</v>
      </c>
      <c r="S45" s="775">
        <f t="shared" si="12"/>
        <v>100</v>
      </c>
      <c r="T45" s="774" t="s">
        <v>17</v>
      </c>
      <c r="U45" s="775">
        <f t="shared" si="13"/>
        <v>100</v>
      </c>
      <c r="V45" s="774" t="s">
        <v>17</v>
      </c>
      <c r="W45" s="775">
        <f t="shared" si="14"/>
        <v>100</v>
      </c>
      <c r="X45" s="1812"/>
      <c r="Y45" s="3178"/>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1810">
        <f t="shared" si="5"/>
        <v>1</v>
      </c>
    </row>
    <row r="47" spans="1:29" ht="15">
      <c r="A47" s="479" t="s">
        <v>2574</v>
      </c>
      <c r="B47" s="480"/>
      <c r="C47" s="1406" t="s">
        <v>1</v>
      </c>
      <c r="D47" s="1407"/>
      <c r="E47" s="1408"/>
      <c r="F47" s="1409"/>
      <c r="G47" s="1410"/>
      <c r="H47" s="1411"/>
      <c r="I47" s="1408"/>
      <c r="J47" s="1411"/>
      <c r="K47" s="783"/>
      <c r="L47" s="1143"/>
      <c r="M47" s="1144"/>
      <c r="N47" s="1131"/>
      <c r="O47" s="1144"/>
      <c r="P47" s="3160" t="str">
        <f>A47</f>
        <v>成交单价（元/平方米）</v>
      </c>
      <c r="Q47" s="3160"/>
      <c r="R47" s="3173">
        <f>E47</f>
        <v>0</v>
      </c>
      <c r="S47" s="3173"/>
      <c r="T47" s="3173">
        <f>G47</f>
        <v>0</v>
      </c>
      <c r="U47" s="3173"/>
      <c r="V47" s="3173">
        <f>I47</f>
        <v>0</v>
      </c>
      <c r="W47" s="3173"/>
      <c r="X47" s="759"/>
      <c r="Y47" s="781"/>
      <c r="Z47" s="759"/>
      <c r="AA47" s="759"/>
      <c r="AB47" s="759"/>
      <c r="AC47" s="759"/>
    </row>
    <row r="48" spans="1:29" ht="15.75" thickBot="1">
      <c r="A48" s="486" t="s">
        <v>2666</v>
      </c>
      <c r="B48" s="487"/>
      <c r="C48" s="1412" t="e">
        <f>R49</f>
        <v>#DIV/0!</v>
      </c>
      <c r="D48" s="1413"/>
      <c r="E48" s="1414" t="e">
        <f>R48</f>
        <v>#DIV/0!</v>
      </c>
      <c r="F48" s="1414"/>
      <c r="G48" s="1412" t="e">
        <f>T48</f>
        <v>#DIV/0!</v>
      </c>
      <c r="H48" s="1413"/>
      <c r="I48" s="1414" t="e">
        <f>V48</f>
        <v>#DIV/0!</v>
      </c>
      <c r="J48" s="1413"/>
      <c r="K48" s="784"/>
      <c r="L48" s="1143"/>
      <c r="M48" s="1144"/>
      <c r="N48" s="1131"/>
      <c r="O48" s="1144"/>
      <c r="P48" s="3160" t="str">
        <f>A48</f>
        <v>比较价值（元/平方米）</v>
      </c>
      <c r="Q48" s="3160"/>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2667</v>
      </c>
      <c r="B49" s="493"/>
      <c r="C49" s="1416" t="e">
        <f>R49</f>
        <v>#DIV/0!</v>
      </c>
      <c r="D49" s="1416"/>
      <c r="E49" s="1416"/>
      <c r="F49" s="1416"/>
      <c r="G49" s="1416"/>
      <c r="H49" s="1416"/>
      <c r="I49" s="1416"/>
      <c r="J49" s="1416"/>
      <c r="K49" s="785"/>
      <c r="L49" s="1143"/>
      <c r="M49" s="1144"/>
      <c r="N49" s="1131"/>
      <c r="O49" s="1144"/>
      <c r="P49" s="3180" t="str">
        <f>A49</f>
        <v>估价对象XX用房的比较价值（楼面单价，元/平方米）</v>
      </c>
      <c r="Q49" s="3181"/>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2545</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2585</v>
      </c>
      <c r="B63" s="528" t="s">
        <v>2551</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2677</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2560</v>
      </c>
      <c r="B100" s="528" t="s">
        <v>2678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2611</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2613</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2679</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2680</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2681</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2617</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估价对象为房地产，为所有。根据《国有土地使用证》[]，估价对象（分摊）出让国有建设用地使用权面积为0平方米，建筑面积为1526.7平方米。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估价对象为房地产,属开发建设的，该项目尚在开发建设中。根据《国有土地使用证》[]，估价对象（分摊）出让国有建设用地使用权面积为0平方米，规划建筑面积为1526.7平方米。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70" t="s">
        <v>2683</v>
      </c>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1526.7</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227" t="s">
        <v>2648</v>
      </c>
      <c r="Q4" s="3228"/>
      <c r="R4" s="3222" t="s">
        <v>2644</v>
      </c>
      <c r="S4" s="3223"/>
      <c r="T4" s="3222" t="s">
        <v>2645</v>
      </c>
      <c r="U4" s="3223"/>
      <c r="V4" s="3231" t="s">
        <v>2646</v>
      </c>
      <c r="W4" s="3231"/>
      <c r="X4" s="2671"/>
      <c r="Y4" s="3222" t="s">
        <v>2648</v>
      </c>
      <c r="Z4" s="3223"/>
      <c r="AA4" s="3221" t="s">
        <v>2644</v>
      </c>
      <c r="AB4" s="3221" t="s">
        <v>2645</v>
      </c>
      <c r="AC4" s="3224" t="s">
        <v>2646</v>
      </c>
    </row>
    <row r="5" spans="1:29" ht="15">
      <c r="A5" s="404"/>
      <c r="B5" s="405"/>
      <c r="C5" s="3154" t="s">
        <v>2539</v>
      </c>
      <c r="D5" s="3155"/>
      <c r="E5" s="3152" t="s">
        <v>2540</v>
      </c>
      <c r="F5" s="3153"/>
      <c r="G5" s="3154" t="s">
        <v>2541</v>
      </c>
      <c r="H5" s="3155"/>
      <c r="I5" s="3154" t="s">
        <v>2542</v>
      </c>
      <c r="J5" s="3155"/>
      <c r="K5" s="610"/>
      <c r="L5" s="1130"/>
      <c r="M5" s="1131"/>
      <c r="N5" s="1131"/>
      <c r="O5" s="1131"/>
      <c r="P5" s="3229"/>
      <c r="Q5" s="3168"/>
      <c r="R5" s="3150"/>
      <c r="S5" s="3151"/>
      <c r="T5" s="3150"/>
      <c r="U5" s="3151"/>
      <c r="V5" s="3173"/>
      <c r="W5" s="3173"/>
      <c r="X5" s="1812"/>
      <c r="Y5" s="3150"/>
      <c r="Z5" s="3151"/>
      <c r="AA5" s="3144"/>
      <c r="AB5" s="3144"/>
      <c r="AC5" s="3225"/>
    </row>
    <row r="6" spans="1:29" ht="15.75" thickBot="1">
      <c r="A6" s="406"/>
      <c r="B6" s="407"/>
      <c r="C6" s="3156" t="s">
        <v>2543</v>
      </c>
      <c r="D6" s="3157"/>
      <c r="E6" s="3158" t="s">
        <v>2543</v>
      </c>
      <c r="F6" s="3159"/>
      <c r="G6" s="3156" t="s">
        <v>2543</v>
      </c>
      <c r="H6" s="3157"/>
      <c r="I6" s="3156" t="s">
        <v>2543</v>
      </c>
      <c r="J6" s="3157"/>
      <c r="K6" s="610" t="s">
        <v>2544</v>
      </c>
      <c r="L6" s="1130"/>
      <c r="M6" s="1131"/>
      <c r="N6" s="1131"/>
      <c r="O6" s="1131"/>
      <c r="P6" s="3230"/>
      <c r="Q6" s="3170"/>
      <c r="R6" s="3150"/>
      <c r="S6" s="3151"/>
      <c r="T6" s="3171"/>
      <c r="U6" s="3172"/>
      <c r="V6" s="3173"/>
      <c r="W6" s="3173"/>
      <c r="X6" s="1812"/>
      <c r="Y6" s="3171"/>
      <c r="Z6" s="3172"/>
      <c r="AA6" s="3145"/>
      <c r="AB6" s="3145"/>
      <c r="AC6" s="3226"/>
    </row>
    <row r="7" spans="1:29" s="117" customFormat="1" ht="15.75" thickBot="1">
      <c r="A7" s="408" t="s">
        <v>2545</v>
      </c>
      <c r="B7" s="409"/>
      <c r="C7" s="410">
        <f>'数据-取费表'!B2</f>
        <v>43770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2546</v>
      </c>
      <c r="Q7" s="3174"/>
      <c r="R7" s="770" t="s">
        <v>17</v>
      </c>
      <c r="S7" s="771">
        <f t="shared" ref="S7:S15" si="0">F7</f>
        <v>0</v>
      </c>
      <c r="T7" s="770" t="s">
        <v>17</v>
      </c>
      <c r="U7" s="771">
        <f t="shared" ref="U7:U15" si="1">H7</f>
        <v>0</v>
      </c>
      <c r="V7" s="770" t="s">
        <v>17</v>
      </c>
      <c r="W7" s="771">
        <f t="shared" ref="W7:W15" si="2">J7</f>
        <v>0</v>
      </c>
      <c r="X7" s="772"/>
      <c r="Y7" s="3146" t="s">
        <v>2546</v>
      </c>
      <c r="Z7" s="3147"/>
      <c r="AA7" s="773" t="e">
        <f>D7/F7</f>
        <v>#DIV/0!</v>
      </c>
      <c r="AB7" s="773"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2549</v>
      </c>
      <c r="Q8" s="3147"/>
      <c r="R8" s="770" t="s">
        <v>17</v>
      </c>
      <c r="S8" s="771">
        <f t="shared" si="0"/>
        <v>0</v>
      </c>
      <c r="T8" s="770" t="s">
        <v>17</v>
      </c>
      <c r="U8" s="771">
        <f t="shared" si="1"/>
        <v>0</v>
      </c>
      <c r="V8" s="770" t="s">
        <v>17</v>
      </c>
      <c r="W8" s="771">
        <f t="shared" si="2"/>
        <v>0</v>
      </c>
      <c r="X8" s="772"/>
      <c r="Y8" s="3146" t="s">
        <v>2549</v>
      </c>
      <c r="Z8" s="3147"/>
      <c r="AA8" s="773" t="e">
        <f t="shared" ref="AA8:AA47" si="3">D8/F8</f>
        <v>#DIV/0!</v>
      </c>
      <c r="AB8" s="773"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4"/>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4"/>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4"/>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2557</v>
      </c>
      <c r="Q15" s="1809" t="str">
        <f t="shared" si="6"/>
        <v>办公集聚程度</v>
      </c>
      <c r="R15" s="774" t="s">
        <v>17</v>
      </c>
      <c r="S15" s="775">
        <f t="shared" si="0"/>
        <v>100</v>
      </c>
      <c r="T15" s="774" t="s">
        <v>17</v>
      </c>
      <c r="U15" s="775">
        <f t="shared" si="1"/>
        <v>100</v>
      </c>
      <c r="V15" s="774" t="s">
        <v>17</v>
      </c>
      <c r="W15" s="775">
        <f t="shared" si="2"/>
        <v>100</v>
      </c>
      <c r="X15" s="1812"/>
      <c r="Y15" s="3175" t="s">
        <v>2557</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40"/>
      <c r="M16" s="1131"/>
      <c r="N16" s="1131"/>
      <c r="O16" s="1131"/>
      <c r="P16" s="3220"/>
      <c r="Q16" s="1809"/>
      <c r="R16" s="774"/>
      <c r="S16" s="775"/>
      <c r="T16" s="774"/>
      <c r="U16" s="775"/>
      <c r="V16" s="774"/>
      <c r="W16" s="775"/>
      <c r="X16" s="1812"/>
      <c r="Y16" s="3176"/>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0"/>
      <c r="Q18" s="1809"/>
      <c r="R18" s="774"/>
      <c r="S18" s="775"/>
      <c r="T18" s="774"/>
      <c r="U18" s="775"/>
      <c r="V18" s="774"/>
      <c r="W18" s="775"/>
      <c r="X18" s="1812"/>
      <c r="Y18" s="3176"/>
      <c r="Z18" s="1813"/>
      <c r="AA18" s="1810">
        <v>1</v>
      </c>
      <c r="AB18" s="1810">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0"/>
      <c r="Q20" s="1809"/>
      <c r="R20" s="774"/>
      <c r="S20" s="775"/>
      <c r="T20" s="774"/>
      <c r="U20" s="775"/>
      <c r="V20" s="774"/>
      <c r="W20" s="775"/>
      <c r="X20" s="1812"/>
      <c r="Y20" s="3176"/>
      <c r="Z20" s="1813"/>
      <c r="AA20" s="1810">
        <v>1</v>
      </c>
      <c r="AB20" s="1810">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2"/>
      <c r="L22" s="1140"/>
      <c r="M22" s="1131"/>
      <c r="N22" s="1131"/>
      <c r="O22" s="1131"/>
      <c r="P22" s="3220"/>
      <c r="Q22" s="1809"/>
      <c r="R22" s="774"/>
      <c r="S22" s="775"/>
      <c r="T22" s="774"/>
      <c r="U22" s="775"/>
      <c r="V22" s="774"/>
      <c r="W22" s="775"/>
      <c r="X22" s="1812"/>
      <c r="Y22" s="3176"/>
      <c r="Z22" s="1813"/>
      <c r="AA22" s="1810">
        <v>1</v>
      </c>
      <c r="AB22" s="1810">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09" t="str">
        <f>B23</f>
        <v>环境质量</v>
      </c>
      <c r="R23" s="774" t="s">
        <v>17</v>
      </c>
      <c r="S23" s="775">
        <f>F23</f>
        <v>100</v>
      </c>
      <c r="T23" s="774" t="s">
        <v>17</v>
      </c>
      <c r="U23" s="775">
        <f>H23</f>
        <v>100</v>
      </c>
      <c r="V23" s="774" t="s">
        <v>17</v>
      </c>
      <c r="W23" s="775">
        <f>J23</f>
        <v>100</v>
      </c>
      <c r="X23" s="1812"/>
      <c r="Y23" s="3176"/>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0"/>
      <c r="Q24" s="1809"/>
      <c r="R24" s="774"/>
      <c r="S24" s="775"/>
      <c r="T24" s="774"/>
      <c r="U24" s="775"/>
      <c r="V24" s="774"/>
      <c r="W24" s="775"/>
      <c r="X24" s="1812"/>
      <c r="Y24" s="3176"/>
      <c r="Z24" s="1813"/>
      <c r="AA24" s="1810">
        <v>1</v>
      </c>
      <c r="AB24" s="1810">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0"/>
      <c r="Q25" s="1809" t="str">
        <f>B25</f>
        <v>毗邻道路的类型与等级</v>
      </c>
      <c r="R25" s="774" t="s">
        <v>17</v>
      </c>
      <c r="S25" s="775">
        <f>F25</f>
        <v>100</v>
      </c>
      <c r="T25" s="774" t="s">
        <v>17</v>
      </c>
      <c r="U25" s="775">
        <f>H25</f>
        <v>100</v>
      </c>
      <c r="V25" s="774" t="s">
        <v>17</v>
      </c>
      <c r="W25" s="775">
        <f>J25</f>
        <v>100</v>
      </c>
      <c r="X25" s="1812"/>
      <c r="Y25" s="3176"/>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40"/>
      <c r="M26" s="1131"/>
      <c r="N26" s="1131"/>
      <c r="O26" s="1131"/>
      <c r="P26" s="3220"/>
      <c r="Q26" s="1809"/>
      <c r="R26" s="774"/>
      <c r="S26" s="775"/>
      <c r="T26" s="774"/>
      <c r="U26" s="775"/>
      <c r="V26" s="774"/>
      <c r="W26" s="775"/>
      <c r="X26" s="1812"/>
      <c r="Y26" s="3176"/>
      <c r="Z26" s="1813"/>
      <c r="AA26" s="1810">
        <v>1</v>
      </c>
      <c r="AB26" s="1810">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09" t="str">
        <f t="shared" ref="Q27:Q47" si="11">B27</f>
        <v>楼层</v>
      </c>
      <c r="R27" s="774" t="s">
        <v>17</v>
      </c>
      <c r="S27" s="775">
        <f>F27</f>
        <v>100</v>
      </c>
      <c r="T27" s="774" t="s">
        <v>17</v>
      </c>
      <c r="U27" s="775">
        <f>H27</f>
        <v>100</v>
      </c>
      <c r="V27" s="774" t="s">
        <v>17</v>
      </c>
      <c r="W27" s="775">
        <f>J27</f>
        <v>100</v>
      </c>
      <c r="X27" s="1812"/>
      <c r="Y27" s="3176"/>
      <c r="Z27" s="1813" t="str">
        <f>Q27</f>
        <v>楼层</v>
      </c>
      <c r="AA27" s="1810">
        <f t="shared" si="3"/>
        <v>1</v>
      </c>
      <c r="AB27" s="1810">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0"/>
      <c r="Q28" s="1794" t="str">
        <f t="shared" si="11"/>
        <v>朝向</v>
      </c>
      <c r="R28" s="770" t="s">
        <v>17</v>
      </c>
      <c r="S28" s="771">
        <f>F28</f>
        <v>100</v>
      </c>
      <c r="T28" s="770" t="s">
        <v>17</v>
      </c>
      <c r="U28" s="771">
        <f>H28</f>
        <v>100</v>
      </c>
      <c r="V28" s="770" t="s">
        <v>17</v>
      </c>
      <c r="W28" s="771">
        <f>J28</f>
        <v>100</v>
      </c>
      <c r="X28" s="772"/>
      <c r="Y28" s="3176"/>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0"/>
      <c r="Q29" s="1809">
        <f t="shared" si="11"/>
        <v>111</v>
      </c>
      <c r="R29" s="774" t="s">
        <v>17</v>
      </c>
      <c r="S29" s="775">
        <f t="shared" ref="S29:S47" si="12">F29</f>
        <v>100</v>
      </c>
      <c r="T29" s="774" t="s">
        <v>17</v>
      </c>
      <c r="U29" s="775">
        <f t="shared" ref="U29:U47" si="13">H29</f>
        <v>100</v>
      </c>
      <c r="V29" s="774" t="s">
        <v>17</v>
      </c>
      <c r="W29" s="775">
        <f t="shared" ref="W29:W47" si="14">J29</f>
        <v>100</v>
      </c>
      <c r="X29" s="1812"/>
      <c r="Y29" s="3176"/>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0"/>
      <c r="Q30" s="1809">
        <f t="shared" si="11"/>
        <v>111</v>
      </c>
      <c r="R30" s="774" t="s">
        <v>17</v>
      </c>
      <c r="S30" s="775">
        <f t="shared" si="12"/>
        <v>100</v>
      </c>
      <c r="T30" s="774" t="s">
        <v>17</v>
      </c>
      <c r="U30" s="775">
        <f t="shared" si="13"/>
        <v>100</v>
      </c>
      <c r="V30" s="774" t="s">
        <v>17</v>
      </c>
      <c r="W30" s="775">
        <f t="shared" si="14"/>
        <v>100</v>
      </c>
      <c r="X30" s="1812"/>
      <c r="Y30" s="3176"/>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0"/>
      <c r="Q31" s="1809">
        <f t="shared" si="11"/>
        <v>111</v>
      </c>
      <c r="R31" s="774" t="s">
        <v>17</v>
      </c>
      <c r="S31" s="775">
        <f t="shared" si="12"/>
        <v>100</v>
      </c>
      <c r="T31" s="774" t="s">
        <v>17</v>
      </c>
      <c r="U31" s="775">
        <f t="shared" si="13"/>
        <v>100</v>
      </c>
      <c r="V31" s="774" t="s">
        <v>17</v>
      </c>
      <c r="W31" s="775">
        <f t="shared" si="14"/>
        <v>100</v>
      </c>
      <c r="X31" s="1812"/>
      <c r="Y31" s="3176"/>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0"/>
      <c r="Q32" s="1809">
        <f t="shared" si="11"/>
        <v>111</v>
      </c>
      <c r="R32" s="774" t="s">
        <v>17</v>
      </c>
      <c r="S32" s="775">
        <f t="shared" si="12"/>
        <v>100</v>
      </c>
      <c r="T32" s="774" t="s">
        <v>17</v>
      </c>
      <c r="U32" s="775">
        <f t="shared" si="13"/>
        <v>100</v>
      </c>
      <c r="V32" s="774" t="s">
        <v>17</v>
      </c>
      <c r="W32" s="775">
        <f t="shared" si="14"/>
        <v>100</v>
      </c>
      <c r="X32" s="1812"/>
      <c r="Y32" s="3176"/>
      <c r="Z32" s="1813">
        <f t="shared" si="15"/>
        <v>111</v>
      </c>
      <c r="AA32" s="1810">
        <f t="shared" si="3"/>
        <v>1</v>
      </c>
      <c r="AB32" s="1810">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15" t="s">
        <v>2562</v>
      </c>
      <c r="Q33" s="1809" t="str">
        <f t="shared" si="11"/>
        <v>建筑类型</v>
      </c>
      <c r="R33" s="774" t="s">
        <v>17</v>
      </c>
      <c r="S33" s="775">
        <f t="shared" si="12"/>
        <v>100</v>
      </c>
      <c r="T33" s="774" t="s">
        <v>17</v>
      </c>
      <c r="U33" s="775">
        <f t="shared" si="13"/>
        <v>100</v>
      </c>
      <c r="V33" s="774" t="s">
        <v>17</v>
      </c>
      <c r="W33" s="775">
        <f t="shared" si="14"/>
        <v>100</v>
      </c>
      <c r="X33" s="1812"/>
      <c r="Y33" s="3178" t="s">
        <v>2562</v>
      </c>
      <c r="Z33" s="1813" t="str">
        <f t="shared" si="15"/>
        <v>建筑类型</v>
      </c>
      <c r="AA33" s="1810">
        <f t="shared" si="3"/>
        <v>1</v>
      </c>
      <c r="AB33" s="1810">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0" t="e">
        <f t="shared" si="3"/>
        <v>#N/A</v>
      </c>
      <c r="AB34" s="1810"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809" t="str">
        <f t="shared" si="11"/>
        <v>建筑结构</v>
      </c>
      <c r="R35" s="774" t="s">
        <v>17</v>
      </c>
      <c r="S35" s="775">
        <f t="shared" si="12"/>
        <v>100</v>
      </c>
      <c r="T35" s="774" t="s">
        <v>17</v>
      </c>
      <c r="U35" s="775">
        <f t="shared" si="13"/>
        <v>100</v>
      </c>
      <c r="V35" s="774" t="s">
        <v>17</v>
      </c>
      <c r="W35" s="775">
        <f t="shared" si="14"/>
        <v>100</v>
      </c>
      <c r="X35" s="1812"/>
      <c r="Y35" s="3178"/>
      <c r="Z35" s="1813" t="str">
        <f t="shared" si="15"/>
        <v>建筑结构</v>
      </c>
      <c r="AA35" s="1810">
        <f t="shared" si="3"/>
        <v>1</v>
      </c>
      <c r="AB35" s="1810">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809" t="str">
        <f t="shared" si="11"/>
        <v>公共部分装修</v>
      </c>
      <c r="R36" s="774" t="s">
        <v>17</v>
      </c>
      <c r="S36" s="775">
        <f t="shared" si="12"/>
        <v>100</v>
      </c>
      <c r="T36" s="774" t="s">
        <v>17</v>
      </c>
      <c r="U36" s="775">
        <f t="shared" si="13"/>
        <v>100</v>
      </c>
      <c r="V36" s="774" t="s">
        <v>17</v>
      </c>
      <c r="W36" s="775">
        <f t="shared" si="14"/>
        <v>100</v>
      </c>
      <c r="X36" s="1812"/>
      <c r="Y36" s="3178"/>
      <c r="Z36" s="1813" t="str">
        <f t="shared" si="15"/>
        <v>公共部分装修</v>
      </c>
      <c r="AA36" s="1810">
        <f t="shared" si="3"/>
        <v>1</v>
      </c>
      <c r="AB36" s="1810">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809" t="str">
        <f t="shared" si="11"/>
        <v>成新度</v>
      </c>
      <c r="R37" s="774" t="s">
        <v>17</v>
      </c>
      <c r="S37" s="775" t="e">
        <f t="shared" si="12"/>
        <v>#N/A</v>
      </c>
      <c r="T37" s="774" t="s">
        <v>17</v>
      </c>
      <c r="U37" s="775" t="e">
        <f t="shared" si="13"/>
        <v>#N/A</v>
      </c>
      <c r="V37" s="774" t="s">
        <v>17</v>
      </c>
      <c r="W37" s="775" t="e">
        <f t="shared" si="14"/>
        <v>#N/A</v>
      </c>
      <c r="X37" s="1812"/>
      <c r="Y37" s="3178"/>
      <c r="Z37" s="1813" t="str">
        <f t="shared" si="15"/>
        <v>成新度</v>
      </c>
      <c r="AA37" s="1810" t="e">
        <f t="shared" si="3"/>
        <v>#N/A</v>
      </c>
      <c r="AB37" s="1810"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794"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2562</v>
      </c>
      <c r="Q39" s="1809" t="str">
        <f t="shared" si="11"/>
        <v>物业管理</v>
      </c>
      <c r="R39" s="774" t="s">
        <v>17</v>
      </c>
      <c r="S39" s="775">
        <f t="shared" si="12"/>
        <v>100</v>
      </c>
      <c r="T39" s="774" t="s">
        <v>17</v>
      </c>
      <c r="U39" s="775">
        <f t="shared" si="13"/>
        <v>100</v>
      </c>
      <c r="V39" s="774" t="s">
        <v>17</v>
      </c>
      <c r="W39" s="775">
        <f t="shared" si="14"/>
        <v>100</v>
      </c>
      <c r="X39" s="1812"/>
      <c r="Y39" s="3178" t="s">
        <v>2562</v>
      </c>
      <c r="Z39" s="1813" t="str">
        <f t="shared" si="15"/>
        <v>物业管理</v>
      </c>
      <c r="AA39" s="1810">
        <f t="shared" si="3"/>
        <v>1</v>
      </c>
      <c r="AB39" s="1810">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809" t="str">
        <f t="shared" si="11"/>
        <v>市政基础设施</v>
      </c>
      <c r="R40" s="774" t="s">
        <v>17</v>
      </c>
      <c r="S40" s="775">
        <f t="shared" si="12"/>
        <v>100</v>
      </c>
      <c r="T40" s="774" t="s">
        <v>17</v>
      </c>
      <c r="U40" s="775">
        <f t="shared" si="13"/>
        <v>100</v>
      </c>
      <c r="V40" s="774" t="s">
        <v>17</v>
      </c>
      <c r="W40" s="775">
        <f t="shared" si="14"/>
        <v>100</v>
      </c>
      <c r="X40" s="1812"/>
      <c r="Y40" s="3178"/>
      <c r="Z40" s="1813" t="str">
        <f t="shared" si="15"/>
        <v>市政基础设施</v>
      </c>
      <c r="AA40" s="1810">
        <f t="shared" si="3"/>
        <v>1</v>
      </c>
      <c r="AB40" s="1810">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809" t="str">
        <f t="shared" si="11"/>
        <v>层高</v>
      </c>
      <c r="R41" s="774" t="s">
        <v>17</v>
      </c>
      <c r="S41" s="775">
        <f t="shared" si="12"/>
        <v>100</v>
      </c>
      <c r="T41" s="774" t="s">
        <v>17</v>
      </c>
      <c r="U41" s="775">
        <f t="shared" si="13"/>
        <v>100</v>
      </c>
      <c r="V41" s="774" t="s">
        <v>17</v>
      </c>
      <c r="W41" s="775">
        <f t="shared" si="14"/>
        <v>100</v>
      </c>
      <c r="X41" s="1812"/>
      <c r="Y41" s="3178"/>
      <c r="Z41" s="1813" t="str">
        <f t="shared" si="15"/>
        <v>层高</v>
      </c>
      <c r="AA41" s="1810">
        <f t="shared" si="3"/>
        <v>1</v>
      </c>
      <c r="AB41" s="1810">
        <f t="shared" si="4"/>
        <v>1</v>
      </c>
      <c r="AC41" s="2675">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0">
        <f t="shared" si="3"/>
        <v>1</v>
      </c>
      <c r="AB42" s="1810">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809" t="str">
        <f t="shared" si="11"/>
        <v>内部装修</v>
      </c>
      <c r="R43" s="774" t="s">
        <v>17</v>
      </c>
      <c r="S43" s="775">
        <f t="shared" si="12"/>
        <v>100</v>
      </c>
      <c r="T43" s="774" t="s">
        <v>17</v>
      </c>
      <c r="U43" s="775">
        <f t="shared" si="13"/>
        <v>100</v>
      </c>
      <c r="V43" s="774" t="s">
        <v>17</v>
      </c>
      <c r="W43" s="775">
        <f t="shared" si="14"/>
        <v>100</v>
      </c>
      <c r="X43" s="1812"/>
      <c r="Y43" s="3178"/>
      <c r="Z43" s="1813" t="str">
        <f t="shared" si="15"/>
        <v>内部装修</v>
      </c>
      <c r="AA43" s="1810">
        <f t="shared" si="3"/>
        <v>1</v>
      </c>
      <c r="AB43" s="1810">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16"/>
      <c r="Q44" s="1809" t="str">
        <f t="shared" si="11"/>
        <v>内部装修维护情况</v>
      </c>
      <c r="R44" s="774" t="s">
        <v>17</v>
      </c>
      <c r="S44" s="775">
        <f t="shared" si="12"/>
        <v>100</v>
      </c>
      <c r="T44" s="774" t="s">
        <v>17</v>
      </c>
      <c r="U44" s="775">
        <f t="shared" si="13"/>
        <v>100</v>
      </c>
      <c r="V44" s="774" t="s">
        <v>17</v>
      </c>
      <c r="W44" s="775">
        <f t="shared" si="14"/>
        <v>100</v>
      </c>
      <c r="X44" s="1812"/>
      <c r="Y44" s="3178"/>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794">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809">
        <f t="shared" si="11"/>
        <v>111</v>
      </c>
      <c r="R46" s="774" t="s">
        <v>17</v>
      </c>
      <c r="S46" s="775">
        <f t="shared" si="12"/>
        <v>100</v>
      </c>
      <c r="T46" s="774" t="s">
        <v>17</v>
      </c>
      <c r="U46" s="775">
        <f t="shared" si="13"/>
        <v>100</v>
      </c>
      <c r="V46" s="774" t="s">
        <v>17</v>
      </c>
      <c r="W46" s="775">
        <f t="shared" si="14"/>
        <v>100</v>
      </c>
      <c r="X46" s="1812"/>
      <c r="Y46" s="3178"/>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809">
        <f t="shared" si="11"/>
        <v>111</v>
      </c>
      <c r="R47" s="774" t="s">
        <v>17</v>
      </c>
      <c r="S47" s="775">
        <f t="shared" si="12"/>
        <v>100</v>
      </c>
      <c r="T47" s="774" t="s">
        <v>17</v>
      </c>
      <c r="U47" s="775">
        <f t="shared" si="13"/>
        <v>100</v>
      </c>
      <c r="V47" s="774" t="s">
        <v>17</v>
      </c>
      <c r="W47" s="775">
        <f t="shared" si="14"/>
        <v>100</v>
      </c>
      <c r="X47" s="1812"/>
      <c r="Y47" s="3218"/>
      <c r="Z47" s="1813">
        <f t="shared" si="15"/>
        <v>111</v>
      </c>
      <c r="AA47" s="1810">
        <f t="shared" si="3"/>
        <v>1</v>
      </c>
      <c r="AB47" s="1810">
        <f t="shared" si="4"/>
        <v>1</v>
      </c>
      <c r="AC47" s="2675">
        <f t="shared" si="5"/>
        <v>1</v>
      </c>
    </row>
    <row r="48" spans="1:29" ht="15">
      <c r="A48" s="479" t="s">
        <v>2574</v>
      </c>
      <c r="B48" s="480"/>
      <c r="C48" s="1406" t="s">
        <v>1</v>
      </c>
      <c r="D48" s="1407"/>
      <c r="E48" s="1408"/>
      <c r="F48" s="1409"/>
      <c r="G48" s="1410"/>
      <c r="H48" s="1411"/>
      <c r="I48" s="1408"/>
      <c r="J48" s="485"/>
      <c r="K48" s="783"/>
      <c r="L48" s="1143"/>
      <c r="M48" s="1131"/>
      <c r="N48" s="1131"/>
      <c r="O48" s="1131"/>
      <c r="P48" s="3184" t="str">
        <f>A48</f>
        <v>成交单价（元/平方米）</v>
      </c>
      <c r="Q48" s="3160"/>
      <c r="R48" s="3214">
        <f>E48</f>
        <v>0</v>
      </c>
      <c r="S48" s="3214"/>
      <c r="T48" s="3214">
        <f>G48</f>
        <v>0</v>
      </c>
      <c r="U48" s="3214"/>
      <c r="V48" s="3214">
        <f>I48</f>
        <v>0</v>
      </c>
      <c r="W48" s="3214"/>
      <c r="X48" s="446"/>
      <c r="Y48" s="781"/>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4"/>
      <c r="L49" s="1143"/>
      <c r="M49" s="1131"/>
      <c r="N49" s="1131"/>
      <c r="O49" s="1131"/>
      <c r="P49" s="3184" t="str">
        <f>A49</f>
        <v>比较价值（元/平方米）</v>
      </c>
      <c r="Q49" s="3160"/>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2"/>
      <c r="Q58" s="504"/>
    </row>
    <row r="59" spans="1:29" s="508" customFormat="1" ht="15">
      <c r="A59" s="505" t="s">
        <v>2545</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2585</v>
      </c>
      <c r="B64" s="528" t="s">
        <v>2551</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2696</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2560</v>
      </c>
      <c r="B101" s="528" t="s">
        <v>2609</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2611</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2613</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2614</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2615</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2698</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2617</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70" t="s">
        <v>2699</v>
      </c>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7"/>
      <c r="D2" s="112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2641</v>
      </c>
      <c r="D3" s="399">
        <f>IF(D1="",'数据-汇总表'!E3,SUMIF('数据-汇总表'!$C19:$C33,D1,'数据-汇总表'!$E19:$E33))</f>
        <v>1526.7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44" t="s">
        <v>2645</v>
      </c>
      <c r="AC4" s="3143" t="s">
        <v>2646</v>
      </c>
    </row>
    <row r="5" spans="1:29"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44"/>
      <c r="AC5" s="3144"/>
    </row>
    <row r="6" spans="1:29" ht="15.75" thickBot="1">
      <c r="A6" s="406"/>
      <c r="B6" s="407"/>
      <c r="C6" s="3156" t="s">
        <v>2543</v>
      </c>
      <c r="D6" s="3157"/>
      <c r="E6" s="3158" t="s">
        <v>2543</v>
      </c>
      <c r="F6" s="3159"/>
      <c r="G6" s="3156" t="s">
        <v>2543</v>
      </c>
      <c r="H6" s="3157"/>
      <c r="I6" s="3156" t="s">
        <v>2543</v>
      </c>
      <c r="J6" s="3157"/>
      <c r="K6" s="610" t="s">
        <v>2544</v>
      </c>
      <c r="L6" s="1130"/>
      <c r="M6" s="1131"/>
      <c r="N6" s="1131"/>
      <c r="O6" s="1131"/>
      <c r="P6" s="3169"/>
      <c r="Q6" s="3170"/>
      <c r="R6" s="3150"/>
      <c r="S6" s="3151"/>
      <c r="T6" s="3171"/>
      <c r="U6" s="3172"/>
      <c r="V6" s="3173"/>
      <c r="W6" s="3173"/>
      <c r="X6" s="1812"/>
      <c r="Y6" s="3171"/>
      <c r="Z6" s="3172"/>
      <c r="AA6" s="3145"/>
      <c r="AB6" s="3145"/>
      <c r="AC6" s="3145"/>
    </row>
    <row r="7" spans="1:29" s="117" customFormat="1" ht="15.75" thickBot="1">
      <c r="A7" s="408" t="s">
        <v>2545</v>
      </c>
      <c r="B7" s="409"/>
      <c r="C7" s="410">
        <f>'数据-取费表'!B2</f>
        <v>43770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6" t="s">
        <v>2546</v>
      </c>
      <c r="Q7" s="3174"/>
      <c r="R7" s="770" t="s">
        <v>17</v>
      </c>
      <c r="S7" s="771">
        <f t="shared" ref="S7:S15" si="0">F7</f>
        <v>0</v>
      </c>
      <c r="T7" s="770" t="s">
        <v>17</v>
      </c>
      <c r="U7" s="771">
        <f t="shared" ref="U7:U15" si="1">H7</f>
        <v>0</v>
      </c>
      <c r="V7" s="770" t="s">
        <v>17</v>
      </c>
      <c r="W7" s="771">
        <f t="shared" ref="W7:W15" si="2">J7</f>
        <v>0</v>
      </c>
      <c r="X7" s="772"/>
      <c r="Y7" s="3146" t="s">
        <v>2546</v>
      </c>
      <c r="Z7" s="314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6" t="s">
        <v>2549</v>
      </c>
      <c r="Q8" s="3147"/>
      <c r="R8" s="770" t="s">
        <v>17</v>
      </c>
      <c r="S8" s="771">
        <f t="shared" si="0"/>
        <v>0</v>
      </c>
      <c r="T8" s="770" t="s">
        <v>17</v>
      </c>
      <c r="U8" s="771">
        <f t="shared" si="1"/>
        <v>0</v>
      </c>
      <c r="V8" s="770" t="s">
        <v>17</v>
      </c>
      <c r="W8" s="771">
        <f t="shared" si="2"/>
        <v>0</v>
      </c>
      <c r="X8" s="772"/>
      <c r="Y8" s="3146" t="s">
        <v>2549</v>
      </c>
      <c r="Z8" s="314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0"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0"/>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2556</v>
      </c>
      <c r="B15" s="69" t="s">
        <v>2700</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5" t="s">
        <v>2557</v>
      </c>
      <c r="Q15" s="1809" t="str">
        <f t="shared" si="6"/>
        <v>产业集聚程度</v>
      </c>
      <c r="R15" s="774" t="s">
        <v>17</v>
      </c>
      <c r="S15" s="775">
        <f t="shared" si="0"/>
        <v>100</v>
      </c>
      <c r="T15" s="774" t="s">
        <v>17</v>
      </c>
      <c r="U15" s="775">
        <f t="shared" si="1"/>
        <v>100</v>
      </c>
      <c r="V15" s="774" t="s">
        <v>17</v>
      </c>
      <c r="W15" s="775">
        <f t="shared" si="2"/>
        <v>100</v>
      </c>
      <c r="X15" s="1812"/>
      <c r="Y15" s="3175"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6"/>
      <c r="Q16" s="1809"/>
      <c r="R16" s="774"/>
      <c r="S16" s="775"/>
      <c r="T16" s="774"/>
      <c r="U16" s="775"/>
      <c r="V16" s="774"/>
      <c r="W16" s="775"/>
      <c r="X16" s="1812"/>
      <c r="Y16" s="3176"/>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6"/>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176"/>
      <c r="Q18" s="1809"/>
      <c r="R18" s="774"/>
      <c r="S18" s="775"/>
      <c r="T18" s="774"/>
      <c r="U18" s="775"/>
      <c r="V18" s="774"/>
      <c r="W18" s="775"/>
      <c r="X18" s="1812"/>
      <c r="Y18" s="3176"/>
      <c r="Z18" s="1813"/>
      <c r="AA18" s="1810">
        <v>1</v>
      </c>
      <c r="AB18" s="1810">
        <v>1</v>
      </c>
      <c r="AC18" s="1810">
        <v>1</v>
      </c>
    </row>
    <row r="19" spans="1:29" ht="42.75">
      <c r="A19" s="428"/>
      <c r="B19" s="451" t="s">
        <v>2685</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6"/>
      <c r="Q19" s="1809" t="str">
        <f>B19</f>
        <v>公共配套设施</v>
      </c>
      <c r="R19" s="774" t="s">
        <v>17</v>
      </c>
      <c r="S19" s="775">
        <f>F19</f>
        <v>100</v>
      </c>
      <c r="T19" s="774" t="s">
        <v>17</v>
      </c>
      <c r="U19" s="775">
        <f>H19</f>
        <v>100</v>
      </c>
      <c r="V19" s="774" t="s">
        <v>17</v>
      </c>
      <c r="W19" s="775">
        <f>J19</f>
        <v>100</v>
      </c>
      <c r="X19" s="1812"/>
      <c r="Y19" s="317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176"/>
      <c r="Q20" s="1809"/>
      <c r="R20" s="774"/>
      <c r="S20" s="775"/>
      <c r="T20" s="774"/>
      <c r="U20" s="775"/>
      <c r="V20" s="774"/>
      <c r="W20" s="775"/>
      <c r="X20" s="1812"/>
      <c r="Y20" s="3176"/>
      <c r="Z20" s="1813"/>
      <c r="AA20" s="1810">
        <v>1</v>
      </c>
      <c r="AB20" s="1810">
        <v>1</v>
      </c>
      <c r="AC20" s="1810">
        <v>1</v>
      </c>
    </row>
    <row r="21" spans="1:29" ht="28.5">
      <c r="A21" s="428"/>
      <c r="B21" s="1383" t="s">
        <v>2686</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6"/>
      <c r="Q21" s="1809" t="str">
        <f>B21</f>
        <v>基础设施水平</v>
      </c>
      <c r="R21" s="774" t="s">
        <v>17</v>
      </c>
      <c r="S21" s="775">
        <f>F21</f>
        <v>100</v>
      </c>
      <c r="T21" s="774" t="s">
        <v>17</v>
      </c>
      <c r="U21" s="775">
        <f>H21</f>
        <v>100</v>
      </c>
      <c r="V21" s="774" t="s">
        <v>17</v>
      </c>
      <c r="W21" s="775">
        <f>J21</f>
        <v>100</v>
      </c>
      <c r="X21" s="1812"/>
      <c r="Y21" s="317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176"/>
      <c r="Q22" s="1809"/>
      <c r="R22" s="774"/>
      <c r="S22" s="775"/>
      <c r="T22" s="774"/>
      <c r="U22" s="775"/>
      <c r="V22" s="774"/>
      <c r="W22" s="775"/>
      <c r="X22" s="1812"/>
      <c r="Y22" s="3176"/>
      <c r="Z22" s="1813"/>
      <c r="AA22" s="1810">
        <v>1</v>
      </c>
      <c r="AB22" s="1810">
        <v>1</v>
      </c>
      <c r="AC22" s="1810">
        <v>1</v>
      </c>
    </row>
    <row r="23" spans="1:29" ht="71.25">
      <c r="A23" s="428"/>
      <c r="B23" s="451" t="s">
        <v>2687</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6"/>
      <c r="Q23" s="1809" t="str">
        <f>B23</f>
        <v>环境质量</v>
      </c>
      <c r="R23" s="774" t="s">
        <v>17</v>
      </c>
      <c r="S23" s="775">
        <f>F23</f>
        <v>100</v>
      </c>
      <c r="T23" s="774" t="s">
        <v>17</v>
      </c>
      <c r="U23" s="775">
        <f>H23</f>
        <v>100</v>
      </c>
      <c r="V23" s="774" t="s">
        <v>17</v>
      </c>
      <c r="W23" s="775">
        <f>J23</f>
        <v>100</v>
      </c>
      <c r="X23" s="1812"/>
      <c r="Y23" s="3176"/>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176"/>
      <c r="Q24" s="1809"/>
      <c r="R24" s="774"/>
      <c r="S24" s="775"/>
      <c r="T24" s="774"/>
      <c r="U24" s="775"/>
      <c r="V24" s="774"/>
      <c r="W24" s="775"/>
      <c r="X24" s="1812"/>
      <c r="Y24" s="317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6"/>
      <c r="Q25" s="1809">
        <f>B25</f>
        <v>111</v>
      </c>
      <c r="R25" s="774" t="s">
        <v>17</v>
      </c>
      <c r="S25" s="775">
        <f>F25</f>
        <v>100</v>
      </c>
      <c r="T25" s="774" t="s">
        <v>17</v>
      </c>
      <c r="U25" s="775">
        <f>H25</f>
        <v>100</v>
      </c>
      <c r="V25" s="774" t="s">
        <v>17</v>
      </c>
      <c r="W25" s="775">
        <f>J25</f>
        <v>100</v>
      </c>
      <c r="X25" s="1812"/>
      <c r="Y25" s="317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6"/>
      <c r="Q26" s="1809">
        <f t="shared" ref="Q26:Q40" si="11">B26</f>
        <v>111</v>
      </c>
      <c r="R26" s="774" t="s">
        <v>17</v>
      </c>
      <c r="S26" s="775">
        <f>F26</f>
        <v>100</v>
      </c>
      <c r="T26" s="774" t="s">
        <v>17</v>
      </c>
      <c r="U26" s="775">
        <f>H26</f>
        <v>100</v>
      </c>
      <c r="V26" s="774" t="s">
        <v>17</v>
      </c>
      <c r="W26" s="775">
        <f>J26</f>
        <v>100</v>
      </c>
      <c r="X26" s="1812"/>
      <c r="Y26" s="317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6"/>
      <c r="Q27" s="1794">
        <f t="shared" si="11"/>
        <v>111</v>
      </c>
      <c r="R27" s="770" t="s">
        <v>17</v>
      </c>
      <c r="S27" s="771">
        <f>F27</f>
        <v>100</v>
      </c>
      <c r="T27" s="770" t="s">
        <v>17</v>
      </c>
      <c r="U27" s="771">
        <f>H27</f>
        <v>100</v>
      </c>
      <c r="V27" s="770" t="s">
        <v>17</v>
      </c>
      <c r="W27" s="771">
        <f>J27</f>
        <v>100</v>
      </c>
      <c r="X27" s="772"/>
      <c r="Y27" s="317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6"/>
      <c r="Q28" s="1809">
        <f t="shared" si="11"/>
        <v>111</v>
      </c>
      <c r="R28" s="774" t="s">
        <v>17</v>
      </c>
      <c r="S28" s="775">
        <f t="shared" ref="S28:S40" si="12">F28</f>
        <v>100</v>
      </c>
      <c r="T28" s="774" t="s">
        <v>17</v>
      </c>
      <c r="U28" s="775">
        <f t="shared" ref="U28:U40" si="13">H28</f>
        <v>100</v>
      </c>
      <c r="V28" s="774" t="s">
        <v>17</v>
      </c>
      <c r="W28" s="775">
        <f t="shared" ref="W28:W40" si="14">J28</f>
        <v>100</v>
      </c>
      <c r="X28" s="1812"/>
      <c r="Y28" s="3176"/>
      <c r="Z28" s="1813">
        <f t="shared" ref="Z28:Z40" si="15">Q28</f>
        <v>111</v>
      </c>
      <c r="AA28" s="1810">
        <f t="shared" si="3"/>
        <v>1</v>
      </c>
      <c r="AB28" s="1810">
        <f t="shared" si="4"/>
        <v>1</v>
      </c>
      <c r="AC28" s="1810">
        <f t="shared" si="5"/>
        <v>1</v>
      </c>
    </row>
    <row r="29" spans="1:29" ht="28.5">
      <c r="A29" s="466" t="s">
        <v>2560</v>
      </c>
      <c r="B29" s="71" t="s">
        <v>2690</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177" t="s">
        <v>2562</v>
      </c>
      <c r="Q29" s="1809" t="str">
        <f t="shared" si="11"/>
        <v>建筑类型</v>
      </c>
      <c r="R29" s="774" t="s">
        <v>17</v>
      </c>
      <c r="S29" s="775">
        <f t="shared" si="12"/>
        <v>100</v>
      </c>
      <c r="T29" s="774" t="s">
        <v>17</v>
      </c>
      <c r="U29" s="775">
        <f t="shared" si="13"/>
        <v>100</v>
      </c>
      <c r="V29" s="774" t="s">
        <v>17</v>
      </c>
      <c r="W29" s="775">
        <f t="shared" si="14"/>
        <v>100</v>
      </c>
      <c r="X29" s="1812"/>
      <c r="Y29" s="3178"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09" t="str">
        <f t="shared" si="11"/>
        <v>建筑结构</v>
      </c>
      <c r="R31" s="774" t="s">
        <v>17</v>
      </c>
      <c r="S31" s="775">
        <f t="shared" si="12"/>
        <v>100</v>
      </c>
      <c r="T31" s="774" t="s">
        <v>17</v>
      </c>
      <c r="U31" s="775">
        <f t="shared" si="13"/>
        <v>100</v>
      </c>
      <c r="V31" s="774" t="s">
        <v>17</v>
      </c>
      <c r="W31" s="775">
        <f t="shared" si="14"/>
        <v>100</v>
      </c>
      <c r="X31" s="1812"/>
      <c r="Y31" s="3178"/>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09" t="str">
        <f t="shared" si="11"/>
        <v>公共部分装修</v>
      </c>
      <c r="R32" s="774" t="s">
        <v>17</v>
      </c>
      <c r="S32" s="775">
        <f t="shared" si="12"/>
        <v>100</v>
      </c>
      <c r="T32" s="774" t="s">
        <v>17</v>
      </c>
      <c r="U32" s="775">
        <f t="shared" si="13"/>
        <v>100</v>
      </c>
      <c r="V32" s="774" t="s">
        <v>17</v>
      </c>
      <c r="W32" s="775">
        <f t="shared" si="14"/>
        <v>100</v>
      </c>
      <c r="X32" s="1812"/>
      <c r="Y32" s="3178"/>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09" t="str">
        <f t="shared" si="11"/>
        <v>成新度</v>
      </c>
      <c r="R33" s="774" t="s">
        <v>17</v>
      </c>
      <c r="S33" s="775" t="e">
        <f t="shared" si="12"/>
        <v>#N/A</v>
      </c>
      <c r="T33" s="774" t="s">
        <v>17</v>
      </c>
      <c r="U33" s="775" t="e">
        <f t="shared" si="13"/>
        <v>#N/A</v>
      </c>
      <c r="V33" s="774" t="s">
        <v>17</v>
      </c>
      <c r="W33" s="775" t="e">
        <f t="shared" si="14"/>
        <v>#N/A</v>
      </c>
      <c r="X33" s="1812"/>
      <c r="Y33" s="3178"/>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4"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2562</v>
      </c>
      <c r="Q35" s="1809" t="str">
        <f t="shared" si="11"/>
        <v>市政基础设施</v>
      </c>
      <c r="R35" s="774" t="s">
        <v>17</v>
      </c>
      <c r="S35" s="775">
        <f t="shared" si="12"/>
        <v>100</v>
      </c>
      <c r="T35" s="774" t="s">
        <v>17</v>
      </c>
      <c r="U35" s="775">
        <f t="shared" si="13"/>
        <v>100</v>
      </c>
      <c r="V35" s="774" t="s">
        <v>17</v>
      </c>
      <c r="W35" s="775">
        <f t="shared" si="14"/>
        <v>100</v>
      </c>
      <c r="X35" s="1812"/>
      <c r="Y35" s="3178"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09" t="str">
        <f t="shared" si="11"/>
        <v>内部装修</v>
      </c>
      <c r="R36" s="774" t="s">
        <v>17</v>
      </c>
      <c r="S36" s="775">
        <f t="shared" si="12"/>
        <v>100</v>
      </c>
      <c r="T36" s="774" t="s">
        <v>17</v>
      </c>
      <c r="U36" s="775">
        <f t="shared" si="13"/>
        <v>100</v>
      </c>
      <c r="V36" s="774" t="s">
        <v>17</v>
      </c>
      <c r="W36" s="775">
        <f t="shared" si="14"/>
        <v>100</v>
      </c>
      <c r="X36" s="1812"/>
      <c r="Y36" s="3178"/>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09" t="str">
        <f t="shared" si="11"/>
        <v>内部装修状况</v>
      </c>
      <c r="R37" s="774" t="s">
        <v>17</v>
      </c>
      <c r="S37" s="775">
        <f t="shared" si="12"/>
        <v>100</v>
      </c>
      <c r="T37" s="774" t="s">
        <v>17</v>
      </c>
      <c r="U37" s="775">
        <f t="shared" si="13"/>
        <v>100</v>
      </c>
      <c r="V37" s="774" t="s">
        <v>17</v>
      </c>
      <c r="W37" s="775">
        <f t="shared" si="14"/>
        <v>100</v>
      </c>
      <c r="X37" s="1812"/>
      <c r="Y37" s="317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09">
        <f t="shared" si="11"/>
        <v>111</v>
      </c>
      <c r="R39" s="774" t="s">
        <v>17</v>
      </c>
      <c r="S39" s="775">
        <f t="shared" si="12"/>
        <v>100</v>
      </c>
      <c r="T39" s="774" t="s">
        <v>17</v>
      </c>
      <c r="U39" s="775">
        <f t="shared" si="13"/>
        <v>100</v>
      </c>
      <c r="V39" s="774" t="s">
        <v>17</v>
      </c>
      <c r="W39" s="775">
        <f t="shared" si="14"/>
        <v>100</v>
      </c>
      <c r="X39" s="1812"/>
      <c r="Y39" s="3178"/>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09">
        <f t="shared" si="11"/>
        <v>111</v>
      </c>
      <c r="R40" s="774" t="s">
        <v>17</v>
      </c>
      <c r="S40" s="775">
        <f t="shared" si="12"/>
        <v>100</v>
      </c>
      <c r="T40" s="774" t="s">
        <v>17</v>
      </c>
      <c r="U40" s="775">
        <f t="shared" si="13"/>
        <v>100</v>
      </c>
      <c r="V40" s="774" t="s">
        <v>17</v>
      </c>
      <c r="W40" s="775">
        <f t="shared" si="14"/>
        <v>100</v>
      </c>
      <c r="X40" s="1812"/>
      <c r="Y40" s="3218"/>
      <c r="Z40" s="1813">
        <f t="shared" si="15"/>
        <v>111</v>
      </c>
      <c r="AA40" s="1810">
        <f t="shared" si="3"/>
        <v>1</v>
      </c>
      <c r="AB40" s="1810">
        <f t="shared" si="4"/>
        <v>1</v>
      </c>
      <c r="AC40" s="1810">
        <f t="shared" si="5"/>
        <v>1</v>
      </c>
    </row>
    <row r="41" spans="1:29" ht="15">
      <c r="A41" s="479" t="s">
        <v>2574</v>
      </c>
      <c r="B41" s="480"/>
      <c r="C41" s="1406" t="s">
        <v>1</v>
      </c>
      <c r="D41" s="1407"/>
      <c r="E41" s="1408"/>
      <c r="F41" s="1409"/>
      <c r="G41" s="1410"/>
      <c r="H41" s="1411"/>
      <c r="I41" s="1408"/>
      <c r="J41" s="1411"/>
      <c r="K41" s="783"/>
      <c r="L41" s="1143"/>
      <c r="M41" s="1144"/>
      <c r="N41" s="1131"/>
      <c r="O41" s="1144"/>
      <c r="P41" s="3160" t="str">
        <f>A41</f>
        <v>成交单价（元/平方米）</v>
      </c>
      <c r="Q41" s="3160"/>
      <c r="R41" s="3214">
        <f>E41</f>
        <v>0</v>
      </c>
      <c r="S41" s="3214"/>
      <c r="T41" s="3214">
        <f>G41</f>
        <v>0</v>
      </c>
      <c r="U41" s="3214"/>
      <c r="V41" s="3214">
        <f>I41</f>
        <v>0</v>
      </c>
      <c r="W41" s="3214"/>
      <c r="X41" s="759"/>
      <c r="Y41" s="781"/>
      <c r="Z41" s="759"/>
      <c r="AA41" s="759"/>
      <c r="AB41" s="759"/>
      <c r="AC41" s="759"/>
    </row>
    <row r="42" spans="1:29" ht="15.75" thickBot="1">
      <c r="A42" s="486" t="s">
        <v>2666</v>
      </c>
      <c r="B42" s="487"/>
      <c r="C42" s="1412" t="e">
        <f>R43</f>
        <v>#DIV/0!</v>
      </c>
      <c r="D42" s="1413"/>
      <c r="E42" s="1414" t="e">
        <f>R42</f>
        <v>#DIV/0!</v>
      </c>
      <c r="F42" s="1414"/>
      <c r="G42" s="1412" t="e">
        <f>T42</f>
        <v>#DIV/0!</v>
      </c>
      <c r="H42" s="1413"/>
      <c r="I42" s="1414" t="e">
        <f>V42</f>
        <v>#DIV/0!</v>
      </c>
      <c r="J42" s="1413"/>
      <c r="K42" s="784"/>
      <c r="L42" s="1143"/>
      <c r="M42" s="1144"/>
      <c r="N42" s="1131"/>
      <c r="O42" s="1144"/>
      <c r="P42" s="3160" t="str">
        <f>A42</f>
        <v>比较价值（元/平方米）</v>
      </c>
      <c r="Q42" s="3160"/>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9"/>
      <c r="Y42" s="759"/>
      <c r="Z42" s="759"/>
      <c r="AA42" s="759"/>
      <c r="AB42" s="759"/>
      <c r="AC42" s="759"/>
    </row>
    <row r="43" spans="1:29" ht="15.75" thickBot="1">
      <c r="A43" s="492" t="s">
        <v>2667</v>
      </c>
      <c r="B43" s="493"/>
      <c r="C43" s="1416" t="e">
        <f>R43</f>
        <v>#DIV/0!</v>
      </c>
      <c r="D43" s="1416"/>
      <c r="E43" s="1416"/>
      <c r="F43" s="1416"/>
      <c r="G43" s="1416"/>
      <c r="H43" s="1416"/>
      <c r="I43" s="1416"/>
      <c r="J43" s="1416"/>
      <c r="K43" s="785"/>
      <c r="L43" s="1143"/>
      <c r="M43" s="1144"/>
      <c r="N43" s="1144"/>
      <c r="O43" s="1144"/>
      <c r="P43" s="3180" t="str">
        <f>A43</f>
        <v>估价对象XX用房的比较价值（楼面单价，元/平方米）</v>
      </c>
      <c r="Q43" s="3181"/>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5"/>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44" t="s">
        <v>2645</v>
      </c>
      <c r="AC4" s="3143" t="s">
        <v>2646</v>
      </c>
    </row>
    <row r="5" spans="1:29"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44"/>
      <c r="AC5" s="3144"/>
    </row>
    <row r="6" spans="1:29" ht="15.75" thickBot="1">
      <c r="A6" s="406"/>
      <c r="B6" s="407"/>
      <c r="C6" s="3156" t="s">
        <v>2543</v>
      </c>
      <c r="D6" s="3157"/>
      <c r="E6" s="3158" t="s">
        <v>2543</v>
      </c>
      <c r="F6" s="3159"/>
      <c r="G6" s="3156" t="s">
        <v>2543</v>
      </c>
      <c r="H6" s="3157"/>
      <c r="I6" s="3156" t="s">
        <v>2543</v>
      </c>
      <c r="J6" s="3157"/>
      <c r="K6" s="610" t="s">
        <v>2544</v>
      </c>
      <c r="L6" s="1130"/>
      <c r="M6" s="1131"/>
      <c r="N6" s="1131"/>
      <c r="O6" s="1131"/>
      <c r="P6" s="3169"/>
      <c r="Q6" s="3170"/>
      <c r="R6" s="3150"/>
      <c r="S6" s="3151"/>
      <c r="T6" s="3171"/>
      <c r="U6" s="3172"/>
      <c r="V6" s="3173"/>
      <c r="W6" s="3173"/>
      <c r="X6" s="1812"/>
      <c r="Y6" s="3171"/>
      <c r="Z6" s="3172"/>
      <c r="AA6" s="3145"/>
      <c r="AB6" s="3145"/>
      <c r="AC6" s="3145"/>
    </row>
    <row r="7" spans="1:29" s="117" customFormat="1" ht="15.75" thickBot="1">
      <c r="A7" s="408" t="s">
        <v>2545</v>
      </c>
      <c r="B7" s="409"/>
      <c r="C7" s="410">
        <f>'数据-取费表'!B2</f>
        <v>43770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6" t="s">
        <v>2546</v>
      </c>
      <c r="Q7" s="3174"/>
      <c r="R7" s="770" t="s">
        <v>17</v>
      </c>
      <c r="S7" s="771">
        <f t="shared" ref="S7:S14" si="0">F7</f>
        <v>0</v>
      </c>
      <c r="T7" s="770" t="s">
        <v>17</v>
      </c>
      <c r="U7" s="771">
        <f t="shared" ref="U7:U14" si="1">H7</f>
        <v>0</v>
      </c>
      <c r="V7" s="770" t="s">
        <v>17</v>
      </c>
      <c r="W7" s="771">
        <f t="shared" ref="W7:W14" si="2">J7</f>
        <v>0</v>
      </c>
      <c r="X7" s="772"/>
      <c r="Y7" s="3146" t="s">
        <v>2546</v>
      </c>
      <c r="Z7" s="314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6" t="s">
        <v>2549</v>
      </c>
      <c r="Q8" s="3147"/>
      <c r="R8" s="770" t="s">
        <v>17</v>
      </c>
      <c r="S8" s="771">
        <f t="shared" si="0"/>
        <v>0</v>
      </c>
      <c r="T8" s="770" t="s">
        <v>17</v>
      </c>
      <c r="U8" s="771">
        <f t="shared" si="1"/>
        <v>0</v>
      </c>
      <c r="V8" s="770" t="s">
        <v>17</v>
      </c>
      <c r="W8" s="771">
        <f t="shared" si="2"/>
        <v>0</v>
      </c>
      <c r="X8" s="772"/>
      <c r="Y8" s="3146" t="s">
        <v>2549</v>
      </c>
      <c r="Z8" s="314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0" t="s">
        <v>2552</v>
      </c>
      <c r="Q9" s="1794"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0"/>
      <c r="Q11" s="1794">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5" t="s">
        <v>2557</v>
      </c>
      <c r="Q14" s="1809" t="str">
        <f t="shared" si="6"/>
        <v>交通便捷度</v>
      </c>
      <c r="R14" s="774" t="s">
        <v>17</v>
      </c>
      <c r="S14" s="775">
        <f t="shared" si="0"/>
        <v>100</v>
      </c>
      <c r="T14" s="774" t="s">
        <v>17</v>
      </c>
      <c r="U14" s="775">
        <f t="shared" si="1"/>
        <v>100</v>
      </c>
      <c r="V14" s="774" t="s">
        <v>17</v>
      </c>
      <c r="W14" s="775">
        <f t="shared" si="2"/>
        <v>100</v>
      </c>
      <c r="X14" s="1812"/>
      <c r="Y14" s="3175"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6"/>
      <c r="Q15" s="1809"/>
      <c r="R15" s="774"/>
      <c r="S15" s="775"/>
      <c r="T15" s="774"/>
      <c r="U15" s="775"/>
      <c r="V15" s="774"/>
      <c r="W15" s="775"/>
      <c r="X15" s="1812"/>
      <c r="Y15" s="3176"/>
      <c r="Z15" s="1813"/>
      <c r="AA15" s="1810">
        <v>1</v>
      </c>
      <c r="AB15" s="1810">
        <v>1</v>
      </c>
      <c r="AC15" s="1810">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6"/>
      <c r="Q16" s="1809" t="str">
        <f>B16</f>
        <v>公共配套设施</v>
      </c>
      <c r="R16" s="774" t="s">
        <v>17</v>
      </c>
      <c r="S16" s="775">
        <f>F16</f>
        <v>100</v>
      </c>
      <c r="T16" s="774" t="s">
        <v>17</v>
      </c>
      <c r="U16" s="775">
        <f>H16</f>
        <v>100</v>
      </c>
      <c r="V16" s="774" t="s">
        <v>17</v>
      </c>
      <c r="W16" s="775">
        <f>J16</f>
        <v>100</v>
      </c>
      <c r="X16" s="1812"/>
      <c r="Y16" s="3176"/>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176"/>
      <c r="Q17" s="1809"/>
      <c r="R17" s="774"/>
      <c r="S17" s="775"/>
      <c r="T17" s="774"/>
      <c r="U17" s="775"/>
      <c r="V17" s="774"/>
      <c r="W17" s="775"/>
      <c r="X17" s="1812"/>
      <c r="Y17" s="3176"/>
      <c r="Z17" s="1813"/>
      <c r="AA17" s="1810">
        <v>1</v>
      </c>
      <c r="AB17" s="1810">
        <v>1</v>
      </c>
      <c r="AC17" s="1810">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6"/>
      <c r="Q18" s="1809" t="str">
        <f>B18</f>
        <v>基础设施水平</v>
      </c>
      <c r="R18" s="774" t="s">
        <v>17</v>
      </c>
      <c r="S18" s="775">
        <f>F18</f>
        <v>100</v>
      </c>
      <c r="T18" s="774" t="s">
        <v>17</v>
      </c>
      <c r="U18" s="775">
        <f>H18</f>
        <v>100</v>
      </c>
      <c r="V18" s="774" t="s">
        <v>17</v>
      </c>
      <c r="W18" s="775">
        <f>J18</f>
        <v>100</v>
      </c>
      <c r="X18" s="1812"/>
      <c r="Y18" s="3176"/>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176"/>
      <c r="Q19" s="1809"/>
      <c r="R19" s="774"/>
      <c r="S19" s="775"/>
      <c r="T19" s="774"/>
      <c r="U19" s="775"/>
      <c r="V19" s="774"/>
      <c r="W19" s="775"/>
      <c r="X19" s="1812"/>
      <c r="Y19" s="3176"/>
      <c r="Z19" s="1813"/>
      <c r="AA19" s="1810">
        <v>1</v>
      </c>
      <c r="AB19" s="1810">
        <v>1</v>
      </c>
      <c r="AC19" s="1810">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6"/>
      <c r="Q20" s="1809" t="str">
        <f>B20</f>
        <v>自然及人文环境</v>
      </c>
      <c r="R20" s="774" t="s">
        <v>17</v>
      </c>
      <c r="S20" s="775">
        <f>F20</f>
        <v>100</v>
      </c>
      <c r="T20" s="774" t="s">
        <v>17</v>
      </c>
      <c r="U20" s="775">
        <f>H20</f>
        <v>100</v>
      </c>
      <c r="V20" s="774" t="s">
        <v>17</v>
      </c>
      <c r="W20" s="775">
        <f>J20</f>
        <v>100</v>
      </c>
      <c r="X20" s="1812"/>
      <c r="Y20" s="317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6"/>
      <c r="Q21" s="1809"/>
      <c r="R21" s="774"/>
      <c r="S21" s="775"/>
      <c r="T21" s="774"/>
      <c r="U21" s="775"/>
      <c r="V21" s="774"/>
      <c r="W21" s="775"/>
      <c r="X21" s="1812"/>
      <c r="Y21" s="3176"/>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6"/>
      <c r="Q22" s="1809" t="str">
        <f>B22</f>
        <v>楼层</v>
      </c>
      <c r="R22" s="774" t="s">
        <v>17</v>
      </c>
      <c r="S22" s="775">
        <f>F22</f>
        <v>100</v>
      </c>
      <c r="T22" s="774" t="s">
        <v>17</v>
      </c>
      <c r="U22" s="775">
        <f>H22</f>
        <v>100</v>
      </c>
      <c r="V22" s="774" t="s">
        <v>17</v>
      </c>
      <c r="W22" s="775">
        <f>J22</f>
        <v>100</v>
      </c>
      <c r="X22" s="1812"/>
      <c r="Y22" s="317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6"/>
      <c r="Q23" s="1809">
        <f>B23</f>
        <v>111</v>
      </c>
      <c r="R23" s="774" t="s">
        <v>17</v>
      </c>
      <c r="S23" s="775">
        <f>F23</f>
        <v>100</v>
      </c>
      <c r="T23" s="774" t="s">
        <v>17</v>
      </c>
      <c r="U23" s="775">
        <f>H23</f>
        <v>100</v>
      </c>
      <c r="V23" s="774" t="s">
        <v>17</v>
      </c>
      <c r="W23" s="775">
        <f>J23</f>
        <v>100</v>
      </c>
      <c r="X23" s="1812"/>
      <c r="Y23" s="317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6"/>
      <c r="Q24" s="1809">
        <f t="shared" ref="Q24:Q36" si="11">B24</f>
        <v>111</v>
      </c>
      <c r="R24" s="774" t="s">
        <v>17</v>
      </c>
      <c r="S24" s="775">
        <f>F24</f>
        <v>100</v>
      </c>
      <c r="T24" s="774" t="s">
        <v>17</v>
      </c>
      <c r="U24" s="775">
        <f>H24</f>
        <v>100</v>
      </c>
      <c r="V24" s="774" t="s">
        <v>17</v>
      </c>
      <c r="W24" s="775">
        <f>J24</f>
        <v>100</v>
      </c>
      <c r="X24" s="1812"/>
      <c r="Y24" s="317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6"/>
      <c r="Q25" s="1794">
        <f t="shared" si="11"/>
        <v>111</v>
      </c>
      <c r="R25" s="770" t="s">
        <v>17</v>
      </c>
      <c r="S25" s="771">
        <f>F25</f>
        <v>100</v>
      </c>
      <c r="T25" s="770" t="s">
        <v>17</v>
      </c>
      <c r="U25" s="771">
        <f>H25</f>
        <v>100</v>
      </c>
      <c r="V25" s="770" t="s">
        <v>17</v>
      </c>
      <c r="W25" s="771">
        <f>J25</f>
        <v>100</v>
      </c>
      <c r="X25" s="772"/>
      <c r="Y25" s="3176"/>
      <c r="Z25" s="55">
        <f>Q25</f>
        <v>111</v>
      </c>
      <c r="AA25" s="1810">
        <f>D25/F25</f>
        <v>1</v>
      </c>
      <c r="AB25" s="1810">
        <f>D25/H25</f>
        <v>1</v>
      </c>
      <c r="AC25" s="1810">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7"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8"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09" t="str">
        <f t="shared" si="11"/>
        <v>公共部分装修</v>
      </c>
      <c r="R28" s="774" t="s">
        <v>17</v>
      </c>
      <c r="S28" s="775">
        <f t="shared" si="12"/>
        <v>100</v>
      </c>
      <c r="T28" s="774" t="s">
        <v>17</v>
      </c>
      <c r="U28" s="775">
        <f t="shared" si="13"/>
        <v>100</v>
      </c>
      <c r="V28" s="774" t="s">
        <v>17</v>
      </c>
      <c r="W28" s="775">
        <f t="shared" si="14"/>
        <v>100</v>
      </c>
      <c r="X28" s="1812"/>
      <c r="Y28" s="3178"/>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09" t="str">
        <f t="shared" si="11"/>
        <v>成新率</v>
      </c>
      <c r="R29" s="774" t="s">
        <v>17</v>
      </c>
      <c r="S29" s="775" t="e">
        <f t="shared" si="12"/>
        <v>#N/A</v>
      </c>
      <c r="T29" s="774" t="s">
        <v>17</v>
      </c>
      <c r="U29" s="775" t="e">
        <f t="shared" si="13"/>
        <v>#N/A</v>
      </c>
      <c r="V29" s="774" t="s">
        <v>17</v>
      </c>
      <c r="W29" s="775" t="e">
        <f t="shared" si="14"/>
        <v>#N/A</v>
      </c>
      <c r="X29" s="1812"/>
      <c r="Y29" s="3178"/>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09" t="str">
        <f t="shared" si="11"/>
        <v>物业等级</v>
      </c>
      <c r="R30" s="774" t="s">
        <v>17</v>
      </c>
      <c r="S30" s="775">
        <f t="shared" si="12"/>
        <v>100</v>
      </c>
      <c r="T30" s="774" t="s">
        <v>17</v>
      </c>
      <c r="U30" s="775">
        <f t="shared" si="13"/>
        <v>100</v>
      </c>
      <c r="V30" s="774" t="s">
        <v>17</v>
      </c>
      <c r="W30" s="775">
        <f t="shared" si="14"/>
        <v>100</v>
      </c>
      <c r="X30" s="1812"/>
      <c r="Y30" s="3178"/>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4"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2562</v>
      </c>
      <c r="Q32" s="1809" t="str">
        <f t="shared" si="11"/>
        <v>车位类型</v>
      </c>
      <c r="R32" s="774" t="s">
        <v>17</v>
      </c>
      <c r="S32" s="775">
        <f t="shared" si="12"/>
        <v>100</v>
      </c>
      <c r="T32" s="774" t="s">
        <v>17</v>
      </c>
      <c r="U32" s="775">
        <f t="shared" si="13"/>
        <v>100</v>
      </c>
      <c r="V32" s="774" t="s">
        <v>17</v>
      </c>
      <c r="W32" s="775">
        <f t="shared" si="14"/>
        <v>100</v>
      </c>
      <c r="X32" s="1812"/>
      <c r="Y32" s="3178"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09" t="str">
        <f t="shared" si="11"/>
        <v>是否直接入户</v>
      </c>
      <c r="R33" s="774" t="s">
        <v>17</v>
      </c>
      <c r="S33" s="775">
        <f t="shared" si="12"/>
        <v>100</v>
      </c>
      <c r="T33" s="774" t="s">
        <v>17</v>
      </c>
      <c r="U33" s="775">
        <f t="shared" si="13"/>
        <v>100</v>
      </c>
      <c r="V33" s="774" t="s">
        <v>17</v>
      </c>
      <c r="W33" s="775">
        <f t="shared" si="14"/>
        <v>100</v>
      </c>
      <c r="X33" s="1812"/>
      <c r="Y33" s="317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09">
        <f t="shared" si="11"/>
        <v>111</v>
      </c>
      <c r="R34" s="774" t="s">
        <v>17</v>
      </c>
      <c r="S34" s="775">
        <f t="shared" si="12"/>
        <v>100</v>
      </c>
      <c r="T34" s="774" t="s">
        <v>17</v>
      </c>
      <c r="U34" s="775">
        <f t="shared" si="13"/>
        <v>100</v>
      </c>
      <c r="V34" s="774" t="s">
        <v>17</v>
      </c>
      <c r="W34" s="775">
        <f t="shared" si="14"/>
        <v>100</v>
      </c>
      <c r="X34" s="1812"/>
      <c r="Y34" s="317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09">
        <f t="shared" si="11"/>
        <v>111</v>
      </c>
      <c r="R36" s="774" t="s">
        <v>17</v>
      </c>
      <c r="S36" s="775">
        <f t="shared" si="12"/>
        <v>100</v>
      </c>
      <c r="T36" s="774" t="s">
        <v>17</v>
      </c>
      <c r="U36" s="775">
        <f t="shared" si="13"/>
        <v>100</v>
      </c>
      <c r="V36" s="774" t="s">
        <v>17</v>
      </c>
      <c r="W36" s="775">
        <f t="shared" si="14"/>
        <v>100</v>
      </c>
      <c r="X36" s="1812"/>
      <c r="Y36" s="3178"/>
      <c r="Z36" s="1813">
        <f t="shared" si="15"/>
        <v>111</v>
      </c>
      <c r="AA36" s="1810">
        <f t="shared" si="3"/>
        <v>1</v>
      </c>
      <c r="AB36" s="1810">
        <f t="shared" si="4"/>
        <v>1</v>
      </c>
      <c r="AC36" s="1810">
        <f t="shared" si="5"/>
        <v>1</v>
      </c>
    </row>
    <row r="37" spans="1:29" ht="15">
      <c r="A37" s="479" t="s">
        <v>2717</v>
      </c>
      <c r="B37" s="2696" t="s">
        <v>2718</v>
      </c>
      <c r="C37" s="1406" t="s">
        <v>1</v>
      </c>
      <c r="D37" s="1407"/>
      <c r="E37" s="1408"/>
      <c r="F37" s="1409"/>
      <c r="G37" s="1410"/>
      <c r="H37" s="1411"/>
      <c r="I37" s="1408"/>
      <c r="J37" s="1411"/>
      <c r="K37" s="619"/>
      <c r="L37" s="1143"/>
      <c r="M37" s="1144"/>
      <c r="N37" s="1131"/>
      <c r="O37" s="1144"/>
      <c r="P37" s="3160" t="str">
        <f>A37</f>
        <v>成交单价</v>
      </c>
      <c r="Q37" s="3160"/>
      <c r="R37" s="3214">
        <f>E37</f>
        <v>0</v>
      </c>
      <c r="S37" s="3214"/>
      <c r="T37" s="3214">
        <f>G37</f>
        <v>0</v>
      </c>
      <c r="U37" s="3214"/>
      <c r="V37" s="3214">
        <f>I37</f>
        <v>0</v>
      </c>
      <c r="W37" s="3214"/>
      <c r="X37" s="759"/>
      <c r="Y37" s="781"/>
      <c r="Z37" s="759"/>
      <c r="AA37" s="759"/>
      <c r="AB37" s="759"/>
      <c r="AC37" s="759"/>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60" t="str">
        <f>A38</f>
        <v>比较价值（元/平方米）</v>
      </c>
      <c r="Q38" s="3160"/>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2720</v>
      </c>
      <c r="B39" s="493"/>
      <c r="C39" s="1416" t="e">
        <f>R39</f>
        <v>#DIV/0!</v>
      </c>
      <c r="D39" s="1416"/>
      <c r="E39" s="1416"/>
      <c r="F39" s="1416"/>
      <c r="G39" s="1416"/>
      <c r="H39" s="1416"/>
      <c r="I39" s="1416"/>
      <c r="J39" s="1416"/>
      <c r="K39" s="621"/>
      <c r="L39" s="1143"/>
      <c r="M39" s="1144"/>
      <c r="N39" s="1144"/>
      <c r="O39" s="1144"/>
      <c r="P39" s="3180" t="str">
        <f>A39</f>
        <v>估价对象XX用房的比较价值（楼面单价，元/平方米）</v>
      </c>
      <c r="Q39" s="3181"/>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2724</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2725</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5"/>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44" t="s">
        <v>2645</v>
      </c>
      <c r="AC4" s="3143" t="s">
        <v>2646</v>
      </c>
    </row>
    <row r="5" spans="1:29"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44"/>
      <c r="AC5" s="3144"/>
    </row>
    <row r="6" spans="1:29" ht="15.75" thickBot="1">
      <c r="A6" s="406"/>
      <c r="B6" s="407"/>
      <c r="C6" s="3156" t="s">
        <v>2543</v>
      </c>
      <c r="D6" s="3157"/>
      <c r="E6" s="3158" t="s">
        <v>2543</v>
      </c>
      <c r="F6" s="3159"/>
      <c r="G6" s="3156" t="s">
        <v>2543</v>
      </c>
      <c r="H6" s="3157"/>
      <c r="I6" s="3156" t="s">
        <v>2543</v>
      </c>
      <c r="J6" s="3157"/>
      <c r="K6" s="610" t="s">
        <v>2544</v>
      </c>
      <c r="L6" s="1130"/>
      <c r="M6" s="1131"/>
      <c r="N6" s="1131"/>
      <c r="O6" s="1131"/>
      <c r="P6" s="3169"/>
      <c r="Q6" s="3170"/>
      <c r="R6" s="3150"/>
      <c r="S6" s="3151"/>
      <c r="T6" s="3171"/>
      <c r="U6" s="3172"/>
      <c r="V6" s="3173"/>
      <c r="W6" s="3173"/>
      <c r="X6" s="1812"/>
      <c r="Y6" s="3171"/>
      <c r="Z6" s="3172"/>
      <c r="AA6" s="3145"/>
      <c r="AB6" s="3145"/>
      <c r="AC6" s="3145"/>
    </row>
    <row r="7" spans="1:29" s="117" customFormat="1" ht="15.75" thickBot="1">
      <c r="A7" s="408" t="s">
        <v>2545</v>
      </c>
      <c r="B7" s="409"/>
      <c r="C7" s="410">
        <f>'数据-取费表'!B2</f>
        <v>43770</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46" t="s">
        <v>2546</v>
      </c>
      <c r="Q7" s="3174"/>
      <c r="R7" s="770" t="s">
        <v>17</v>
      </c>
      <c r="S7" s="771">
        <f t="shared" ref="S7:S14" si="0">F7</f>
        <v>0</v>
      </c>
      <c r="T7" s="770" t="s">
        <v>17</v>
      </c>
      <c r="U7" s="771">
        <f t="shared" ref="U7:U14" si="1">H7</f>
        <v>0</v>
      </c>
      <c r="V7" s="770" t="s">
        <v>17</v>
      </c>
      <c r="W7" s="771">
        <f t="shared" ref="W7:W14" si="2">J7</f>
        <v>0</v>
      </c>
      <c r="X7" s="772"/>
      <c r="Y7" s="3146" t="s">
        <v>2546</v>
      </c>
      <c r="Z7" s="314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6" t="s">
        <v>2549</v>
      </c>
      <c r="Q8" s="3147"/>
      <c r="R8" s="770" t="s">
        <v>17</v>
      </c>
      <c r="S8" s="771">
        <f t="shared" si="0"/>
        <v>0</v>
      </c>
      <c r="T8" s="770" t="s">
        <v>17</v>
      </c>
      <c r="U8" s="771">
        <f t="shared" si="1"/>
        <v>0</v>
      </c>
      <c r="V8" s="770" t="s">
        <v>17</v>
      </c>
      <c r="W8" s="771">
        <f t="shared" si="2"/>
        <v>0</v>
      </c>
      <c r="X8" s="772"/>
      <c r="Y8" s="3146" t="s">
        <v>2549</v>
      </c>
      <c r="Z8" s="314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0" t="s">
        <v>2552</v>
      </c>
      <c r="Q9" s="1794"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0"/>
      <c r="Q10" s="1794"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0"/>
      <c r="Q11" s="1794">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5" t="s">
        <v>2557</v>
      </c>
      <c r="Q14" s="1809" t="str">
        <f t="shared" si="6"/>
        <v>交通便捷度</v>
      </c>
      <c r="R14" s="774" t="s">
        <v>17</v>
      </c>
      <c r="S14" s="775">
        <f t="shared" si="0"/>
        <v>100</v>
      </c>
      <c r="T14" s="774" t="s">
        <v>17</v>
      </c>
      <c r="U14" s="775">
        <f t="shared" si="1"/>
        <v>100</v>
      </c>
      <c r="V14" s="774" t="s">
        <v>17</v>
      </c>
      <c r="W14" s="775">
        <f t="shared" si="2"/>
        <v>100</v>
      </c>
      <c r="X14" s="1812"/>
      <c r="Y14" s="3175"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6"/>
      <c r="Q15" s="1809"/>
      <c r="R15" s="774"/>
      <c r="S15" s="775"/>
      <c r="T15" s="774"/>
      <c r="U15" s="775"/>
      <c r="V15" s="774"/>
      <c r="W15" s="775"/>
      <c r="X15" s="1812"/>
      <c r="Y15" s="3176"/>
      <c r="Z15" s="1813"/>
      <c r="AA15" s="1810">
        <v>1</v>
      </c>
      <c r="AB15" s="1810">
        <v>1</v>
      </c>
      <c r="AC15" s="1810">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6"/>
      <c r="Q16" s="1809" t="str">
        <f>B16</f>
        <v>公共配套设施</v>
      </c>
      <c r="R16" s="774" t="s">
        <v>17</v>
      </c>
      <c r="S16" s="775">
        <f>F16</f>
        <v>100</v>
      </c>
      <c r="T16" s="774" t="s">
        <v>17</v>
      </c>
      <c r="U16" s="775">
        <f>H16</f>
        <v>100</v>
      </c>
      <c r="V16" s="774" t="s">
        <v>17</v>
      </c>
      <c r="W16" s="775">
        <f>J16</f>
        <v>100</v>
      </c>
      <c r="X16" s="1812"/>
      <c r="Y16" s="3176"/>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176"/>
      <c r="Q17" s="1809"/>
      <c r="R17" s="774"/>
      <c r="S17" s="775"/>
      <c r="T17" s="774"/>
      <c r="U17" s="775"/>
      <c r="V17" s="774"/>
      <c r="W17" s="775"/>
      <c r="X17" s="1812"/>
      <c r="Y17" s="3176"/>
      <c r="Z17" s="1813"/>
      <c r="AA17" s="1810">
        <v>1</v>
      </c>
      <c r="AB17" s="1810">
        <v>1</v>
      </c>
      <c r="AC17" s="1810">
        <v>1</v>
      </c>
    </row>
    <row r="18" spans="1:29" ht="28.5">
      <c r="A18" s="428"/>
      <c r="B18" s="1383"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6"/>
      <c r="Q18" s="1809" t="str">
        <f>B18</f>
        <v>基础设施水平</v>
      </c>
      <c r="R18" s="774" t="s">
        <v>17</v>
      </c>
      <c r="S18" s="775">
        <f>F18</f>
        <v>100</v>
      </c>
      <c r="T18" s="774" t="s">
        <v>17</v>
      </c>
      <c r="U18" s="775">
        <f>H18</f>
        <v>100</v>
      </c>
      <c r="V18" s="774" t="s">
        <v>17</v>
      </c>
      <c r="W18" s="775">
        <f>J18</f>
        <v>100</v>
      </c>
      <c r="X18" s="1812"/>
      <c r="Y18" s="3176"/>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176"/>
      <c r="Q19" s="1809"/>
      <c r="R19" s="774"/>
      <c r="S19" s="775"/>
      <c r="T19" s="774"/>
      <c r="U19" s="775"/>
      <c r="V19" s="774"/>
      <c r="W19" s="775"/>
      <c r="X19" s="1812"/>
      <c r="Y19" s="3176"/>
      <c r="Z19" s="1813"/>
      <c r="AA19" s="1810">
        <v>1</v>
      </c>
      <c r="AB19" s="1810">
        <v>1</v>
      </c>
      <c r="AC19" s="1810">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6"/>
      <c r="Q20" s="1809" t="str">
        <f>B20</f>
        <v>自然及人文环境</v>
      </c>
      <c r="R20" s="774" t="s">
        <v>17</v>
      </c>
      <c r="S20" s="775">
        <f>F20</f>
        <v>100</v>
      </c>
      <c r="T20" s="774" t="s">
        <v>17</v>
      </c>
      <c r="U20" s="775">
        <f>H20</f>
        <v>100</v>
      </c>
      <c r="V20" s="774" t="s">
        <v>17</v>
      </c>
      <c r="W20" s="775">
        <f>J20</f>
        <v>100</v>
      </c>
      <c r="X20" s="1812"/>
      <c r="Y20" s="317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6"/>
      <c r="Q21" s="1809"/>
      <c r="R21" s="774"/>
      <c r="S21" s="775"/>
      <c r="T21" s="774"/>
      <c r="U21" s="775"/>
      <c r="V21" s="774"/>
      <c r="W21" s="775"/>
      <c r="X21" s="1812"/>
      <c r="Y21" s="3176"/>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6"/>
      <c r="Q22" s="1809" t="str">
        <f>B22</f>
        <v>楼层</v>
      </c>
      <c r="R22" s="774" t="s">
        <v>17</v>
      </c>
      <c r="S22" s="775">
        <f>F22</f>
        <v>100</v>
      </c>
      <c r="T22" s="774" t="s">
        <v>17</v>
      </c>
      <c r="U22" s="775">
        <f>H22</f>
        <v>100</v>
      </c>
      <c r="V22" s="774" t="s">
        <v>17</v>
      </c>
      <c r="W22" s="775">
        <f>J22</f>
        <v>100</v>
      </c>
      <c r="X22" s="1812"/>
      <c r="Y22" s="3176"/>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6"/>
      <c r="Q23" s="1809">
        <f>B23</f>
        <v>111</v>
      </c>
      <c r="R23" s="774" t="s">
        <v>17</v>
      </c>
      <c r="S23" s="775">
        <f>F23</f>
        <v>100</v>
      </c>
      <c r="T23" s="774" t="s">
        <v>17</v>
      </c>
      <c r="U23" s="775">
        <f>H23</f>
        <v>100</v>
      </c>
      <c r="V23" s="774" t="s">
        <v>17</v>
      </c>
      <c r="W23" s="775">
        <f>J23</f>
        <v>100</v>
      </c>
      <c r="X23" s="1812"/>
      <c r="Y23" s="3176"/>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6"/>
      <c r="Q24" s="1809">
        <f t="shared" ref="Q24:Q34" si="11">B24</f>
        <v>111</v>
      </c>
      <c r="R24" s="774" t="s">
        <v>17</v>
      </c>
      <c r="S24" s="775">
        <f>F24</f>
        <v>100</v>
      </c>
      <c r="T24" s="774" t="s">
        <v>17</v>
      </c>
      <c r="U24" s="775">
        <f>H24</f>
        <v>100</v>
      </c>
      <c r="V24" s="774" t="s">
        <v>17</v>
      </c>
      <c r="W24" s="775">
        <f>J24</f>
        <v>100</v>
      </c>
      <c r="X24" s="1812"/>
      <c r="Y24" s="3176"/>
      <c r="Z24" s="1813">
        <f>Q24</f>
        <v>111</v>
      </c>
      <c r="AA24" s="1810">
        <f t="shared" si="3"/>
        <v>1</v>
      </c>
      <c r="AB24" s="1810">
        <f t="shared" si="4"/>
        <v>1</v>
      </c>
      <c r="AC24" s="1810">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6"/>
      <c r="Q25" s="1794">
        <f t="shared" si="11"/>
        <v>111</v>
      </c>
      <c r="R25" s="770" t="s">
        <v>17</v>
      </c>
      <c r="S25" s="771">
        <f>F25</f>
        <v>100</v>
      </c>
      <c r="T25" s="770" t="s">
        <v>17</v>
      </c>
      <c r="U25" s="771">
        <f>H25</f>
        <v>100</v>
      </c>
      <c r="V25" s="770" t="s">
        <v>17</v>
      </c>
      <c r="W25" s="771">
        <f>J25</f>
        <v>100</v>
      </c>
      <c r="X25" s="772"/>
      <c r="Y25" s="3176"/>
      <c r="Z25" s="55">
        <f>Q25</f>
        <v>111</v>
      </c>
      <c r="AA25" s="1810">
        <f>D25/F25</f>
        <v>1</v>
      </c>
      <c r="AB25" s="1810">
        <f>D25/H25</f>
        <v>1</v>
      </c>
      <c r="AC25" s="1810">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177"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8"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09" t="str">
        <f t="shared" si="11"/>
        <v>物业等级</v>
      </c>
      <c r="R28" s="774" t="s">
        <v>17</v>
      </c>
      <c r="S28" s="775">
        <f t="shared" si="12"/>
        <v>100</v>
      </c>
      <c r="T28" s="774" t="s">
        <v>17</v>
      </c>
      <c r="U28" s="775">
        <f t="shared" si="13"/>
        <v>100</v>
      </c>
      <c r="V28" s="774" t="s">
        <v>17</v>
      </c>
      <c r="W28" s="775">
        <f t="shared" si="14"/>
        <v>100</v>
      </c>
      <c r="X28" s="1812"/>
      <c r="Y28" s="3178"/>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09" t="str">
        <f t="shared" si="11"/>
        <v>有无电梯</v>
      </c>
      <c r="R29" s="774" t="s">
        <v>17</v>
      </c>
      <c r="S29" s="775">
        <f t="shared" si="12"/>
        <v>100</v>
      </c>
      <c r="T29" s="774" t="s">
        <v>17</v>
      </c>
      <c r="U29" s="775">
        <f t="shared" si="13"/>
        <v>100</v>
      </c>
      <c r="V29" s="774" t="s">
        <v>17</v>
      </c>
      <c r="W29" s="775">
        <f t="shared" si="14"/>
        <v>100</v>
      </c>
      <c r="X29" s="1812"/>
      <c r="Y29" s="3178"/>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09" t="str">
        <f t="shared" si="11"/>
        <v>建筑面积</v>
      </c>
      <c r="R30" s="774" t="s">
        <v>17</v>
      </c>
      <c r="S30" s="775" t="e">
        <f t="shared" si="12"/>
        <v>#N/A</v>
      </c>
      <c r="T30" s="774" t="s">
        <v>17</v>
      </c>
      <c r="U30" s="775" t="e">
        <f t="shared" si="13"/>
        <v>#N/A</v>
      </c>
      <c r="V30" s="774" t="s">
        <v>17</v>
      </c>
      <c r="W30" s="775" t="e">
        <f t="shared" si="14"/>
        <v>#N/A</v>
      </c>
      <c r="X30" s="1812"/>
      <c r="Y30" s="3178"/>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4"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2562</v>
      </c>
      <c r="Q32" s="1809">
        <f t="shared" si="11"/>
        <v>111</v>
      </c>
      <c r="R32" s="774" t="s">
        <v>17</v>
      </c>
      <c r="S32" s="775">
        <f t="shared" si="12"/>
        <v>100</v>
      </c>
      <c r="T32" s="774" t="s">
        <v>17</v>
      </c>
      <c r="U32" s="775">
        <f t="shared" si="13"/>
        <v>100</v>
      </c>
      <c r="V32" s="774" t="s">
        <v>17</v>
      </c>
      <c r="W32" s="775">
        <f t="shared" si="14"/>
        <v>100</v>
      </c>
      <c r="X32" s="1812"/>
      <c r="Y32" s="3178" t="s">
        <v>2562</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09">
        <f t="shared" si="11"/>
        <v>111</v>
      </c>
      <c r="R33" s="774" t="s">
        <v>17</v>
      </c>
      <c r="S33" s="775">
        <f t="shared" si="12"/>
        <v>100</v>
      </c>
      <c r="T33" s="774" t="s">
        <v>17</v>
      </c>
      <c r="U33" s="775">
        <f t="shared" si="13"/>
        <v>100</v>
      </c>
      <c r="V33" s="774" t="s">
        <v>17</v>
      </c>
      <c r="W33" s="775">
        <f t="shared" si="14"/>
        <v>100</v>
      </c>
      <c r="X33" s="1812"/>
      <c r="Y33" s="3178"/>
      <c r="Z33" s="1813">
        <f t="shared" si="15"/>
        <v>111</v>
      </c>
      <c r="AA33" s="1810">
        <f t="shared" si="3"/>
        <v>1</v>
      </c>
      <c r="AB33" s="1810">
        <f t="shared" si="4"/>
        <v>1</v>
      </c>
      <c r="AC33" s="1810">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78"/>
      <c r="Q34" s="1809">
        <f t="shared" si="11"/>
        <v>111</v>
      </c>
      <c r="R34" s="774" t="s">
        <v>17</v>
      </c>
      <c r="S34" s="775">
        <f t="shared" si="12"/>
        <v>100</v>
      </c>
      <c r="T34" s="774" t="s">
        <v>17</v>
      </c>
      <c r="U34" s="775">
        <f t="shared" si="13"/>
        <v>100</v>
      </c>
      <c r="V34" s="774" t="s">
        <v>17</v>
      </c>
      <c r="W34" s="775">
        <f t="shared" si="14"/>
        <v>100</v>
      </c>
      <c r="X34" s="1812"/>
      <c r="Y34" s="3178"/>
      <c r="Z34" s="1813">
        <f t="shared" si="15"/>
        <v>111</v>
      </c>
      <c r="AA34" s="1810">
        <f t="shared" si="3"/>
        <v>1</v>
      </c>
      <c r="AB34" s="1810">
        <f t="shared" si="4"/>
        <v>1</v>
      </c>
      <c r="AC34" s="1810">
        <f t="shared" si="5"/>
        <v>1</v>
      </c>
    </row>
    <row r="35" spans="1:29" ht="15">
      <c r="A35" s="479" t="s">
        <v>2574</v>
      </c>
      <c r="B35" s="480"/>
      <c r="C35" s="1406" t="s">
        <v>1</v>
      </c>
      <c r="D35" s="1407"/>
      <c r="E35" s="1408"/>
      <c r="F35" s="1409"/>
      <c r="G35" s="1410"/>
      <c r="H35" s="1411"/>
      <c r="I35" s="1408"/>
      <c r="J35" s="1411"/>
      <c r="K35" s="783"/>
      <c r="L35" s="1143"/>
      <c r="M35" s="1144"/>
      <c r="N35" s="1131"/>
      <c r="O35" s="1144"/>
      <c r="P35" s="3160" t="str">
        <f>A35</f>
        <v>成交单价（元/平方米）</v>
      </c>
      <c r="Q35" s="3160"/>
      <c r="R35" s="3214">
        <f>E35</f>
        <v>0</v>
      </c>
      <c r="S35" s="3214"/>
      <c r="T35" s="3214">
        <f>G35</f>
        <v>0</v>
      </c>
      <c r="U35" s="3214"/>
      <c r="V35" s="3214">
        <f>I35</f>
        <v>0</v>
      </c>
      <c r="W35" s="3214"/>
      <c r="X35" s="759"/>
      <c r="Y35" s="781"/>
      <c r="Z35" s="759"/>
      <c r="AA35" s="759"/>
      <c r="AB35" s="759"/>
      <c r="AC35" s="759"/>
    </row>
    <row r="36" spans="1:29" ht="15.75" thickBot="1">
      <c r="A36" s="486" t="s">
        <v>2666</v>
      </c>
      <c r="B36" s="487"/>
      <c r="C36" s="1412" t="e">
        <f>R37</f>
        <v>#DIV/0!</v>
      </c>
      <c r="D36" s="1413"/>
      <c r="E36" s="1414" t="e">
        <f>R36</f>
        <v>#DIV/0!</v>
      </c>
      <c r="F36" s="1414"/>
      <c r="G36" s="1412" t="e">
        <f>T36</f>
        <v>#DIV/0!</v>
      </c>
      <c r="H36" s="1413"/>
      <c r="I36" s="1414" t="e">
        <f>V36</f>
        <v>#DIV/0!</v>
      </c>
      <c r="J36" s="1413"/>
      <c r="K36" s="784"/>
      <c r="L36" s="1143"/>
      <c r="M36" s="1144"/>
      <c r="N36" s="1131"/>
      <c r="O36" s="1144"/>
      <c r="P36" s="3160" t="str">
        <f>A36</f>
        <v>比较价值（元/平方米）</v>
      </c>
      <c r="Q36" s="3160"/>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2667</v>
      </c>
      <c r="B37" s="493"/>
      <c r="C37" s="1416" t="e">
        <f>R37</f>
        <v>#DIV/0!</v>
      </c>
      <c r="D37" s="1416"/>
      <c r="E37" s="1416"/>
      <c r="F37" s="1416"/>
      <c r="G37" s="1416"/>
      <c r="H37" s="1416"/>
      <c r="I37" s="1416"/>
      <c r="J37" s="1416"/>
      <c r="K37" s="785"/>
      <c r="L37" s="1143"/>
      <c r="M37" s="1144"/>
      <c r="N37" s="1144"/>
      <c r="O37" s="1144"/>
      <c r="P37" s="3180" t="str">
        <f>A37</f>
        <v>估价对象XX用房的比较价值（楼面单价，元/平方米）</v>
      </c>
      <c r="Q37" s="3181"/>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61" t="s">
        <v>2643</v>
      </c>
      <c r="D4" s="3162"/>
      <c r="E4" s="3163" t="s">
        <v>2644</v>
      </c>
      <c r="F4" s="3164"/>
      <c r="G4" s="3161" t="s">
        <v>2645</v>
      </c>
      <c r="H4" s="3162"/>
      <c r="I4" s="3161" t="s">
        <v>2646</v>
      </c>
      <c r="J4" s="3162"/>
      <c r="K4" s="610" t="s">
        <v>2647</v>
      </c>
      <c r="L4" s="1130"/>
      <c r="M4" s="1131"/>
      <c r="N4" s="1131"/>
      <c r="O4" s="1131"/>
      <c r="P4" s="3165" t="s">
        <v>2648</v>
      </c>
      <c r="Q4" s="3166"/>
      <c r="R4" s="3148" t="s">
        <v>2644</v>
      </c>
      <c r="S4" s="3149"/>
      <c r="T4" s="3148" t="s">
        <v>2645</v>
      </c>
      <c r="U4" s="3149"/>
      <c r="V4" s="3173" t="s">
        <v>2646</v>
      </c>
      <c r="W4" s="3173"/>
      <c r="X4" s="1812"/>
      <c r="Y4" s="3148" t="s">
        <v>2648</v>
      </c>
      <c r="Z4" s="3149"/>
      <c r="AA4" s="3143" t="s">
        <v>2644</v>
      </c>
      <c r="AB4" s="3144" t="s">
        <v>2645</v>
      </c>
      <c r="AC4" s="3143" t="s">
        <v>2646</v>
      </c>
    </row>
    <row r="5" spans="1:29" ht="15">
      <c r="A5" s="404"/>
      <c r="B5" s="405"/>
      <c r="C5" s="3154" t="s">
        <v>2539</v>
      </c>
      <c r="D5" s="3155"/>
      <c r="E5" s="3152" t="s">
        <v>2540</v>
      </c>
      <c r="F5" s="3153"/>
      <c r="G5" s="3154" t="s">
        <v>2541</v>
      </c>
      <c r="H5" s="3155"/>
      <c r="I5" s="3154" t="s">
        <v>2542</v>
      </c>
      <c r="J5" s="3155"/>
      <c r="K5" s="610"/>
      <c r="L5" s="1130"/>
      <c r="M5" s="1131"/>
      <c r="N5" s="1131"/>
      <c r="O5" s="1131"/>
      <c r="P5" s="3167"/>
      <c r="Q5" s="3168"/>
      <c r="R5" s="3150"/>
      <c r="S5" s="3151"/>
      <c r="T5" s="3150"/>
      <c r="U5" s="3151"/>
      <c r="V5" s="3173"/>
      <c r="W5" s="3173"/>
      <c r="X5" s="1812"/>
      <c r="Y5" s="3150"/>
      <c r="Z5" s="3151"/>
      <c r="AA5" s="3144"/>
      <c r="AB5" s="3144"/>
      <c r="AC5" s="3144"/>
    </row>
    <row r="6" spans="1:29" ht="15.75" thickBot="1">
      <c r="A6" s="406"/>
      <c r="B6" s="407"/>
      <c r="C6" s="3236" t="s">
        <v>2793</v>
      </c>
      <c r="D6" s="3237"/>
      <c r="E6" s="3238" t="s">
        <v>2793</v>
      </c>
      <c r="F6" s="3239"/>
      <c r="G6" s="3236" t="s">
        <v>2793</v>
      </c>
      <c r="H6" s="3237"/>
      <c r="I6" s="3236" t="s">
        <v>2793</v>
      </c>
      <c r="J6" s="3237"/>
      <c r="K6" s="610" t="s">
        <v>2544</v>
      </c>
      <c r="L6" s="1130"/>
      <c r="M6" s="1131"/>
      <c r="N6" s="1131"/>
      <c r="O6" s="1131"/>
      <c r="P6" s="3169"/>
      <c r="Q6" s="3170"/>
      <c r="R6" s="3150"/>
      <c r="S6" s="3151"/>
      <c r="T6" s="3171"/>
      <c r="U6" s="3172"/>
      <c r="V6" s="3173"/>
      <c r="W6" s="3173"/>
      <c r="X6" s="1812"/>
      <c r="Y6" s="3171"/>
      <c r="Z6" s="3172"/>
      <c r="AA6" s="3145"/>
      <c r="AB6" s="3145"/>
      <c r="AC6" s="3145"/>
    </row>
    <row r="7" spans="1:29" s="117" customFormat="1" ht="15.75" thickBot="1">
      <c r="A7" s="408" t="s">
        <v>2545</v>
      </c>
      <c r="B7" s="409"/>
      <c r="C7" s="410">
        <f>'数据-取费表'!B2</f>
        <v>43770</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46" t="s">
        <v>2546</v>
      </c>
      <c r="Q7" s="3174"/>
      <c r="R7" s="770" t="s">
        <v>17</v>
      </c>
      <c r="S7" s="771">
        <f t="shared" ref="S7:S15" si="0">F7</f>
        <v>0</v>
      </c>
      <c r="T7" s="770" t="s">
        <v>17</v>
      </c>
      <c r="U7" s="771">
        <f t="shared" ref="U7:U15" si="1">H7</f>
        <v>0</v>
      </c>
      <c r="V7" s="770" t="s">
        <v>17</v>
      </c>
      <c r="W7" s="771">
        <f t="shared" ref="W7:W15" si="2">J7</f>
        <v>0</v>
      </c>
      <c r="X7" s="772"/>
      <c r="Y7" s="3146" t="s">
        <v>2546</v>
      </c>
      <c r="Z7" s="314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6" t="s">
        <v>2549</v>
      </c>
      <c r="Q8" s="3147"/>
      <c r="R8" s="770" t="s">
        <v>17</v>
      </c>
      <c r="S8" s="771">
        <f t="shared" si="0"/>
        <v>0</v>
      </c>
      <c r="T8" s="770" t="s">
        <v>17</v>
      </c>
      <c r="U8" s="771">
        <f t="shared" si="1"/>
        <v>0</v>
      </c>
      <c r="V8" s="770" t="s">
        <v>17</v>
      </c>
      <c r="W8" s="771">
        <f t="shared" si="2"/>
        <v>0</v>
      </c>
      <c r="X8" s="772"/>
      <c r="Y8" s="3146" t="s">
        <v>2549</v>
      </c>
      <c r="Z8" s="3147"/>
      <c r="AA8" s="773" t="e">
        <f t="shared" ref="AA8:AA40" si="3">D8/F8</f>
        <v>#DIV/0!</v>
      </c>
      <c r="AB8" s="773" t="e">
        <f t="shared" ref="AB8:AB40" si="4">D8/H8</f>
        <v>#DIV/0!</v>
      </c>
      <c r="AC8" s="773" t="e">
        <f t="shared" ref="AC8:AC40" si="5">D8/J8</f>
        <v>#DIV/0!</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60" t="s">
        <v>2552</v>
      </c>
      <c r="Q9" s="1794"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160"/>
      <c r="Q10" s="1794" t="str">
        <f t="shared" si="6"/>
        <v>土地使用年限（年）</v>
      </c>
      <c r="R10" s="770" t="s">
        <v>17</v>
      </c>
      <c r="S10" s="771">
        <f t="shared" si="0"/>
        <v>107</v>
      </c>
      <c r="T10" s="770" t="s">
        <v>17</v>
      </c>
      <c r="U10" s="771">
        <f t="shared" si="1"/>
        <v>107</v>
      </c>
      <c r="V10" s="770" t="s">
        <v>17</v>
      </c>
      <c r="W10" s="771">
        <f t="shared" si="2"/>
        <v>107</v>
      </c>
      <c r="X10" s="772"/>
      <c r="Y10" s="3020"/>
      <c r="Z10" s="55" t="str">
        <f t="shared" si="7"/>
        <v>土地使用年限（年）</v>
      </c>
      <c r="AA10" s="773">
        <f t="shared" si="3"/>
        <v>0.93457943925233644</v>
      </c>
      <c r="AB10" s="773">
        <f t="shared" si="4"/>
        <v>0.93457943925233644</v>
      </c>
      <c r="AC10" s="773">
        <f t="shared" si="5"/>
        <v>0.93457943925233644</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0"/>
      <c r="Q11" s="1794"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0"/>
      <c r="Q12" s="1794">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0"/>
      <c r="Q13" s="1794">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0"/>
      <c r="Q14" s="1794">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2556</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5" t="s">
        <v>2557</v>
      </c>
      <c r="Q15" s="1809" t="str">
        <f t="shared" si="6"/>
        <v>产业集聚程度</v>
      </c>
      <c r="R15" s="774" t="s">
        <v>17</v>
      </c>
      <c r="S15" s="775">
        <f t="shared" si="0"/>
        <v>100</v>
      </c>
      <c r="T15" s="774" t="s">
        <v>17</v>
      </c>
      <c r="U15" s="775">
        <f t="shared" si="1"/>
        <v>100</v>
      </c>
      <c r="V15" s="774" t="s">
        <v>17</v>
      </c>
      <c r="W15" s="775">
        <f t="shared" si="2"/>
        <v>100</v>
      </c>
      <c r="X15" s="1812"/>
      <c r="Y15" s="3175" t="s">
        <v>2557</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176"/>
      <c r="Q16" s="1809"/>
      <c r="R16" s="774"/>
      <c r="S16" s="775"/>
      <c r="T16" s="774"/>
      <c r="U16" s="775"/>
      <c r="V16" s="774"/>
      <c r="W16" s="775"/>
      <c r="X16" s="1812"/>
      <c r="Y16" s="3176"/>
      <c r="Z16" s="1813"/>
      <c r="AA16" s="1810">
        <v>1</v>
      </c>
      <c r="AB16" s="1810">
        <v>1</v>
      </c>
      <c r="AC16" s="1810">
        <v>1</v>
      </c>
    </row>
    <row r="17" spans="1:29" ht="85.5">
      <c r="A17" s="428"/>
      <c r="B17" s="631" t="s">
        <v>2706</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6"/>
      <c r="Q17" s="1809" t="str">
        <f>B17</f>
        <v>交通便捷度</v>
      </c>
      <c r="R17" s="774" t="s">
        <v>17</v>
      </c>
      <c r="S17" s="775">
        <f>F17</f>
        <v>100</v>
      </c>
      <c r="T17" s="774" t="s">
        <v>17</v>
      </c>
      <c r="U17" s="775">
        <f>H17</f>
        <v>100</v>
      </c>
      <c r="V17" s="774" t="s">
        <v>17</v>
      </c>
      <c r="W17" s="775">
        <f>J17</f>
        <v>100</v>
      </c>
      <c r="X17" s="1812"/>
      <c r="Y17" s="3176"/>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176"/>
      <c r="Q18" s="1809"/>
      <c r="R18" s="774"/>
      <c r="S18" s="775"/>
      <c r="T18" s="774"/>
      <c r="U18" s="775"/>
      <c r="V18" s="774"/>
      <c r="W18" s="775"/>
      <c r="X18" s="1812"/>
      <c r="Y18" s="3176"/>
      <c r="Z18" s="1813"/>
      <c r="AA18" s="1810">
        <v>1</v>
      </c>
      <c r="AB18" s="1810">
        <v>1</v>
      </c>
      <c r="AC18" s="1810">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6"/>
      <c r="Q19" s="1809" t="str">
        <f t="shared" ref="Q19:Q33" si="8">B19</f>
        <v>区域土地利用方向</v>
      </c>
      <c r="R19" s="774" t="s">
        <v>17</v>
      </c>
      <c r="S19" s="775">
        <f>F19</f>
        <v>100</v>
      </c>
      <c r="T19" s="774" t="s">
        <v>17</v>
      </c>
      <c r="U19" s="775">
        <f>H19</f>
        <v>100</v>
      </c>
      <c r="V19" s="774" t="s">
        <v>17</v>
      </c>
      <c r="W19" s="775">
        <f>J19</f>
        <v>100</v>
      </c>
      <c r="X19" s="1812"/>
      <c r="Y19" s="3176"/>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176"/>
      <c r="Q20" s="1809"/>
      <c r="R20" s="774"/>
      <c r="S20" s="775"/>
      <c r="T20" s="774"/>
      <c r="U20" s="775"/>
      <c r="V20" s="774"/>
      <c r="W20" s="775"/>
      <c r="X20" s="1812"/>
      <c r="Y20" s="3176"/>
      <c r="Z20" s="1813"/>
      <c r="AA20" s="1810"/>
      <c r="AB20" s="1810"/>
      <c r="AC20" s="1810"/>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6"/>
      <c r="Q21" s="1809" t="str">
        <f t="shared" si="8"/>
        <v>环境状况</v>
      </c>
      <c r="R21" s="774" t="s">
        <v>17</v>
      </c>
      <c r="S21" s="775">
        <f>F21</f>
        <v>100</v>
      </c>
      <c r="T21" s="774" t="s">
        <v>17</v>
      </c>
      <c r="U21" s="775">
        <f>H21</f>
        <v>100</v>
      </c>
      <c r="V21" s="774" t="s">
        <v>17</v>
      </c>
      <c r="W21" s="775">
        <f>J21</f>
        <v>100</v>
      </c>
      <c r="X21" s="1812"/>
      <c r="Y21" s="3176"/>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176"/>
      <c r="Q22" s="1809"/>
      <c r="R22" s="774"/>
      <c r="S22" s="775"/>
      <c r="T22" s="774"/>
      <c r="U22" s="775"/>
      <c r="V22" s="774"/>
      <c r="W22" s="775"/>
      <c r="X22" s="1812"/>
      <c r="Y22" s="3176"/>
      <c r="Z22" s="1813"/>
      <c r="AA22" s="1810">
        <v>1</v>
      </c>
      <c r="AB22" s="1810">
        <v>1</v>
      </c>
      <c r="AC22" s="1810">
        <v>1</v>
      </c>
    </row>
    <row r="23" spans="1:29" s="117" customFormat="1" ht="42.75">
      <c r="A23" s="649"/>
      <c r="B23" s="633" t="s">
        <v>2651</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6"/>
      <c r="Q23" s="1794" t="str">
        <f t="shared" si="8"/>
        <v>公共配套设施</v>
      </c>
      <c r="R23" s="770" t="s">
        <v>17</v>
      </c>
      <c r="S23" s="771">
        <f>F23</f>
        <v>100</v>
      </c>
      <c r="T23" s="770" t="s">
        <v>17</v>
      </c>
      <c r="U23" s="771">
        <f>H23</f>
        <v>100</v>
      </c>
      <c r="V23" s="770" t="s">
        <v>17</v>
      </c>
      <c r="W23" s="771">
        <f>J23</f>
        <v>100</v>
      </c>
      <c r="X23" s="772"/>
      <c r="Y23" s="3176"/>
      <c r="Z23" s="55" t="str">
        <f>Q23</f>
        <v>公共配套设施</v>
      </c>
      <c r="AA23" s="1810">
        <f>D23/F23</f>
        <v>1</v>
      </c>
      <c r="AB23" s="1810">
        <f>D23/H23</f>
        <v>1</v>
      </c>
      <c r="AC23" s="1810">
        <f>D23/J23</f>
        <v>1</v>
      </c>
    </row>
    <row r="24" spans="1:29" s="117" customFormat="1" ht="15">
      <c r="A24" s="649"/>
      <c r="B24" s="632"/>
      <c r="C24" s="2701"/>
      <c r="D24" s="448"/>
      <c r="E24" s="2612"/>
      <c r="F24" s="448"/>
      <c r="G24" s="2612"/>
      <c r="H24" s="448"/>
      <c r="I24" s="447"/>
      <c r="J24" s="448"/>
      <c r="K24" s="672"/>
      <c r="L24" s="1132"/>
      <c r="M24" s="1133"/>
      <c r="N24" s="1133"/>
      <c r="O24" s="1134"/>
      <c r="P24" s="3176"/>
      <c r="Q24" s="1794"/>
      <c r="R24" s="770"/>
      <c r="S24" s="771"/>
      <c r="T24" s="770"/>
      <c r="U24" s="771"/>
      <c r="V24" s="770"/>
      <c r="W24" s="771"/>
      <c r="X24" s="772"/>
      <c r="Y24" s="3176"/>
      <c r="Z24" s="55"/>
      <c r="AA24" s="773">
        <v>1</v>
      </c>
      <c r="AB24" s="773">
        <v>1</v>
      </c>
      <c r="AC24" s="773">
        <v>1</v>
      </c>
    </row>
    <row r="25" spans="1:29" s="117" customFormat="1" ht="28.5">
      <c r="A25" s="649"/>
      <c r="B25" s="633" t="s">
        <v>2652</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6"/>
      <c r="Q25" s="1794"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0">
        <f>D25/F25</f>
        <v>1</v>
      </c>
      <c r="AB25" s="1810">
        <f>D25/H25</f>
        <v>1</v>
      </c>
      <c r="AC25" s="1810">
        <f>D25/J25</f>
        <v>1</v>
      </c>
    </row>
    <row r="26" spans="1:29" s="117" customFormat="1" ht="15">
      <c r="A26" s="649"/>
      <c r="B26" s="632"/>
      <c r="C26" s="2701"/>
      <c r="D26" s="448"/>
      <c r="E26" s="2702"/>
      <c r="F26" s="448"/>
      <c r="G26" s="2702"/>
      <c r="H26" s="448"/>
      <c r="I26" s="2702"/>
      <c r="J26" s="448"/>
      <c r="K26" s="672"/>
      <c r="L26" s="1132"/>
      <c r="M26" s="1133"/>
      <c r="N26" s="1133"/>
      <c r="O26" s="1134"/>
      <c r="P26" s="3176"/>
      <c r="Q26" s="1794"/>
      <c r="R26" s="770"/>
      <c r="S26" s="771"/>
      <c r="T26" s="770"/>
      <c r="U26" s="771"/>
      <c r="V26" s="770"/>
      <c r="W26" s="771"/>
      <c r="X26" s="772"/>
      <c r="Y26" s="317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6"/>
      <c r="Z27" s="1813" t="str">
        <f t="shared" ref="Z27:Z40" si="13">Q27</f>
        <v>临街状况</v>
      </c>
      <c r="AA27" s="1810">
        <f t="shared" si="3"/>
        <v>1</v>
      </c>
      <c r="AB27" s="1810">
        <f t="shared" si="4"/>
        <v>1</v>
      </c>
      <c r="AC27" s="1810">
        <f t="shared" si="5"/>
        <v>1</v>
      </c>
    </row>
    <row r="28" spans="1:29" ht="27">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6"/>
      <c r="Q28" s="1809" t="str">
        <f t="shared" si="8"/>
        <v>毗邻道路的类型与等级</v>
      </c>
      <c r="R28" s="774" t="s">
        <v>17</v>
      </c>
      <c r="S28" s="775">
        <f t="shared" si="10"/>
        <v>100</v>
      </c>
      <c r="T28" s="774" t="s">
        <v>17</v>
      </c>
      <c r="U28" s="775">
        <f t="shared" si="11"/>
        <v>100</v>
      </c>
      <c r="V28" s="774" t="s">
        <v>17</v>
      </c>
      <c r="W28" s="775">
        <f t="shared" si="12"/>
        <v>100</v>
      </c>
      <c r="X28" s="1812"/>
      <c r="Y28" s="3176"/>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176"/>
      <c r="Q29" s="1809"/>
      <c r="R29" s="774"/>
      <c r="S29" s="775"/>
      <c r="T29" s="774"/>
      <c r="U29" s="775"/>
      <c r="V29" s="774"/>
      <c r="W29" s="775"/>
      <c r="X29" s="1812"/>
      <c r="Y29" s="3176"/>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6"/>
      <c r="Q30" s="1809" t="str">
        <f t="shared" si="8"/>
        <v>土地级别</v>
      </c>
      <c r="R30" s="774" t="s">
        <v>17</v>
      </c>
      <c r="S30" s="775">
        <f t="shared" si="10"/>
        <v>100</v>
      </c>
      <c r="T30" s="774" t="s">
        <v>17</v>
      </c>
      <c r="U30" s="775">
        <f t="shared" si="11"/>
        <v>100</v>
      </c>
      <c r="V30" s="774" t="s">
        <v>17</v>
      </c>
      <c r="W30" s="775">
        <f t="shared" si="12"/>
        <v>100</v>
      </c>
      <c r="X30" s="1812"/>
      <c r="Y30" s="3176"/>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6"/>
      <c r="Q31" s="1809">
        <f t="shared" si="8"/>
        <v>111</v>
      </c>
      <c r="R31" s="774" t="s">
        <v>17</v>
      </c>
      <c r="S31" s="775">
        <f t="shared" si="10"/>
        <v>100</v>
      </c>
      <c r="T31" s="774" t="s">
        <v>17</v>
      </c>
      <c r="U31" s="775">
        <f t="shared" si="11"/>
        <v>100</v>
      </c>
      <c r="V31" s="774" t="s">
        <v>17</v>
      </c>
      <c r="W31" s="775">
        <f t="shared" si="12"/>
        <v>100</v>
      </c>
      <c r="X31" s="1812"/>
      <c r="Y31" s="3176"/>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7" t="s">
        <v>2562</v>
      </c>
      <c r="Q32" s="1809">
        <f t="shared" si="8"/>
        <v>111</v>
      </c>
      <c r="R32" s="774" t="s">
        <v>17</v>
      </c>
      <c r="S32" s="775">
        <f t="shared" si="10"/>
        <v>100</v>
      </c>
      <c r="T32" s="774" t="s">
        <v>17</v>
      </c>
      <c r="U32" s="775">
        <f t="shared" si="11"/>
        <v>100</v>
      </c>
      <c r="V32" s="774" t="s">
        <v>17</v>
      </c>
      <c r="W32" s="775">
        <f t="shared" si="12"/>
        <v>100</v>
      </c>
      <c r="X32" s="1812"/>
      <c r="Y32" s="3178" t="s">
        <v>2562</v>
      </c>
      <c r="Z32" s="1813">
        <f t="shared" si="13"/>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09">
        <f t="shared" si="8"/>
        <v>111</v>
      </c>
      <c r="R33" s="777" t="s">
        <v>17</v>
      </c>
      <c r="S33" s="778">
        <f t="shared" si="10"/>
        <v>100</v>
      </c>
      <c r="T33" s="777" t="s">
        <v>17</v>
      </c>
      <c r="U33" s="778">
        <f t="shared" si="11"/>
        <v>100</v>
      </c>
      <c r="V33" s="777" t="s">
        <v>17</v>
      </c>
      <c r="W33" s="778">
        <f t="shared" si="12"/>
        <v>100</v>
      </c>
      <c r="X33" s="779"/>
      <c r="Y33" s="3178"/>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09" t="str">
        <f>B34</f>
        <v>宗地面积</v>
      </c>
      <c r="R34" s="774" t="s">
        <v>17</v>
      </c>
      <c r="S34" s="775" t="e">
        <f t="shared" si="10"/>
        <v>#N/A</v>
      </c>
      <c r="T34" s="774" t="s">
        <v>17</v>
      </c>
      <c r="U34" s="775" t="e">
        <f t="shared" si="11"/>
        <v>#N/A</v>
      </c>
      <c r="V34" s="774" t="s">
        <v>17</v>
      </c>
      <c r="W34" s="775" t="e">
        <f t="shared" si="12"/>
        <v>#N/A</v>
      </c>
      <c r="X34" s="1812"/>
      <c r="Y34" s="3178"/>
      <c r="Z34" s="1813" t="str">
        <f t="shared" si="13"/>
        <v>宗地面积</v>
      </c>
      <c r="AA34" s="1810" t="e">
        <f t="shared" si="3"/>
        <v>#N/A</v>
      </c>
      <c r="AB34" s="1810" t="e">
        <f t="shared" si="4"/>
        <v>#N/A</v>
      </c>
      <c r="AC34" s="1810"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78"/>
      <c r="Q35" s="1809" t="str">
        <f t="shared" ref="Q35:Q40" si="14">B35</f>
        <v>宗地形状</v>
      </c>
      <c r="R35" s="774" t="s">
        <v>17</v>
      </c>
      <c r="S35" s="775">
        <f t="shared" si="10"/>
        <v>100</v>
      </c>
      <c r="T35" s="774" t="s">
        <v>17</v>
      </c>
      <c r="U35" s="775">
        <f t="shared" si="11"/>
        <v>100</v>
      </c>
      <c r="V35" s="774" t="s">
        <v>17</v>
      </c>
      <c r="W35" s="775">
        <f t="shared" si="12"/>
        <v>100</v>
      </c>
      <c r="X35" s="1812"/>
      <c r="Y35" s="3178"/>
      <c r="Z35" s="1813" t="str">
        <f t="shared" si="13"/>
        <v>宗地形状</v>
      </c>
      <c r="AA35" s="1810">
        <f t="shared" si="3"/>
        <v>1</v>
      </c>
      <c r="AB35" s="1810">
        <f t="shared" si="4"/>
        <v>1</v>
      </c>
      <c r="AC35" s="1810">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78"/>
      <c r="Q36" s="1809"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78" t="s">
        <v>2562</v>
      </c>
      <c r="Q37" s="1809" t="str">
        <f t="shared" si="14"/>
        <v>工程地质条件</v>
      </c>
      <c r="R37" s="774" t="s">
        <v>17</v>
      </c>
      <c r="S37" s="775">
        <f t="shared" si="10"/>
        <v>100</v>
      </c>
      <c r="T37" s="774" t="s">
        <v>17</v>
      </c>
      <c r="U37" s="775">
        <f t="shared" si="11"/>
        <v>100</v>
      </c>
      <c r="V37" s="774" t="s">
        <v>17</v>
      </c>
      <c r="W37" s="775">
        <f t="shared" si="12"/>
        <v>100</v>
      </c>
      <c r="X37" s="1812"/>
      <c r="Y37" s="3178" t="s">
        <v>2562</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09">
        <f t="shared" si="14"/>
        <v>111</v>
      </c>
      <c r="R38" s="774" t="s">
        <v>17</v>
      </c>
      <c r="S38" s="775">
        <f t="shared" si="10"/>
        <v>100</v>
      </c>
      <c r="T38" s="774" t="s">
        <v>17</v>
      </c>
      <c r="U38" s="775">
        <f t="shared" si="11"/>
        <v>100</v>
      </c>
      <c r="V38" s="774" t="s">
        <v>17</v>
      </c>
      <c r="W38" s="775">
        <f t="shared" si="12"/>
        <v>100</v>
      </c>
      <c r="X38" s="1812"/>
      <c r="Y38" s="317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09">
        <f t="shared" si="14"/>
        <v>111</v>
      </c>
      <c r="R39" s="774" t="s">
        <v>17</v>
      </c>
      <c r="S39" s="775">
        <f t="shared" si="10"/>
        <v>100</v>
      </c>
      <c r="T39" s="774" t="s">
        <v>17</v>
      </c>
      <c r="U39" s="775">
        <f t="shared" si="11"/>
        <v>100</v>
      </c>
      <c r="V39" s="774" t="s">
        <v>17</v>
      </c>
      <c r="W39" s="775">
        <f t="shared" si="12"/>
        <v>100</v>
      </c>
      <c r="X39" s="1812"/>
      <c r="Y39" s="3178"/>
      <c r="Z39" s="1813">
        <f t="shared" si="13"/>
        <v>111</v>
      </c>
      <c r="AA39" s="1810">
        <f t="shared" si="3"/>
        <v>1</v>
      </c>
      <c r="AB39" s="1810">
        <f t="shared" si="4"/>
        <v>1</v>
      </c>
      <c r="AC39" s="1810">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09">
        <f t="shared" si="14"/>
        <v>111</v>
      </c>
      <c r="R40" s="777" t="s">
        <v>17</v>
      </c>
      <c r="S40" s="778">
        <f t="shared" si="10"/>
        <v>100</v>
      </c>
      <c r="T40" s="777" t="s">
        <v>17</v>
      </c>
      <c r="U40" s="778">
        <f t="shared" si="11"/>
        <v>100</v>
      </c>
      <c r="V40" s="777" t="s">
        <v>17</v>
      </c>
      <c r="W40" s="778">
        <f t="shared" si="12"/>
        <v>100</v>
      </c>
      <c r="X40" s="779"/>
      <c r="Y40" s="3178"/>
      <c r="Z40" s="780">
        <f t="shared" si="13"/>
        <v>111</v>
      </c>
      <c r="AA40" s="1810">
        <f t="shared" si="3"/>
        <v>1</v>
      </c>
      <c r="AB40" s="1810">
        <f t="shared" si="4"/>
        <v>1</v>
      </c>
      <c r="AC40" s="1810">
        <f t="shared" si="5"/>
        <v>1</v>
      </c>
    </row>
    <row r="41" spans="1:29" ht="15">
      <c r="A41" s="479" t="s">
        <v>2717</v>
      </c>
      <c r="B41" s="2705" t="s">
        <v>2796</v>
      </c>
      <c r="C41" s="682" t="s">
        <v>1</v>
      </c>
      <c r="D41" s="481"/>
      <c r="E41" s="482"/>
      <c r="F41" s="483"/>
      <c r="G41" s="484"/>
      <c r="H41" s="485"/>
      <c r="I41" s="482"/>
      <c r="J41" s="485"/>
      <c r="K41" s="783"/>
      <c r="L41" s="1143"/>
      <c r="M41" s="1131"/>
      <c r="N41" s="1131"/>
      <c r="O41" s="1144"/>
      <c r="P41" s="3160" t="str">
        <f>A41</f>
        <v>成交单价</v>
      </c>
      <c r="Q41" s="3160"/>
      <c r="R41" s="3173">
        <f>E41</f>
        <v>0</v>
      </c>
      <c r="S41" s="3173"/>
      <c r="T41" s="3173">
        <f>G41</f>
        <v>0</v>
      </c>
      <c r="U41" s="3173"/>
      <c r="V41" s="3173">
        <f>I41</f>
        <v>0</v>
      </c>
      <c r="W41" s="317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60" t="str">
        <f>A42</f>
        <v>比较价值（元/平方米）</v>
      </c>
      <c r="Q42" s="3160"/>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161" t="s">
        <v>2760</v>
      </c>
      <c r="H50" s="3183"/>
      <c r="I50" s="1813" t="s">
        <v>2797</v>
      </c>
      <c r="J50" s="1813">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1526.7</v>
      </c>
      <c r="F51" s="691" t="e">
        <f t="shared" ref="F51:F60" si="15">ROUND(B51*E51/10000,0)</f>
        <v>#DIV/0!</v>
      </c>
      <c r="G51" s="3184"/>
      <c r="H51" s="316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185"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185"/>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185"/>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185"/>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0"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1"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2" t="s">
        <v>2778</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7" t="s">
        <v>2798</v>
      </c>
      <c r="B66" s="332" t="str">
        <f>"北京市平均增长率"&amp;TEXT(基准地价修正!P24,"0.00%")</f>
        <v>北京市平均增长率1.38%</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40" t="s">
        <v>2800</v>
      </c>
      <c r="B1" s="241"/>
      <c r="C1" s="245" t="s">
        <v>2801</v>
      </c>
      <c r="D1" s="388">
        <f>SUM(D29:D30,D33:D39)</f>
        <v>0</v>
      </c>
      <c r="E1" s="2718"/>
      <c r="F1" s="2718"/>
      <c r="G1" s="2718"/>
      <c r="H1" s="2718"/>
      <c r="I1" s="2718"/>
      <c r="J1" s="2718"/>
      <c r="K1" s="1369"/>
      <c r="L1" s="2719" t="s">
        <v>2802</v>
      </c>
      <c r="M1" s="1080">
        <f>SUMPRODUCT((区片价!B5:B9=I2)*(区片价!C3:F3=E2)*(区片价!C5:F9))</f>
        <v>0</v>
      </c>
      <c r="N1" s="1083">
        <f>SUMPRODUCT((因素修正幅度!B5:B9=I2)*(因素修正幅度!C3:F3=E2)*(因素修正幅度!C5:F9))</f>
        <v>0</v>
      </c>
      <c r="O1" s="2720"/>
      <c r="P1" s="2720"/>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22" t="s">
        <v>2809</v>
      </c>
      <c r="D2" s="2723" t="s">
        <v>2810</v>
      </c>
      <c r="E2" s="2724"/>
      <c r="F2" s="2723" t="s">
        <v>2811</v>
      </c>
      <c r="G2" s="2725">
        <f>IF(E2="商业",项目基本情况!B37,IF(E2="办公",项目基本情况!C37,IF(E2="住宅",项目基本情况!D37,项目基本情况!E37)))</f>
        <v>0</v>
      </c>
      <c r="H2" s="2723" t="s">
        <v>2812</v>
      </c>
      <c r="I2" s="2725">
        <f>IF(E2="商业",项目基本情况!B38,IF(E2="办公",项目基本情况!C38,IF(E2="住宅",项目基本情况!D38,项目基本情况!E38)))</f>
        <v>0</v>
      </c>
      <c r="J2" s="2726"/>
      <c r="K2" s="1369"/>
      <c r="L2" s="2727" t="s">
        <v>2813</v>
      </c>
      <c r="M2" s="1081">
        <f>SUMPRODUCT((区片价!B10:B28=I2)*(区片价!C3:F3=E2)*(区片价!C10:F28))</f>
        <v>0</v>
      </c>
      <c r="N2" s="1083">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22" t="s">
        <v>2815</v>
      </c>
      <c r="D3" s="2723" t="s">
        <v>2816</v>
      </c>
      <c r="E3" s="2728"/>
      <c r="F3" s="2729" t="s">
        <v>2817</v>
      </c>
      <c r="G3" s="916" t="e">
        <f>IF(F3="宗地容积率",'数据-汇总表'!I4,IF(F3="估价对象容积率",'数据-汇总表'!I6,'数据-汇总表'!I7))</f>
        <v>#DIV/0!</v>
      </c>
      <c r="H3" s="198" t="s">
        <v>2818</v>
      </c>
      <c r="I3" s="944"/>
      <c r="J3" s="2726" t="s">
        <v>2819</v>
      </c>
      <c r="K3" s="1369"/>
      <c r="L3" s="2727" t="s">
        <v>2820</v>
      </c>
      <c r="M3" s="1081">
        <f>SUMPRODUCT((区片价!B29:B48=I2)*(区片价!C3:F3=E2)*(区片价!C29:F48))</f>
        <v>0</v>
      </c>
      <c r="N3" s="1083">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6"/>
      <c r="B4" s="3257"/>
      <c r="C4" s="3257"/>
      <c r="D4" s="3258"/>
      <c r="E4" s="3258"/>
      <c r="F4" s="3258"/>
      <c r="G4" s="3258"/>
      <c r="H4" s="3258"/>
      <c r="I4" s="3258"/>
      <c r="J4" s="3259"/>
      <c r="K4" s="1369"/>
      <c r="L4" s="2727" t="s">
        <v>2821</v>
      </c>
      <c r="M4" s="1081">
        <f>SUMPRODUCT((区片价!B49:B75=I2)*(区片价!C3:F3=E2)*(区片价!C49:F75))</f>
        <v>0</v>
      </c>
      <c r="N4" s="1083">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2822</v>
      </c>
      <c r="C5" s="917" t="e">
        <f>ROUND(IF(E2="商业",C6*C7+C16,(IF(E2="住宅",C6*C12+C16,C6+C16))),0)</f>
        <v>#DIV/0!</v>
      </c>
      <c r="D5" s="1786" t="e">
        <f>ROUND(C6+C16,0)</f>
        <v>#DIV/0!</v>
      </c>
      <c r="E5" s="1786"/>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2824</v>
      </c>
      <c r="B6" s="2741" t="s">
        <v>2825</v>
      </c>
      <c r="C6" s="918">
        <f>SUMIF(L1:L12,G2,M1:M12)</f>
        <v>0</v>
      </c>
      <c r="D6" s="2742" t="s">
        <v>2826</v>
      </c>
      <c r="E6" s="2743"/>
      <c r="F6" s="2743"/>
      <c r="G6" s="2744"/>
      <c r="H6" s="2744"/>
      <c r="I6" s="2744"/>
      <c r="J6" s="2745"/>
      <c r="K6" s="1841"/>
      <c r="L6" s="2727" t="s">
        <v>2827</v>
      </c>
      <c r="M6" s="1081">
        <f>SUMPRODUCT((区片价!B110:B157=I2)*(区片价!C3:F3=E2)*(区片价!C110:F157))</f>
        <v>0</v>
      </c>
      <c r="N6" s="1083">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40" t="str">
        <f>IF(E2="商业",IF(C8="不临58条商业街","",2),"")</f>
        <v/>
      </c>
      <c r="B7" s="2746" t="s">
        <v>2828</v>
      </c>
      <c r="C7" s="919" t="e">
        <f>IF(C8="不临58条商业街",1,ROUND(1+(1.6*E8+1.2*E9+0.8*E10+0.4*E11)*C9,4))</f>
        <v>#DIV/0!</v>
      </c>
      <c r="D7" s="2747" t="s">
        <v>2829</v>
      </c>
      <c r="E7" s="945"/>
      <c r="F7" s="2748"/>
      <c r="G7" s="2749"/>
      <c r="H7" s="2749"/>
      <c r="I7" s="2749"/>
      <c r="J7" s="2750"/>
      <c r="K7" s="1841"/>
      <c r="L7" s="2727" t="s">
        <v>2830</v>
      </c>
      <c r="M7" s="1081">
        <f>SUMPRODUCT((区片价!B158:B205=I2)*(区片价!C3:F3=E2)*(区片价!C158:F205))</f>
        <v>0</v>
      </c>
      <c r="N7" s="1083">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2831</v>
      </c>
      <c r="X7" s="1603">
        <f>G2</f>
        <v>0</v>
      </c>
      <c r="Y7" s="1603" t="s">
        <v>2832</v>
      </c>
      <c r="Z7" s="1604" t="e">
        <f>G3</f>
        <v>#DIV/0!</v>
      </c>
      <c r="AA7" s="1605"/>
      <c r="AB7" s="1605"/>
      <c r="AC7" s="1606"/>
      <c r="AD7" s="1607"/>
      <c r="AE7" s="1607"/>
      <c r="AF7" s="1607"/>
      <c r="AG7" s="1607"/>
      <c r="AH7" s="1607"/>
      <c r="AI7" s="1607"/>
      <c r="AJ7" s="1608"/>
    </row>
    <row r="8" spans="1:36" ht="15">
      <c r="A8" s="3260"/>
      <c r="B8" s="198" t="s">
        <v>2833</v>
      </c>
      <c r="C8" s="2751"/>
      <c r="D8" s="920" t="s">
        <v>139</v>
      </c>
      <c r="E8" s="921" t="e">
        <f>ROUND(C11/E7,4)</f>
        <v>#DIV/0!</v>
      </c>
      <c r="F8" s="2752" t="s">
        <v>2834</v>
      </c>
      <c r="G8" s="2753"/>
      <c r="H8" s="2753"/>
      <c r="I8" s="2753"/>
      <c r="J8" s="2754"/>
      <c r="K8" s="1369"/>
      <c r="L8" s="2727" t="s">
        <v>2835</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53" t="s">
        <v>2836</v>
      </c>
      <c r="X8" s="3254"/>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60"/>
      <c r="B9" s="198" t="s">
        <v>2849</v>
      </c>
      <c r="C9" s="922">
        <f>SUMIF(修正!C59:C119,C8,修正!E59:E119)</f>
        <v>0</v>
      </c>
      <c r="D9" s="200" t="s">
        <v>140</v>
      </c>
      <c r="E9" s="200" t="e">
        <f>ROUND(C11/E7,4)</f>
        <v>#DIV/0!</v>
      </c>
      <c r="F9" s="2752" t="s">
        <v>2850</v>
      </c>
      <c r="G9" s="2753"/>
      <c r="H9" s="2753"/>
      <c r="I9" s="2753"/>
      <c r="J9" s="2754"/>
      <c r="K9" s="1369"/>
      <c r="L9" s="2727" t="s">
        <v>2851</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55"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0"/>
      <c r="B10" s="198" t="s">
        <v>2854</v>
      </c>
      <c r="C10" s="200">
        <f>SUMIF(修正!C59:C119,C8,修正!F59:F119)</f>
        <v>0</v>
      </c>
      <c r="D10" s="200" t="s">
        <v>141</v>
      </c>
      <c r="E10" s="200" t="e">
        <f>ROUND(C11/E7,4)</f>
        <v>#DIV/0!</v>
      </c>
      <c r="F10" s="2752" t="s">
        <v>2855</v>
      </c>
      <c r="G10" s="2753"/>
      <c r="H10" s="2753"/>
      <c r="I10" s="2753"/>
      <c r="J10" s="2754"/>
      <c r="K10" s="1369"/>
      <c r="L10" s="2727" t="s">
        <v>2856</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0"/>
      <c r="B11" s="2755" t="s">
        <v>2857</v>
      </c>
      <c r="C11" s="923">
        <f>C10/4</f>
        <v>0</v>
      </c>
      <c r="D11" s="923" t="s">
        <v>142</v>
      </c>
      <c r="E11" s="923" t="e">
        <f>ROUND(C11/E7,4)</f>
        <v>#DIV/0!</v>
      </c>
      <c r="F11" s="2756" t="s">
        <v>2858</v>
      </c>
      <c r="G11" s="2757"/>
      <c r="H11" s="2757"/>
      <c r="I11" s="2757"/>
      <c r="J11" s="2758"/>
      <c r="K11" s="1369"/>
      <c r="L11" s="2727" t="s">
        <v>2859</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55"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40" t="s">
        <v>2862</v>
      </c>
      <c r="B12" s="2759" t="s">
        <v>2863</v>
      </c>
      <c r="C12" s="919">
        <f>ROUND(C15*D15*E15*F15*G15*H15*I15*J15,4)</f>
        <v>1</v>
      </c>
      <c r="D12" s="2760" t="s">
        <v>2864</v>
      </c>
      <c r="E12" s="2761"/>
      <c r="F12" s="2761"/>
      <c r="G12" s="2762"/>
      <c r="H12" s="2762"/>
      <c r="I12" s="2762"/>
      <c r="J12" s="2763"/>
      <c r="K12" s="1369"/>
      <c r="L12" s="2764" t="s">
        <v>2865</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55"/>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1"/>
      <c r="B13" s="2765" t="s">
        <v>2867</v>
      </c>
      <c r="C13" s="2766" t="s">
        <v>2868</v>
      </c>
      <c r="D13" s="1807" t="s">
        <v>2869</v>
      </c>
      <c r="E13" s="1807" t="s">
        <v>2870</v>
      </c>
      <c r="F13" s="30" t="s">
        <v>2871</v>
      </c>
      <c r="G13" s="2767" t="s">
        <v>2872</v>
      </c>
      <c r="H13" s="2767" t="s">
        <v>2872</v>
      </c>
      <c r="I13" s="2767" t="s">
        <v>2872</v>
      </c>
      <c r="J13" s="2768" t="s">
        <v>2872</v>
      </c>
      <c r="K13" s="1369"/>
      <c r="L13" s="1369"/>
      <c r="M13" s="1369"/>
      <c r="N13" s="1369"/>
      <c r="O13" s="1369"/>
      <c r="P13" s="1369"/>
      <c r="Q13" s="1369"/>
      <c r="R13" s="1601">
        <v>12</v>
      </c>
      <c r="S13" s="1602"/>
      <c r="T13" s="1601" t="e">
        <f t="shared" si="0"/>
        <v>#DIV/0!</v>
      </c>
      <c r="U13" s="1602"/>
      <c r="V13" s="1601" t="e">
        <f t="shared" si="1"/>
        <v>#DIV/0!</v>
      </c>
      <c r="W13" s="3255"/>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61"/>
      <c r="B14" s="2769"/>
      <c r="C14" s="2770"/>
      <c r="D14" s="2771"/>
      <c r="E14" s="2771"/>
      <c r="F14" s="2772"/>
      <c r="G14" s="2773" t="s">
        <v>2873</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2"/>
      <c r="B15" s="2777" t="s">
        <v>2874</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0" t="s">
        <v>2879</v>
      </c>
      <c r="B16" s="2746" t="s">
        <v>2880</v>
      </c>
      <c r="C16" s="2933" t="e">
        <f>ROUND(IF(F17="与级别开发程度一致",0,(G17-E17)/C17),0)</f>
        <v>#DIV/0!</v>
      </c>
      <c r="D16" s="3251" t="s">
        <v>2884</v>
      </c>
      <c r="E16" s="3252"/>
      <c r="F16" s="3251" t="s">
        <v>2881</v>
      </c>
      <c r="G16" s="3252"/>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41"/>
      <c r="B17" s="2944" t="s">
        <v>2883</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2886</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2887</v>
      </c>
      <c r="C19" s="924" t="e">
        <f>ROUND(IF(H19="按公示增长率计算",SUMPRODUCT((地价!A3:A28=YEAR(G19)&amp;"-"&amp;ROUNDUP(MONTH(G19)/3,0))*(地价!X2:AB2=E2)*(地价!X3:AB28)),IF(H19="地价指数",M20/M19,(1+I19)^O19)),4)</f>
        <v>#VALUE!</v>
      </c>
      <c r="D19" s="2790" t="s">
        <v>2888</v>
      </c>
      <c r="E19" s="925">
        <v>41640</v>
      </c>
      <c r="F19" s="2790" t="s">
        <v>2889</v>
      </c>
      <c r="G19" s="926">
        <f>'数据-取费表'!B2</f>
        <v>43770</v>
      </c>
      <c r="H19" s="2791"/>
      <c r="I19" s="927" t="str">
        <f>IF(H19="季度增幅（自定义）",SUMIF(N21:N24,E2,O21:O24),"")</f>
        <v/>
      </c>
      <c r="J19" s="2788"/>
      <c r="K19" s="1376"/>
      <c r="L19" s="2792" t="s">
        <v>2890</v>
      </c>
      <c r="M19" s="1733">
        <f>ROUND(SUMIF(地价!B2:F2,E2,地价!B28:F28),0)</f>
        <v>0</v>
      </c>
      <c r="N19" s="2793" t="s">
        <v>2891</v>
      </c>
      <c r="O19" s="928">
        <f>ROUNDDOWN(DATEDIF(E19,G19,"M")/3,0)</f>
        <v>23</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2892</v>
      </c>
      <c r="C20" s="929" t="e">
        <f>ROUND(POWER(1+G20,J20-I20)*(POWER(1+G20,I20)-1)/(POWER(1+G20,J20)-1),4)</f>
        <v>#DIV/0!</v>
      </c>
      <c r="D20" s="2799" t="s">
        <v>2893</v>
      </c>
      <c r="E20" s="1767">
        <f ca="1">存贷款利率!D4/100</f>
        <v>4.3499999999999997E-2</v>
      </c>
      <c r="F20" s="2799" t="s">
        <v>2885</v>
      </c>
      <c r="G20" s="934">
        <f>SUMIF(M26:P26,E2,M28:P28)</f>
        <v>0</v>
      </c>
      <c r="H20" s="2799" t="s">
        <v>2894</v>
      </c>
      <c r="I20" s="935" t="e">
        <f>SUMIF('数据-取费表'!C6:C15,E2,'数据-取费表'!F6:F15)/COUNTIF('数据-取费表'!C6:C15,E2)</f>
        <v>#DIV/0!</v>
      </c>
      <c r="J20" s="936">
        <f>IF(E2="住宅",70,IF(E2="商业",40,50))</f>
        <v>50</v>
      </c>
      <c r="K20" s="1376"/>
      <c r="L20" s="2800" t="s">
        <v>2895</v>
      </c>
      <c r="M20" s="1734">
        <f>ROUND(SUMPRODUCT((地价!A4:A28=YEAR(G19)&amp;"-"&amp;ROUNDUP(MONTH(G19)/3,0))*(地价!B2:F2=E2)*(地价!B4:F28)),0)</f>
        <v>0</v>
      </c>
      <c r="N20" s="2801" t="s">
        <v>2896</v>
      </c>
      <c r="O20" s="2802" t="s">
        <v>2897</v>
      </c>
      <c r="P20" s="2803" t="s">
        <v>2898</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2899</v>
      </c>
      <c r="C21" s="937" t="e">
        <f>IF(B21="容积率修正",IF(G3&lt;=10,D22,J22),C23)</f>
        <v>#DIV/0!</v>
      </c>
      <c r="D21" s="2806"/>
      <c r="E21" s="2806"/>
      <c r="F21" s="2806"/>
      <c r="G21" s="2806"/>
      <c r="H21" s="2806"/>
      <c r="I21" s="2806"/>
      <c r="J21" s="2807"/>
      <c r="K21" s="1376"/>
      <c r="N21" s="2808" t="s">
        <v>2900</v>
      </c>
      <c r="O21" s="1560"/>
      <c r="P21" s="1561">
        <f>SUMPRODUCT((地价!A3:A28=YEAR(G19)&amp;"-"&amp;ROUNDUP(MONTH(G19)/3,0))*(地价!AD2:AH2=N21)*(地价!AD3:AH28))</f>
        <v>1.41E-2</v>
      </c>
      <c r="R21" s="1375"/>
      <c r="S21" s="1375"/>
      <c r="T21" s="1370"/>
      <c r="U21" s="1370"/>
      <c r="V21" s="1370"/>
      <c r="W21" s="1369"/>
      <c r="X21" s="1369"/>
      <c r="Y21" s="1369"/>
      <c r="Z21" s="1376"/>
      <c r="AA21" s="1377"/>
      <c r="AB21" s="1377"/>
      <c r="AC21" s="1377"/>
      <c r="AD21" s="1377"/>
      <c r="AE21" s="1377"/>
      <c r="AF21" s="1377"/>
    </row>
    <row r="22" spans="1:37" s="2739" customFormat="1" ht="14.25">
      <c r="A22" s="2665" t="s">
        <v>2901</v>
      </c>
      <c r="B22" s="2809" t="s">
        <v>2902</v>
      </c>
      <c r="C22" s="1809" t="s">
        <v>2903</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6"/>
      <c r="N22" s="2808" t="s">
        <v>2904</v>
      </c>
      <c r="O22" s="1560"/>
      <c r="P22" s="1561">
        <f>SUMPRODUCT((地价!A3:A28=YEAR(G19)&amp;"-"&amp;ROUNDUP(MONTH(G19)/3,0))*(地价!AD2:AH2=N22)*(地价!AD3:AH28))</f>
        <v>1.41E-2</v>
      </c>
      <c r="R22" s="1375"/>
      <c r="S22" s="1375"/>
      <c r="T22" s="1370"/>
      <c r="U22" s="1370"/>
      <c r="V22" s="1370"/>
      <c r="W22" s="1369"/>
      <c r="X22" s="1369"/>
      <c r="Y22" s="1369"/>
      <c r="Z22" s="1376"/>
      <c r="AA22" s="1377"/>
      <c r="AB22" s="1377"/>
      <c r="AC22" s="1377"/>
      <c r="AD22" s="1377"/>
      <c r="AE22" s="1377"/>
      <c r="AF22" s="1377"/>
    </row>
    <row r="23" spans="1:37" ht="27.75" thickBot="1">
      <c r="A23" s="2665" t="s">
        <v>2905</v>
      </c>
      <c r="B23" s="2810" t="s">
        <v>2906</v>
      </c>
      <c r="C23" s="1013" t="e">
        <f>ROUND(IF(G3&gt;1,IF(I3&lt;7,SUMPRODUCT((B93:B98=I3)*(C92:N92=G2)*(C93:N98)),SUMIF(C92:N92,G2,C100:N100)),IF(I3&lt;7,SUMPRODUCT((B102:B107=I3)*(C92:N92=G2)*(C102:N107)),SUMIF(C92:N92,G2,C109:N109))),4)</f>
        <v>#DIV/0!</v>
      </c>
      <c r="D23" s="2774"/>
      <c r="E23" s="2774"/>
      <c r="F23" s="2811"/>
      <c r="G23" s="2812"/>
      <c r="H23" s="2813"/>
      <c r="I23" s="2814"/>
      <c r="J23" s="2815"/>
      <c r="K23" s="1369"/>
      <c r="N23" s="2808" t="s">
        <v>2907</v>
      </c>
      <c r="O23" s="1560"/>
      <c r="P23" s="1561">
        <f>SUMPRODUCT((地价!A3:A28=YEAR(G19)&amp;"-"&amp;ROUNDUP(MONTH(G19)/3,0))*(地价!AD2:AH2=N23)*(地价!AD3:AH28))</f>
        <v>2.1600000000000001E-2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2908</v>
      </c>
      <c r="C24" s="924">
        <f>SUMIF(A45:A88,E2,B45:B88)</f>
        <v>0</v>
      </c>
      <c r="D24" s="2787"/>
      <c r="E24" s="2816"/>
      <c r="F24" s="2816"/>
      <c r="G24" s="2816"/>
      <c r="H24" s="2816"/>
      <c r="I24" s="2816"/>
      <c r="J24" s="2817"/>
      <c r="K24" s="1376"/>
      <c r="N24" s="2818" t="s">
        <v>2909</v>
      </c>
      <c r="O24" s="1562"/>
      <c r="P24" s="1563">
        <f>SUMPRODUCT((地价!A3:A28=YEAR(G19)&amp;"-"&amp;ROUNDUP(MONTH(G19)/3,0))*(地价!AD2:AH2=N24)*(地价!AD3:AH28))</f>
        <v>1.38E-2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2910</v>
      </c>
      <c r="C25" s="930"/>
      <c r="D25" s="2749"/>
      <c r="E25" s="2749"/>
      <c r="F25" s="2820"/>
      <c r="G25" s="2749"/>
      <c r="H25" s="2749"/>
      <c r="I25" s="2749"/>
      <c r="J25" s="2750"/>
      <c r="K25" s="1369"/>
      <c r="N25" s="2821" t="s">
        <v>2911</v>
      </c>
      <c r="O25" s="1564"/>
      <c r="P25" s="1563">
        <f>SUMPRODUCT((地价!A3:A28=YEAR(G19)&amp;"-"&amp;ROUNDUP(MONTH(G19)/3,0))*(地价!AD2:AH2=N25)*(地价!AD3:AH28))</f>
        <v>1.9800000000000002E-2</v>
      </c>
      <c r="R25" s="1375"/>
      <c r="S25" s="1375"/>
      <c r="T25" s="1370"/>
      <c r="U25" s="1370"/>
      <c r="V25" s="1370"/>
      <c r="W25" s="1369"/>
      <c r="X25" s="1369"/>
      <c r="Y25" s="1369"/>
      <c r="Z25" s="1376"/>
      <c r="AA25" s="1377"/>
      <c r="AB25" s="1377"/>
      <c r="AC25" s="1377"/>
      <c r="AD25" s="1377"/>
    </row>
    <row r="26" spans="1:37" ht="15">
      <c r="A26" s="2822"/>
      <c r="B26" s="2809" t="s">
        <v>2912</v>
      </c>
      <c r="C26" s="206" t="e">
        <f>E29+SUM(E33:E39)</f>
        <v>#DIV/0!</v>
      </c>
      <c r="D26" s="2823"/>
      <c r="E26" s="2774"/>
      <c r="F26" s="2824"/>
      <c r="G26" s="2774"/>
      <c r="H26" s="2774"/>
      <c r="I26" s="2774"/>
      <c r="J26" s="2825"/>
      <c r="K26" s="1369"/>
      <c r="L26" s="2778" t="s">
        <v>2810</v>
      </c>
      <c r="M26" s="920" t="s">
        <v>2875</v>
      </c>
      <c r="N26" s="920" t="s">
        <v>2876</v>
      </c>
      <c r="O26" s="920" t="s">
        <v>2877</v>
      </c>
      <c r="P26" s="2779" t="s">
        <v>2878</v>
      </c>
      <c r="R26" s="1375"/>
      <c r="S26" s="1375"/>
      <c r="T26" s="1370"/>
      <c r="U26" s="1370"/>
      <c r="V26" s="1370"/>
      <c r="W26" s="1369"/>
      <c r="X26" s="1369"/>
      <c r="Y26" s="1369"/>
      <c r="Z26" s="1376"/>
      <c r="AA26" s="1377"/>
      <c r="AB26" s="1377"/>
      <c r="AC26" s="1377"/>
      <c r="AD26" s="1377"/>
    </row>
    <row r="27" spans="1:37" ht="15.75" thickBot="1">
      <c r="A27" s="2822"/>
      <c r="B27" s="2826" t="s">
        <v>2913</v>
      </c>
      <c r="C27" s="931" t="e">
        <f>E30+SUM(I33:I39)</f>
        <v>#DIV/0!</v>
      </c>
      <c r="D27" s="2827"/>
      <c r="E27" s="2828"/>
      <c r="F27" s="2829"/>
      <c r="G27" s="2828"/>
      <c r="H27" s="2828"/>
      <c r="I27" s="2828"/>
      <c r="J27" s="2830"/>
      <c r="K27" s="1369"/>
      <c r="L27" s="2782" t="s">
        <v>2882</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2914</v>
      </c>
      <c r="C28" s="2833" t="s">
        <v>2915</v>
      </c>
      <c r="D28" s="2833" t="s">
        <v>2916</v>
      </c>
      <c r="E28" s="2834" t="s">
        <v>2917</v>
      </c>
      <c r="F28" s="2835"/>
      <c r="G28" s="2762"/>
      <c r="H28" s="2762"/>
      <c r="I28" s="2762"/>
      <c r="J28" s="2763"/>
      <c r="K28" s="1369"/>
      <c r="L28" s="2783" t="s">
        <v>2885</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2918</v>
      </c>
      <c r="C29" s="206" t="e">
        <f>ROUND(C5*C18*C19*C20*C21*C24,0)</f>
        <v>#DIV/0!</v>
      </c>
      <c r="D29" s="2838"/>
      <c r="E29" s="942" t="e">
        <f>ROUND(C29*D29/10000,0)</f>
        <v>#DIV/0!</v>
      </c>
      <c r="F29" s="2839" t="s">
        <v>2919</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2920</v>
      </c>
      <c r="C30" s="229" t="e">
        <f>ROUND(IF(E2="工业",C29*M39,C29*M38),0)</f>
        <v>#DIV/0!</v>
      </c>
      <c r="D30" s="2844"/>
      <c r="E30" s="942" t="e">
        <f>ROUND(C30*D30/10000,0)</f>
        <v>#DIV/0!</v>
      </c>
      <c r="F30" s="2845" t="s">
        <v>2921</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2922</v>
      </c>
      <c r="C31" s="2850" t="s">
        <v>2923</v>
      </c>
      <c r="D31" s="2762"/>
      <c r="E31" s="2850"/>
      <c r="F31" s="2850"/>
      <c r="G31" s="2760" t="s">
        <v>2924</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1" t="s">
        <v>2915</v>
      </c>
      <c r="D32" s="498" t="s">
        <v>2916</v>
      </c>
      <c r="E32" s="498" t="s">
        <v>2917</v>
      </c>
      <c r="F32" s="388" t="s">
        <v>2925</v>
      </c>
      <c r="G32" s="2853" t="s">
        <v>2915</v>
      </c>
      <c r="H32" s="2853" t="s">
        <v>2916</v>
      </c>
      <c r="I32" s="2853"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48" t="s">
        <v>2926</v>
      </c>
      <c r="B33" s="2854" t="s">
        <v>2927</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9"/>
      <c r="B34" s="2766" t="s">
        <v>2928</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9"/>
      <c r="B35" s="2766" t="s">
        <v>2929</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50"/>
      <c r="B36" s="2766" t="s">
        <v>2930</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2931</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9"/>
      <c r="L37" s="2857" t="s">
        <v>2932</v>
      </c>
      <c r="M37" s="2858"/>
      <c r="N37" s="1369"/>
      <c r="O37" s="1369"/>
      <c r="P37" s="1369"/>
      <c r="Q37" s="1369"/>
      <c r="R37" s="1369"/>
      <c r="S37" s="1369"/>
      <c r="T37" s="1369"/>
      <c r="U37" s="1369"/>
      <c r="V37" s="1369"/>
      <c r="W37" s="1369"/>
      <c r="X37" s="1369"/>
      <c r="Y37" s="1369"/>
      <c r="Z37" s="1370"/>
    </row>
    <row r="38" spans="1:37">
      <c r="A38" s="2856"/>
      <c r="B38" s="2766" t="s">
        <v>2933</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9"/>
      <c r="L38" s="1886" t="s">
        <v>2934</v>
      </c>
      <c r="M38" s="2859">
        <v>0.25</v>
      </c>
      <c r="N38" s="1369"/>
      <c r="O38" s="1369"/>
      <c r="P38" s="1369"/>
      <c r="Q38" s="1369"/>
      <c r="R38" s="1369"/>
      <c r="S38" s="1369"/>
      <c r="T38" s="1369"/>
      <c r="U38" s="1369"/>
      <c r="V38" s="1369"/>
      <c r="W38" s="1369"/>
      <c r="X38" s="1369"/>
      <c r="Y38" s="1369"/>
      <c r="Z38" s="1370"/>
    </row>
    <row r="39" spans="1:37" ht="13.5" thickBot="1">
      <c r="A39" s="2842"/>
      <c r="B39" s="2860" t="s">
        <v>2935</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69"/>
      <c r="L39" s="2862" t="s">
        <v>2878</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3046</v>
      </c>
      <c r="C41" s="388" t="e">
        <f>ROUND(POWER(1+E41,H41-G41)*(POWER(1+E41,G41)-1)/(POWER(1+E41,H41)-1),4)</f>
        <v>#DIV/0!</v>
      </c>
      <c r="D41" s="200" t="s">
        <v>2885</v>
      </c>
      <c r="E41" s="2930">
        <f>G20</f>
        <v>0</v>
      </c>
      <c r="F41" s="200" t="s">
        <v>2894</v>
      </c>
      <c r="G41" s="218"/>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2936</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2937</v>
      </c>
      <c r="B46" s="2868">
        <f>1+E48</f>
        <v>1</v>
      </c>
      <c r="C46" s="2869"/>
      <c r="D46" s="814"/>
      <c r="E46" s="815"/>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2938</v>
      </c>
      <c r="B47" s="1808" t="s">
        <v>2939</v>
      </c>
      <c r="C47" s="1808" t="s">
        <v>2940</v>
      </c>
      <c r="D47" s="1808" t="s">
        <v>2941</v>
      </c>
      <c r="E47" s="819" t="s">
        <v>2942</v>
      </c>
      <c r="F47" s="2872" t="s">
        <v>2943</v>
      </c>
      <c r="G47" s="1808" t="s">
        <v>754</v>
      </c>
      <c r="H47" s="2873" t="s">
        <v>2944</v>
      </c>
      <c r="I47" s="1808" t="s">
        <v>2945</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71" t="s">
        <v>2946</v>
      </c>
      <c r="B48" s="2874" t="str">
        <f>估价对象房地状况!C4</f>
        <v>估价对象位于XX商圈，周边商业氛围成熟，人流量大，商业繁华度好</v>
      </c>
      <c r="C48" s="2771"/>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2947</v>
      </c>
      <c r="B49" s="2875" t="str">
        <f>估价对象房地状况!C18</f>
        <v>估价对象周边道路状况、公共交通通达情况、停车便捷程度，综合评价交通便捷度较好</v>
      </c>
      <c r="C49" s="2771"/>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2948</v>
      </c>
      <c r="B50" s="2875">
        <f>估价对象房地状况!C19</f>
        <v>0</v>
      </c>
      <c r="C50" s="2771"/>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2949</v>
      </c>
      <c r="B51" s="2876" t="s">
        <v>2950</v>
      </c>
      <c r="C51" s="2771"/>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2951</v>
      </c>
      <c r="B52" s="2875">
        <f>估价对象房地状况!C24</f>
        <v>0</v>
      </c>
      <c r="C52" s="2771"/>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2952</v>
      </c>
      <c r="B53" s="2877" t="s">
        <v>2953</v>
      </c>
      <c r="C53" s="2771"/>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2954</v>
      </c>
      <c r="B54" s="1724" t="str">
        <f>估价对象房地状况!C21</f>
        <v>估价对象所在区域公共配套设施齐备情况</v>
      </c>
      <c r="C54" s="2771"/>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2955</v>
      </c>
      <c r="B55" s="2875" t="str">
        <f>估价对象房地状况!C22</f>
        <v>估价对象所在区域基础设施水平</v>
      </c>
      <c r="C55" s="2771"/>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2956</v>
      </c>
      <c r="B56" s="2880" t="str">
        <f>估价对象房地状况!C20</f>
        <v>区域自然环境：；人文环境；综合评价环境状况一般</v>
      </c>
      <c r="C56" s="2771"/>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2957</v>
      </c>
      <c r="B57" s="2868">
        <f>1+E59</f>
        <v>1</v>
      </c>
      <c r="C57" s="814"/>
      <c r="D57" s="814"/>
      <c r="E57" s="815"/>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2938</v>
      </c>
      <c r="B58" s="1808"/>
      <c r="C58" s="1808" t="s">
        <v>2940</v>
      </c>
      <c r="D58" s="1808" t="s">
        <v>2941</v>
      </c>
      <c r="E58" s="819" t="s">
        <v>2942</v>
      </c>
      <c r="F58" s="2872" t="s">
        <v>2958</v>
      </c>
      <c r="G58" s="1808" t="s">
        <v>754</v>
      </c>
      <c r="H58" s="2873" t="s">
        <v>2944</v>
      </c>
      <c r="I58" s="1808" t="s">
        <v>2945</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71" t="s">
        <v>2959</v>
      </c>
      <c r="B59" s="2874" t="str">
        <f>估价对象房地状况!C17</f>
        <v>估价对象位于XX商圈，周边办公楼项目较多，入驻率高，办公集聚程度较好</v>
      </c>
      <c r="C59" s="2771"/>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2947</v>
      </c>
      <c r="B60" s="2875" t="str">
        <f>估价对象房地状况!C18</f>
        <v>估价对象周边道路状况、公共交通通达情况、停车便捷程度，综合评价交通便捷度较好</v>
      </c>
      <c r="C60" s="2771"/>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2948</v>
      </c>
      <c r="B61" s="2875">
        <f>估价对象房地状况!C19</f>
        <v>0</v>
      </c>
      <c r="C61" s="2771"/>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2949</v>
      </c>
      <c r="B62" s="2876" t="s">
        <v>2950</v>
      </c>
      <c r="C62" s="2771"/>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2951</v>
      </c>
      <c r="B63" s="2875">
        <f>估价对象房地状况!C24</f>
        <v>0</v>
      </c>
      <c r="C63" s="2771"/>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2952</v>
      </c>
      <c r="B64" s="2877" t="s">
        <v>2953</v>
      </c>
      <c r="C64" s="2771"/>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2954</v>
      </c>
      <c r="B65" s="1724" t="str">
        <f>估价对象房地状况!C21</f>
        <v>估价对象所在区域公共配套设施齐备情况</v>
      </c>
      <c r="C65" s="2771"/>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2955</v>
      </c>
      <c r="B66" s="1724" t="str">
        <f>估价对象房地状况!C22</f>
        <v>估价对象所在区域基础设施水平</v>
      </c>
      <c r="C66" s="2771"/>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2956</v>
      </c>
      <c r="B67" s="2881" t="str">
        <f>估价对象房地状况!C20</f>
        <v>区域自然环境：；人文环境；综合评价环境状况一般</v>
      </c>
      <c r="C67" s="2771"/>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2960</v>
      </c>
      <c r="B68" s="2868">
        <f>1+E70</f>
        <v>1</v>
      </c>
      <c r="C68" s="814"/>
      <c r="D68" s="814"/>
      <c r="E68" s="815"/>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2938</v>
      </c>
      <c r="B69" s="1808"/>
      <c r="C69" s="1808" t="s">
        <v>2940</v>
      </c>
      <c r="D69" s="1808" t="s">
        <v>2941</v>
      </c>
      <c r="E69" s="819" t="s">
        <v>2942</v>
      </c>
      <c r="F69" s="2872" t="s">
        <v>2958</v>
      </c>
      <c r="G69" s="1808" t="s">
        <v>754</v>
      </c>
      <c r="H69" s="2873" t="s">
        <v>2944</v>
      </c>
      <c r="I69" s="1808" t="s">
        <v>2945</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71" t="s">
        <v>2961</v>
      </c>
      <c r="B70" s="2874" t="str">
        <f>估价对象房地状况!C15</f>
        <v>估价对象周边居住用地比例、居住小区规模和社区发展完善程度，综合评价居住社区成熟度一般</v>
      </c>
      <c r="C70" s="2771"/>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2947</v>
      </c>
      <c r="B71" s="2875" t="str">
        <f>估价对象房地状况!C18</f>
        <v>估价对象周边道路状况、公共交通通达情况、停车便捷程度，综合评价交通便捷度较好</v>
      </c>
      <c r="C71" s="2771"/>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2948</v>
      </c>
      <c r="B72" s="2875">
        <f>估价对象房地状况!C19</f>
        <v>0</v>
      </c>
      <c r="C72" s="2771"/>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2962</v>
      </c>
      <c r="B73" s="2875">
        <f>估价对象房地状况!C24</f>
        <v>0</v>
      </c>
      <c r="C73" s="2771"/>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2954</v>
      </c>
      <c r="B74" s="1724" t="str">
        <f>估价对象房地状况!C21</f>
        <v>估价对象所在区域公共配套设施齐备情况</v>
      </c>
      <c r="C74" s="2771"/>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2955</v>
      </c>
      <c r="B75" s="1724" t="str">
        <f>估价对象房地状况!C22</f>
        <v>估价对象所在区域基础设施水平</v>
      </c>
      <c r="C75" s="2771"/>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2952</v>
      </c>
      <c r="B76" s="2877" t="s">
        <v>2953</v>
      </c>
      <c r="C76" s="2771"/>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2956</v>
      </c>
      <c r="B77" s="2874" t="str">
        <f>估价对象房地状况!C20</f>
        <v>区域自然环境：；人文环境；综合评价环境状况一般</v>
      </c>
      <c r="C77" s="2771"/>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1"/>
      <c r="AA77" s="2789"/>
      <c r="AG77" s="1371"/>
      <c r="AK77" s="2789"/>
    </row>
    <row r="78" spans="1:37" ht="24.75" thickBot="1">
      <c r="A78" s="2879" t="s">
        <v>2963</v>
      </c>
      <c r="B78" s="2883"/>
      <c r="C78" s="2771"/>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1"/>
      <c r="AA78" s="2789"/>
      <c r="AG78" s="1371"/>
      <c r="AK78" s="2789"/>
    </row>
    <row r="79" spans="1:37" ht="15">
      <c r="A79" s="2867" t="s">
        <v>2964</v>
      </c>
      <c r="B79" s="2868">
        <f>1+E81</f>
        <v>1</v>
      </c>
      <c r="C79" s="814"/>
      <c r="D79" s="814"/>
      <c r="E79" s="815"/>
      <c r="F79" s="2870"/>
      <c r="G79" s="6"/>
      <c r="H79" s="6"/>
      <c r="I79" s="6"/>
      <c r="J79" s="7"/>
      <c r="K79" s="7"/>
      <c r="L79" s="7"/>
      <c r="M79" s="7"/>
      <c r="N79" s="7"/>
      <c r="Z79" s="2721"/>
      <c r="AA79" s="2789"/>
      <c r="AG79" s="1371"/>
      <c r="AK79" s="2789"/>
    </row>
    <row r="80" spans="1:37" ht="24.75">
      <c r="A80" s="2871" t="s">
        <v>2938</v>
      </c>
      <c r="B80" s="1808"/>
      <c r="C80" s="1808" t="s">
        <v>2940</v>
      </c>
      <c r="D80" s="1808" t="s">
        <v>2941</v>
      </c>
      <c r="E80" s="819" t="s">
        <v>2942</v>
      </c>
      <c r="F80" s="2872" t="s">
        <v>2958</v>
      </c>
      <c r="G80" s="1808" t="s">
        <v>754</v>
      </c>
      <c r="H80" s="2873" t="s">
        <v>2944</v>
      </c>
      <c r="I80" s="1808" t="s">
        <v>2945</v>
      </c>
      <c r="J80" s="603" t="s">
        <v>2594</v>
      </c>
      <c r="K80" s="603" t="s">
        <v>2595</v>
      </c>
      <c r="L80" s="603" t="s">
        <v>2596</v>
      </c>
      <c r="M80" s="603" t="s">
        <v>2597</v>
      </c>
      <c r="N80" s="603" t="s">
        <v>2598</v>
      </c>
      <c r="Z80" s="2721"/>
      <c r="AA80" s="2789"/>
      <c r="AG80" s="1371"/>
      <c r="AK80" s="2789"/>
    </row>
    <row r="81" spans="1:37" ht="38.25">
      <c r="A81" s="2871" t="s">
        <v>2965</v>
      </c>
      <c r="B81" s="2875" t="str">
        <f>估价对象房地状况!G15</f>
        <v>估价对象位于XX开发区，园区建设成熟度XX，产业集聚程度XX</v>
      </c>
      <c r="C81" s="2771"/>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2947</v>
      </c>
      <c r="B82" s="2875" t="str">
        <f>估价对象房地状况!G16</f>
        <v>估价对象周边道路状况、公共交通通达情况、停车便捷程度，综合评价交通便捷度较好</v>
      </c>
      <c r="C82" s="2771"/>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1"/>
      <c r="AA82" s="2789"/>
      <c r="AG82" s="1371"/>
      <c r="AK82" s="2789"/>
    </row>
    <row r="83" spans="1:37" ht="24">
      <c r="A83" s="2871" t="s">
        <v>2948</v>
      </c>
      <c r="B83" s="2875">
        <f>估价对象房地状况!G17</f>
        <v>0</v>
      </c>
      <c r="C83" s="2771"/>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1"/>
      <c r="AA83" s="2789"/>
      <c r="AG83" s="1371"/>
      <c r="AK83" s="2789"/>
    </row>
    <row r="84" spans="1:37" ht="14.25">
      <c r="A84" s="2871" t="s">
        <v>2962</v>
      </c>
      <c r="B84" s="2875">
        <f>估价对象房地状况!G22</f>
        <v>0</v>
      </c>
      <c r="C84" s="2771"/>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1"/>
      <c r="AA84" s="2789"/>
      <c r="AG84" s="1371"/>
      <c r="AK84" s="2789"/>
    </row>
    <row r="85" spans="1:37" ht="25.5">
      <c r="A85" s="2871" t="s">
        <v>2954</v>
      </c>
      <c r="B85" s="1724" t="str">
        <f>估价对象房地状况!G19</f>
        <v>估价对象所在区域公共配套设施齐备情况</v>
      </c>
      <c r="C85" s="2771"/>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1"/>
      <c r="AA85" s="2789"/>
      <c r="AG85" s="1371"/>
      <c r="AK85" s="2789"/>
    </row>
    <row r="86" spans="1:37" ht="25.5">
      <c r="A86" s="2871" t="s">
        <v>2955</v>
      </c>
      <c r="B86" s="1724" t="str">
        <f>估价对象房地状况!G20</f>
        <v>估价对象所在区域基础设施水平</v>
      </c>
      <c r="C86" s="2771"/>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1"/>
      <c r="AA86" s="2789"/>
      <c r="AG86" s="1371"/>
      <c r="AK86" s="2789"/>
    </row>
    <row r="87" spans="1:37" ht="24">
      <c r="A87" s="2871" t="s">
        <v>2952</v>
      </c>
      <c r="B87" s="2877" t="s">
        <v>2966</v>
      </c>
      <c r="C87" s="2771"/>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1"/>
      <c r="AA87" s="2789"/>
      <c r="AG87" s="1371"/>
      <c r="AK87" s="2789"/>
    </row>
    <row r="88" spans="1:37" ht="39" thickBot="1">
      <c r="A88" s="2879" t="s">
        <v>2967</v>
      </c>
      <c r="B88" s="2884" t="str">
        <f>估价对象房地状况!G18</f>
        <v>该园区内是否有污染型企业，绿化情况，卫生条件，整体环境状况判断</v>
      </c>
      <c r="C88" s="2771"/>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1"/>
      <c r="AA88" s="2789"/>
      <c r="AG88" s="1371"/>
      <c r="AK88" s="2789"/>
    </row>
    <row r="90" spans="1:37">
      <c r="A90" s="3242" t="s">
        <v>2968</v>
      </c>
      <c r="B90" s="3242"/>
      <c r="C90" s="3242"/>
      <c r="D90" s="3242"/>
      <c r="E90" s="3242"/>
      <c r="F90" s="3242"/>
      <c r="G90" s="3242"/>
      <c r="H90" s="3242"/>
      <c r="I90" s="3242"/>
      <c r="J90" s="3242"/>
      <c r="K90" s="2885"/>
      <c r="L90" s="2885"/>
      <c r="M90" s="2885"/>
      <c r="N90" s="2885"/>
    </row>
    <row r="91" spans="1:37">
      <c r="A91" s="3244" t="s">
        <v>2969</v>
      </c>
      <c r="B91" s="3244" t="s">
        <v>2970</v>
      </c>
      <c r="C91" s="2839" t="s">
        <v>2971</v>
      </c>
      <c r="D91" s="2840"/>
      <c r="E91" s="2840"/>
      <c r="F91" s="2840"/>
      <c r="G91" s="2840"/>
      <c r="H91" s="2840"/>
      <c r="I91" s="2840"/>
      <c r="J91" s="2886"/>
      <c r="K91" s="2887"/>
      <c r="L91" s="2887"/>
      <c r="M91" s="2887"/>
      <c r="N91" s="2887"/>
    </row>
    <row r="92" spans="1:37">
      <c r="A92" s="3244"/>
      <c r="B92" s="3244"/>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45"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4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4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4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4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4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46"/>
      <c r="B99" s="2888" t="s">
        <v>2853</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4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45" t="s">
        <v>2973</v>
      </c>
      <c r="B101" s="2892" t="s">
        <v>2974</v>
      </c>
      <c r="C101" s="2893" t="e">
        <f>$G$3</f>
        <v>#DIV/0!</v>
      </c>
      <c r="D101" s="2893" t="e">
        <f t="shared" ref="D101:N101" si="31">$G$3</f>
        <v>#DIV/0!</v>
      </c>
      <c r="E101" s="2893" t="e">
        <f t="shared" si="31"/>
        <v>#DIV/0!</v>
      </c>
      <c r="F101" s="2893" t="e">
        <f t="shared" si="31"/>
        <v>#DIV/0!</v>
      </c>
      <c r="G101" s="2893" t="e">
        <f t="shared" si="31"/>
        <v>#DIV/0!</v>
      </c>
      <c r="H101" s="2893" t="e">
        <f t="shared" si="31"/>
        <v>#DIV/0!</v>
      </c>
      <c r="I101" s="2893" t="e">
        <f t="shared" si="31"/>
        <v>#DIV/0!</v>
      </c>
      <c r="J101" s="2893" t="e">
        <f t="shared" si="31"/>
        <v>#DIV/0!</v>
      </c>
      <c r="K101" s="2893" t="e">
        <f t="shared" si="31"/>
        <v>#DIV/0!</v>
      </c>
      <c r="L101" s="2893" t="e">
        <f t="shared" si="31"/>
        <v>#DIV/0!</v>
      </c>
      <c r="M101" s="2893" t="e">
        <f t="shared" si="31"/>
        <v>#DIV/0!</v>
      </c>
      <c r="N101" s="2893" t="e">
        <f t="shared" si="31"/>
        <v>#DIV/0!</v>
      </c>
    </row>
    <row r="102" spans="1:14">
      <c r="A102" s="3246"/>
      <c r="B102" s="2888">
        <v>1</v>
      </c>
      <c r="C102" s="2889" t="e">
        <f>1.9362/C101</f>
        <v>#DIV/0!</v>
      </c>
      <c r="D102" s="2889" t="e">
        <f>1.9362/D101</f>
        <v>#DIV/0!</v>
      </c>
      <c r="E102" s="2889" t="e">
        <f>1.8629/E101</f>
        <v>#DIV/0!</v>
      </c>
      <c r="F102" s="2889" t="e">
        <f>1.8629/F101</f>
        <v>#DIV/0!</v>
      </c>
      <c r="G102" s="2889" t="e">
        <f>1.8629/G101</f>
        <v>#DIV/0!</v>
      </c>
      <c r="H102" s="2889" t="e">
        <f>1.8629/H101</f>
        <v>#DIV/0!</v>
      </c>
      <c r="I102" s="2889" t="e">
        <f>1.8629/I101</f>
        <v>#DIV/0!</v>
      </c>
      <c r="J102" s="2889" t="e">
        <f>1.942/J101</f>
        <v>#DIV/0!</v>
      </c>
      <c r="K102" s="2889" t="e">
        <f>1.942/K101</f>
        <v>#DIV/0!</v>
      </c>
      <c r="L102" s="2889" t="e">
        <f>1.942/L101</f>
        <v>#DIV/0!</v>
      </c>
      <c r="M102" s="2889" t="e">
        <f>1.942/M101</f>
        <v>#DIV/0!</v>
      </c>
      <c r="N102" s="2889" t="e">
        <f>1.942/N101</f>
        <v>#DIV/0!</v>
      </c>
    </row>
    <row r="103" spans="1:14">
      <c r="A103" s="3246"/>
      <c r="B103" s="2888">
        <v>2</v>
      </c>
      <c r="C103" s="2889" t="e">
        <f>1.4198/C101</f>
        <v>#DIV/0!</v>
      </c>
      <c r="D103" s="2889" t="e">
        <f>1.4198/D101</f>
        <v>#DIV/0!</v>
      </c>
      <c r="E103" s="2889" t="e">
        <f>1.3372/E101</f>
        <v>#DIV/0!</v>
      </c>
      <c r="F103" s="2889" t="e">
        <f>1.3372/F101</f>
        <v>#DIV/0!</v>
      </c>
      <c r="G103" s="2889" t="e">
        <f>1.3372/G101</f>
        <v>#DIV/0!</v>
      </c>
      <c r="H103" s="2889" t="e">
        <f>1.3372/H101</f>
        <v>#DIV/0!</v>
      </c>
      <c r="I103" s="2889" t="e">
        <f>1.3372/I101</f>
        <v>#DIV/0!</v>
      </c>
      <c r="J103" s="2889" t="e">
        <f>1.2799/J101</f>
        <v>#DIV/0!</v>
      </c>
      <c r="K103" s="2889" t="e">
        <f>1.2799/K101</f>
        <v>#DIV/0!</v>
      </c>
      <c r="L103" s="2889" t="e">
        <f>1.2799/L101</f>
        <v>#DIV/0!</v>
      </c>
      <c r="M103" s="2889" t="e">
        <f>1.2799/M101</f>
        <v>#DIV/0!</v>
      </c>
      <c r="N103" s="2889" t="e">
        <f>1.2799/N101</f>
        <v>#DIV/0!</v>
      </c>
    </row>
    <row r="104" spans="1:14">
      <c r="A104" s="3246"/>
      <c r="B104" s="2888">
        <v>3</v>
      </c>
      <c r="C104" s="2889" t="e">
        <f>1.1594/C101</f>
        <v>#DIV/0!</v>
      </c>
      <c r="D104" s="2889" t="e">
        <f>1.1594/D101</f>
        <v>#DIV/0!</v>
      </c>
      <c r="E104" s="2889" t="e">
        <f>1.0788/E101</f>
        <v>#DIV/0!</v>
      </c>
      <c r="F104" s="2889" t="e">
        <f>1.0788/F101</f>
        <v>#DIV/0!</v>
      </c>
      <c r="G104" s="2889" t="e">
        <f>1.0788/G101</f>
        <v>#DIV/0!</v>
      </c>
      <c r="H104" s="2889" t="e">
        <f>1.0788/H101</f>
        <v>#DIV/0!</v>
      </c>
      <c r="I104" s="2889" t="e">
        <f>1.0788/I101</f>
        <v>#DIV/0!</v>
      </c>
      <c r="J104" s="2889" t="e">
        <f>1.0072/J101</f>
        <v>#DIV/0!</v>
      </c>
      <c r="K104" s="2889" t="e">
        <f>1.0072/K101</f>
        <v>#DIV/0!</v>
      </c>
      <c r="L104" s="2889" t="e">
        <f>1.0072/L101</f>
        <v>#DIV/0!</v>
      </c>
      <c r="M104" s="2889" t="e">
        <f>1.0072/M101</f>
        <v>#DIV/0!</v>
      </c>
      <c r="N104" s="2889" t="e">
        <f>1.0072/N101</f>
        <v>#DIV/0!</v>
      </c>
    </row>
    <row r="105" spans="1:14">
      <c r="A105" s="3246"/>
      <c r="B105" s="2888">
        <v>4</v>
      </c>
      <c r="C105" s="2889" t="e">
        <f>0.9622/C101</f>
        <v>#DIV/0!</v>
      </c>
      <c r="D105" s="2889" t="e">
        <f>0.9622/D101</f>
        <v>#DIV/0!</v>
      </c>
      <c r="E105" s="2889" t="e">
        <f>0.8656/E101</f>
        <v>#DIV/0!</v>
      </c>
      <c r="F105" s="2889" t="e">
        <f>0.8656/F101</f>
        <v>#DIV/0!</v>
      </c>
      <c r="G105" s="2889" t="e">
        <f>0.8656/G101</f>
        <v>#DIV/0!</v>
      </c>
      <c r="H105" s="2889" t="e">
        <f>0.8656/H101</f>
        <v>#DIV/0!</v>
      </c>
      <c r="I105" s="2889" t="e">
        <f>0.8656/I101</f>
        <v>#DIV/0!</v>
      </c>
      <c r="J105" s="2889" t="e">
        <f>0.7525/J101</f>
        <v>#DIV/0!</v>
      </c>
      <c r="K105" s="2889" t="e">
        <f>0.7525/K101</f>
        <v>#DIV/0!</v>
      </c>
      <c r="L105" s="2889" t="e">
        <f>0.7525/L101</f>
        <v>#DIV/0!</v>
      </c>
      <c r="M105" s="2889" t="e">
        <f>0.7525/M101</f>
        <v>#DIV/0!</v>
      </c>
      <c r="N105" s="2889" t="e">
        <f>0.7525/N101</f>
        <v>#DIV/0!</v>
      </c>
    </row>
    <row r="106" spans="1:14">
      <c r="A106" s="3246"/>
      <c r="B106" s="2888">
        <v>5</v>
      </c>
      <c r="C106" s="2889" t="e">
        <f>0.8417/C101</f>
        <v>#DIV/0!</v>
      </c>
      <c r="D106" s="2889" t="e">
        <f>0.8417/D101</f>
        <v>#DIV/0!</v>
      </c>
      <c r="E106" s="2889" t="e">
        <f>0.7371/E101</f>
        <v>#DIV/0!</v>
      </c>
      <c r="F106" s="2889" t="e">
        <f>0.7371/F101</f>
        <v>#DIV/0!</v>
      </c>
      <c r="G106" s="2889" t="e">
        <f>0.7371/G101</f>
        <v>#DIV/0!</v>
      </c>
      <c r="H106" s="2889" t="e">
        <f>0.7371/H101</f>
        <v>#DIV/0!</v>
      </c>
      <c r="I106" s="2889" t="e">
        <f>0.7371/I101</f>
        <v>#DIV/0!</v>
      </c>
      <c r="J106" s="2889" t="e">
        <f>0.5659/J101</f>
        <v>#DIV/0!</v>
      </c>
      <c r="K106" s="2889" t="e">
        <f>0.5659/K101</f>
        <v>#DIV/0!</v>
      </c>
      <c r="L106" s="2889" t="e">
        <f>0.5659/L101</f>
        <v>#DIV/0!</v>
      </c>
      <c r="M106" s="2889" t="e">
        <f>0.5659/M101</f>
        <v>#DIV/0!</v>
      </c>
      <c r="N106" s="2889" t="e">
        <f>0.5659/N101</f>
        <v>#DIV/0!</v>
      </c>
    </row>
    <row r="107" spans="1:14">
      <c r="A107" s="3246"/>
      <c r="B107" s="2888">
        <v>6</v>
      </c>
      <c r="C107" s="2889" t="e">
        <f>0.7608/C101</f>
        <v>#DIV/0!</v>
      </c>
      <c r="D107" s="2889" t="e">
        <f>0.7608/D101</f>
        <v>#DIV/0!</v>
      </c>
      <c r="E107" s="2889" t="e">
        <f>0.6482/E101</f>
        <v>#DIV/0!</v>
      </c>
      <c r="F107" s="2889" t="e">
        <f>0.6482/F101</f>
        <v>#DIV/0!</v>
      </c>
      <c r="G107" s="2889" t="e">
        <f>0.6482/G101</f>
        <v>#DIV/0!</v>
      </c>
      <c r="H107" s="2889" t="e">
        <f>0.6482/H101</f>
        <v>#DIV/0!</v>
      </c>
      <c r="I107" s="2889" t="e">
        <f>0.6482/I101</f>
        <v>#DIV/0!</v>
      </c>
      <c r="J107" s="2889" t="e">
        <f>0.4525/J101</f>
        <v>#DIV/0!</v>
      </c>
      <c r="K107" s="2889" t="e">
        <f>0.4525/K101</f>
        <v>#DIV/0!</v>
      </c>
      <c r="L107" s="2889" t="e">
        <f>0.4525/L101</f>
        <v>#DIV/0!</v>
      </c>
      <c r="M107" s="2889" t="e">
        <f>0.4525/M101</f>
        <v>#DIV/0!</v>
      </c>
      <c r="N107" s="2889" t="e">
        <f>0.4525/N101</f>
        <v>#DIV/0!</v>
      </c>
    </row>
    <row r="108" spans="1:14">
      <c r="A108" s="3246"/>
      <c r="B108" s="3074" t="s">
        <v>2975</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47"/>
      <c r="B109" s="3075"/>
      <c r="C109" s="2891" t="e">
        <f>(-0.163*(C108^2)-0.59*C108+7617)*(10^(-4))/C101</f>
        <v>#DIV/0!</v>
      </c>
      <c r="D109" s="2891" t="e">
        <f>(-0.163*(D108^2)-0.59*D108+7617)*(10^(-4))/D101</f>
        <v>#DIV/0!</v>
      </c>
      <c r="E109" s="2891" t="e">
        <f>(-0.161*(E108^2)-7.509*E108+6533)*(10^(-4))/E101</f>
        <v>#DIV/0!</v>
      </c>
      <c r="F109" s="2891" t="e">
        <f>(-0.161*(F108^2)-7.509*F108+6533)*(10^(-4))/F101</f>
        <v>#DIV/0!</v>
      </c>
      <c r="G109" s="2891" t="e">
        <f>(-0.161*(G108^2)-7.509*G108+6533)*(10^(-4))/G101</f>
        <v>#DIV/0!</v>
      </c>
      <c r="H109" s="2891" t="e">
        <f>(-0.161*(H108^2)-7.509*H108+6533)*(10^(-4))/H101</f>
        <v>#DIV/0!</v>
      </c>
      <c r="I109" s="2891" t="e">
        <f>(-0.161*(I108^2)-7.509*I108+6533)*(10^(-4))/I101</f>
        <v>#DIV/0!</v>
      </c>
      <c r="J109" s="2891" t="e">
        <f>(-0.214*(J108^2)-21.991*J108+4665)*(10^(-4))/J101</f>
        <v>#DIV/0!</v>
      </c>
      <c r="K109" s="2891" t="e">
        <f>(-0.214*(K108^2)-21.991*K108+4665)*(10^(-4))/K101</f>
        <v>#DIV/0!</v>
      </c>
      <c r="L109" s="2891" t="e">
        <f>(-0.214*(L108^2)-21.991*L108+4665)*(10^(-4))/L101</f>
        <v>#DIV/0!</v>
      </c>
      <c r="M109" s="2891" t="e">
        <f>(-0.214*(M108^2)-21.991*M108+4665)*(10^(-4))/M101</f>
        <v>#DIV/0!</v>
      </c>
      <c r="N109" s="2891" t="e">
        <f>(-0.214*(N108^2)-21.991*N108+4665)*(10^(-4))/N101</f>
        <v>#DIV/0!</v>
      </c>
    </row>
    <row r="110" spans="1:14">
      <c r="A110" s="3243" t="s">
        <v>2976</v>
      </c>
      <c r="B110" s="3243"/>
      <c r="C110" s="3243"/>
      <c r="D110" s="3243"/>
      <c r="E110" s="3243"/>
      <c r="F110" s="3243"/>
      <c r="G110" s="3243"/>
      <c r="H110" s="3243"/>
      <c r="I110" s="3243"/>
      <c r="J110" s="3243"/>
      <c r="K110" s="2894"/>
      <c r="L110" s="2894"/>
      <c r="M110" s="2894"/>
      <c r="N110" s="2894"/>
    </row>
    <row r="112" spans="1:14" ht="13.5" thickBot="1"/>
    <row r="113" spans="1:13" ht="25.5" thickBot="1">
      <c r="A113" s="903" t="s">
        <v>2977</v>
      </c>
      <c r="B113" s="1286" t="e">
        <f>G3</f>
        <v>#DIV/0!</v>
      </c>
      <c r="C113" s="904" t="s">
        <v>2978</v>
      </c>
      <c r="D113" s="905" t="e">
        <f>SUMPRODUCT((A115:A118=F113)*(B114:M114=H113)*B115:M118)</f>
        <v>#DIV/0!</v>
      </c>
      <c r="E113" s="2725" t="s">
        <v>2810</v>
      </c>
      <c r="F113" s="2896">
        <f>E2</f>
        <v>0</v>
      </c>
      <c r="G113" s="2725" t="s">
        <v>2811</v>
      </c>
      <c r="H113" s="2896">
        <f>G2</f>
        <v>0</v>
      </c>
      <c r="I113" s="2725"/>
      <c r="J113" s="2897"/>
      <c r="K113" s="2897"/>
      <c r="L113" s="2897"/>
      <c r="M113" s="2897"/>
    </row>
    <row r="114" spans="1:13">
      <c r="A114" s="908"/>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2999</v>
      </c>
    </row>
    <row r="2" spans="1:5" ht="15.75">
      <c r="A2" s="2903" t="s">
        <v>2991</v>
      </c>
      <c r="B2" s="2904" t="e">
        <f ca="1">SUMIF(B6:B13,"&lt;&gt;#ref!",B6:B13)</f>
        <v>#DIV/0!</v>
      </c>
      <c r="C2" s="2903" t="s">
        <v>2992</v>
      </c>
      <c r="D2" s="2903" t="s">
        <v>2993</v>
      </c>
      <c r="E2" s="2904">
        <f ca="1">SUMIF(E6:E13,"&lt;&gt;#ref!",E6:E13)</f>
        <v>0</v>
      </c>
    </row>
    <row r="3" spans="1:5" ht="15.75">
      <c r="A3" s="2903" t="s">
        <v>2994</v>
      </c>
      <c r="B3" s="2904" t="e">
        <f ca="1">ROUND(B2*10000/E2,0)</f>
        <v>#DIV/0!</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t="e">
        <f ca="1">SUMIF(INDIRECT("'"&amp;A6&amp;"'"&amp;"!A:A"),"总价",INDIRECT("'"&amp;A6&amp;"'"&amp;"!B:B"))</f>
        <v>#DIV/0!</v>
      </c>
      <c r="C6" s="2903" t="s">
        <v>2992</v>
      </c>
      <c r="D6" s="2905"/>
      <c r="E6" s="2576">
        <f ca="1">SUMIF(INDIRECT("'"&amp;A6&amp;"'"&amp;"!C:C"),"建筑面积",INDIRECT("'"&amp;A6&amp;"'"&amp;"!D:D"))</f>
        <v>0</v>
      </c>
    </row>
    <row r="7" spans="1:5" ht="15.75">
      <c r="A7" s="2908"/>
      <c r="B7" s="2904" t="e">
        <f ca="1">SUMIF(INDIRECT("'"&amp;A7&amp;"'"&amp;"!A:A"),"总价",INDIRECT("'"&amp;A7&amp;"'"&amp;"!B:B"))</f>
        <v>#REF!</v>
      </c>
      <c r="C7" s="2903" t="s">
        <v>2992</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76" t="e">
        <f t="shared" ca="1" si="0"/>
        <v>#REF!</v>
      </c>
    </row>
    <row r="9" spans="1:5" ht="15.75">
      <c r="A9" s="2908"/>
      <c r="B9" s="2904" t="e">
        <f t="shared" ca="1" si="1"/>
        <v>#REF!</v>
      </c>
      <c r="C9" s="2903" t="s">
        <v>2992</v>
      </c>
      <c r="D9" s="2905"/>
      <c r="E9" s="2576" t="e">
        <f t="shared" ca="1" si="0"/>
        <v>#REF!</v>
      </c>
    </row>
    <row r="10" spans="1:5" ht="15.75">
      <c r="A10" s="2908"/>
      <c r="B10" s="2904" t="e">
        <f t="shared" ca="1" si="1"/>
        <v>#REF!</v>
      </c>
      <c r="C10" s="2903" t="s">
        <v>2992</v>
      </c>
      <c r="D10" s="2905"/>
      <c r="E10" s="2576" t="e">
        <f t="shared" ca="1" si="0"/>
        <v>#REF!</v>
      </c>
    </row>
    <row r="11" spans="1:5" ht="15.75">
      <c r="A11" s="2908"/>
      <c r="B11" s="2904" t="e">
        <f t="shared" ca="1" si="1"/>
        <v>#REF!</v>
      </c>
      <c r="C11" s="2903" t="s">
        <v>2992</v>
      </c>
      <c r="D11" s="2905"/>
      <c r="E11" s="2576" t="e">
        <f t="shared" ca="1" si="0"/>
        <v>#REF!</v>
      </c>
    </row>
    <row r="12" spans="1:5" ht="15.75">
      <c r="A12" s="2908"/>
      <c r="B12" s="2904" t="e">
        <f t="shared" ca="1" si="1"/>
        <v>#REF!</v>
      </c>
      <c r="C12" s="2903" t="s">
        <v>2992</v>
      </c>
      <c r="D12" s="2905"/>
      <c r="E12" s="2576" t="e">
        <f t="shared" ca="1" si="0"/>
        <v>#REF!</v>
      </c>
    </row>
    <row r="13" spans="1:5" ht="15.75">
      <c r="A13" s="2908"/>
      <c r="B13" s="2904" t="e">
        <f t="shared" ca="1" si="1"/>
        <v>#REF!</v>
      </c>
      <c r="C13" s="2903" t="s">
        <v>2992</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69" t="s">
        <v>1146</v>
      </c>
      <c r="C1" s="3269"/>
      <c r="D1" s="3269"/>
      <c r="E1" s="3269"/>
      <c r="F1" s="3269"/>
      <c r="G1" s="3265" t="s">
        <v>1147</v>
      </c>
      <c r="H1" s="3265"/>
      <c r="I1" s="3265"/>
      <c r="J1" s="3265"/>
      <c r="K1" s="3265"/>
      <c r="L1" s="3265"/>
      <c r="N1" s="3265" t="s">
        <v>1148</v>
      </c>
      <c r="O1" s="3265"/>
      <c r="P1" s="3265"/>
      <c r="Q1" s="3265"/>
      <c r="R1" s="1445"/>
      <c r="S1" s="3265" t="s">
        <v>1149</v>
      </c>
      <c r="T1" s="3265"/>
      <c r="U1" s="3265"/>
      <c r="V1" s="3265"/>
      <c r="X1" s="3264" t="s">
        <v>1150</v>
      </c>
      <c r="Y1" s="3265"/>
      <c r="Z1" s="3265"/>
      <c r="AA1" s="3265"/>
      <c r="AB1" s="3265"/>
      <c r="AD1" s="3264" t="s">
        <v>1151</v>
      </c>
      <c r="AE1" s="3265"/>
      <c r="AF1" s="3265"/>
      <c r="AG1" s="3265"/>
      <c r="AH1" s="3265"/>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9" customFormat="1" ht="14.25">
      <c r="A3" s="2928" t="s">
        <v>3034</v>
      </c>
      <c r="B3" s="2920"/>
      <c r="C3" s="2920"/>
      <c r="D3" s="2921"/>
      <c r="E3" s="2921"/>
      <c r="F3" s="2920"/>
      <c r="G3" s="2922"/>
      <c r="H3" s="2923"/>
      <c r="I3" s="2924">
        <f>ROUND(AVERAGE($I4:$I28),2)</f>
        <v>1.98</v>
      </c>
      <c r="J3" s="2924">
        <f>ROUND(AVERAGE($J4:$J28),2)</f>
        <v>1.41</v>
      </c>
      <c r="K3" s="2924">
        <f>ROUND(AVERAGE($K4:$K28),2)</f>
        <v>2.16</v>
      </c>
      <c r="L3" s="2924">
        <f>ROUND(AVERAGE($L4:$L28),2)</f>
        <v>1.38</v>
      </c>
      <c r="N3" s="2922"/>
      <c r="O3" s="2925"/>
      <c r="P3" s="2925"/>
      <c r="Q3" s="2925"/>
      <c r="R3" s="2925"/>
      <c r="S3" s="2922"/>
      <c r="T3" s="2925"/>
      <c r="U3" s="2925"/>
      <c r="V3" s="2925"/>
      <c r="W3" s="2917"/>
      <c r="X3" s="2926">
        <f>ROUND(SUMPRODUCT(PRODUCT(1+N3:N$27)),4)</f>
        <v>1.5516000000000001</v>
      </c>
      <c r="Y3" s="2926">
        <f>ROUND(SUMPRODUCT(PRODUCT(1+O3:O$27)),4)</f>
        <v>1.3649</v>
      </c>
      <c r="Z3" s="2926">
        <f t="shared" ref="Z3:Z25" si="0">Y3</f>
        <v>1.3649</v>
      </c>
      <c r="AA3" s="2926">
        <f>ROUND(SUMPRODUCT(PRODUCT(1+P3:P$27)),4)</f>
        <v>1.6133999999999999</v>
      </c>
      <c r="AB3" s="2926">
        <f>ROUND(SUMPRODUCT(PRODUCT(1+Q3:Q$27)),4)</f>
        <v>1.3713</v>
      </c>
      <c r="AD3" s="2927">
        <f>ROUND(AVERAGE(I3:I$28)/100,4)</f>
        <v>1.9800000000000002E-2</v>
      </c>
      <c r="AE3" s="2927">
        <f>ROUND(AVERAGE(J3:J$28)/100,4)</f>
        <v>1.41E-2</v>
      </c>
      <c r="AF3" s="2927">
        <f t="shared" ref="AF3:AF26" si="1">AE3</f>
        <v>1.41E-2</v>
      </c>
      <c r="AG3" s="2927">
        <f>ROUND(AVERAGE(K3:K$28)/100,4)</f>
        <v>2.1600000000000001E-2</v>
      </c>
      <c r="AH3" s="2927">
        <f>ROUND(AVERAGE(L3:L$28)/100,4)</f>
        <v>1.38E-2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3052</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2019</v>
      </c>
      <c r="H5" s="1729">
        <v>4</v>
      </c>
      <c r="I5" s="2915">
        <v>0</v>
      </c>
      <c r="J5" s="2915">
        <v>0</v>
      </c>
      <c r="K5" s="2915">
        <v>0</v>
      </c>
      <c r="L5" s="2915">
        <v>0</v>
      </c>
      <c r="N5" s="1466">
        <f t="shared" ref="N5:N10" si="7">I5/100</f>
        <v>0</v>
      </c>
      <c r="O5" s="1466">
        <f t="shared" ref="O5" si="8">J5/100</f>
        <v>0</v>
      </c>
      <c r="P5" s="1466">
        <f t="shared" ref="P5" si="9">K5/100</f>
        <v>0</v>
      </c>
      <c r="Q5" s="1466">
        <f t="shared" ref="Q5" si="10">L5/100</f>
        <v>0</v>
      </c>
      <c r="R5" s="1731"/>
      <c r="S5" s="1732"/>
      <c r="T5" s="1731"/>
      <c r="U5" s="1731"/>
      <c r="V5" s="1731"/>
      <c r="W5" s="2918" t="s">
        <v>3035</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7">
        <f>ROUND(AVERAGE(I5:I$28)/100,4)</f>
        <v>1.9800000000000002E-2</v>
      </c>
      <c r="AE5" s="1467">
        <f>ROUND(AVERAGE(J5:J$28)/100,4)</f>
        <v>1.41E-2</v>
      </c>
      <c r="AF5" s="1467">
        <f t="shared" ref="AF5" si="12">AE5</f>
        <v>1.41E-2</v>
      </c>
      <c r="AG5" s="1467">
        <f>ROUND(AVERAGE(K5:K$28)/100,4)</f>
        <v>2.1600000000000001E-2</v>
      </c>
      <c r="AH5" s="1467">
        <f>ROUND(AVERAGE(L5:L$28)/100,4)</f>
        <v>1.38E-2</v>
      </c>
    </row>
    <row r="6" spans="1:34" s="1465" customFormat="1" ht="13.5" thickBot="1">
      <c r="A6" s="1460" t="s">
        <v>3051</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3</v>
      </c>
      <c r="I6" s="1463">
        <v>0.61</v>
      </c>
      <c r="J6" s="1463">
        <v>0.67</v>
      </c>
      <c r="K6" s="1463">
        <v>0.6</v>
      </c>
      <c r="L6" s="1477">
        <v>1.03</v>
      </c>
      <c r="M6" s="1470"/>
      <c r="N6" s="1471">
        <f t="shared" si="7"/>
        <v>6.0999999999999995E-3</v>
      </c>
      <c r="O6" s="1472">
        <f t="shared" ref="O6" si="18">J6/100</f>
        <v>6.7000000000000002E-3</v>
      </c>
      <c r="P6" s="1472">
        <f t="shared" ref="P6" si="19">K6/100</f>
        <v>6.0000000000000001E-3</v>
      </c>
      <c r="Q6" s="1472">
        <f t="shared" ref="Q6" si="20">L6/100</f>
        <v>1.03E-2</v>
      </c>
      <c r="R6" s="1473"/>
      <c r="S6" s="1471"/>
      <c r="T6" s="1472"/>
      <c r="U6" s="1472"/>
      <c r="V6" s="1472"/>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5" customFormat="1">
      <c r="A7" s="1460" t="s">
        <v>3049</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8">
        <v>2019</v>
      </c>
      <c r="H7" s="1461">
        <v>2</v>
      </c>
      <c r="I7" s="1461">
        <v>1.53</v>
      </c>
      <c r="J7" s="1461">
        <v>1.01</v>
      </c>
      <c r="K7" s="1461">
        <v>1.62</v>
      </c>
      <c r="L7" s="1462">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3047</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32">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3050</v>
      </c>
      <c r="B9" s="2949">
        <f t="shared" ref="B9" si="46">B10*(1+N9)</f>
        <v>464.37293017158942</v>
      </c>
      <c r="C9" s="2949">
        <f t="shared" ref="C9" si="47">C10*(1+O9)</f>
        <v>344.73679941385956</v>
      </c>
      <c r="D9" s="2949">
        <f t="shared" ref="D9" si="48">C9</f>
        <v>344.73679941385956</v>
      </c>
      <c r="E9" s="2949">
        <f t="shared" ref="E9" si="49">E10*(1+P9)</f>
        <v>663.2377795103107</v>
      </c>
      <c r="F9" s="2950">
        <f t="shared" ref="F9" si="50">F10*(1+Q9)</f>
        <v>304.75936311478398</v>
      </c>
      <c r="G9" s="3267">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3041</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67"/>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3040</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67"/>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3033</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74"/>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3030</v>
      </c>
      <c r="B13" s="1468">
        <v>439</v>
      </c>
      <c r="C13" s="1468">
        <v>327</v>
      </c>
      <c r="D13" s="1468">
        <f>C13</f>
        <v>327</v>
      </c>
      <c r="E13" s="1468">
        <v>627</v>
      </c>
      <c r="F13" s="1469">
        <v>283</v>
      </c>
      <c r="G13" s="3270">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3031</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67"/>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67"/>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74"/>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70">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67"/>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67"/>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68"/>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66">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67"/>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67"/>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68"/>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66">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67"/>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67"/>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68"/>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271">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72"/>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72"/>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73"/>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66">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67"/>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67"/>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68"/>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66">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67">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67">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68">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66">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67">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67">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68">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66">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67">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67">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68">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66">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67">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67">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68">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66">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67">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67">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68">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66">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67">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67">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68">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66">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67">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67">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68">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66">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67">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67">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68">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66">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67">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67">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68">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66">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67">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67">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68">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59"/>
      <c r="B4" s="2958" t="s">
        <v>1625</v>
      </c>
      <c r="C4" s="2958"/>
      <c r="D4" s="2958"/>
      <c r="E4" s="1959"/>
    </row>
    <row r="5" spans="1:5" ht="16.5" thickTop="1">
      <c r="A5" s="1957"/>
      <c r="B5" s="2956" t="s">
        <v>1617</v>
      </c>
      <c r="C5" s="1960" t="s">
        <v>1618</v>
      </c>
      <c r="D5" s="1040">
        <f ca="1">结果表!H101</f>
        <v>724</v>
      </c>
      <c r="E5" s="1957"/>
    </row>
    <row r="6" spans="1:5" ht="15.75">
      <c r="A6" s="1957"/>
      <c r="B6" s="2956"/>
      <c r="C6" s="1960" t="s">
        <v>1619</v>
      </c>
      <c r="D6" s="1040" t="str">
        <f ca="1">NUMBERSTRING(INT(D5*10000),2)&amp;"元整"</f>
        <v>柒佰贰拾肆万元整</v>
      </c>
      <c r="E6" s="1957"/>
    </row>
    <row r="7" spans="1:5" ht="15.75">
      <c r="A7" s="1957"/>
      <c r="B7" s="2961"/>
      <c r="C7" s="1961" t="s">
        <v>1620</v>
      </c>
      <c r="D7" s="1041">
        <f ca="1">结果表!H102</f>
        <v>4742</v>
      </c>
      <c r="E7" s="1957"/>
    </row>
    <row r="8" spans="1:5" ht="15.75">
      <c r="A8" s="1957"/>
      <c r="B8" s="2962" t="str">
        <f>结果表!E103</f>
        <v>2.估价师知悉的法定优先受偿款</v>
      </c>
      <c r="C8" s="1962" t="s">
        <v>1621</v>
      </c>
      <c r="D8" s="1041">
        <f>结果表!H103</f>
        <v>0</v>
      </c>
      <c r="E8" s="1957"/>
    </row>
    <row r="9" spans="1:5" ht="15.75">
      <c r="A9" s="1957"/>
      <c r="B9" s="2964"/>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55" t="str">
        <f>结果表!E107</f>
        <v>3.房地产抵押价值</v>
      </c>
      <c r="C13" s="1965" t="s">
        <v>1618</v>
      </c>
      <c r="D13" s="1043">
        <f ca="1">结果表!H107</f>
        <v>724</v>
      </c>
      <c r="E13" s="1957"/>
    </row>
    <row r="14" spans="1:5" ht="15.75">
      <c r="A14" s="1957"/>
      <c r="B14" s="2956"/>
      <c r="C14" s="1960" t="s">
        <v>1619</v>
      </c>
      <c r="D14" s="1040" t="str">
        <f ca="1">NUMBERSTRING(INT(D13*10000),2)&amp;"元整"</f>
        <v>柒佰贰拾肆万元整</v>
      </c>
      <c r="E14" s="1957"/>
    </row>
    <row r="15" spans="1:5" ht="15">
      <c r="A15" s="1957"/>
      <c r="B15" s="2961"/>
      <c r="C15" s="1961" t="s">
        <v>1629</v>
      </c>
      <c r="D15" s="1052">
        <f ca="1">结果表!H108</f>
        <v>4742</v>
      </c>
      <c r="E15" s="1957"/>
    </row>
    <row r="16" spans="1:5" ht="15">
      <c r="A16" s="1957"/>
      <c r="B16" s="2962" t="str">
        <f>结果表!E109</f>
        <v>——</v>
      </c>
      <c r="C16" s="1965" t="s">
        <v>1630</v>
      </c>
      <c r="D16" s="1966" t="str">
        <f>结果表!H109</f>
        <v>——</v>
      </c>
      <c r="E16" s="1957"/>
    </row>
    <row r="17" spans="1:5" ht="15.75">
      <c r="A17" s="1957"/>
      <c r="B17" s="2963"/>
      <c r="C17" s="1960" t="s">
        <v>1631</v>
      </c>
      <c r="D17" s="1040" t="e">
        <f>NUMBERSTRING(INT(D16*10000),2)&amp;"元整"</f>
        <v>#VALUE!</v>
      </c>
      <c r="E17" s="1957"/>
    </row>
    <row r="18" spans="1:5" ht="15">
      <c r="A18" s="1957"/>
      <c r="B18" s="2964"/>
      <c r="C18" s="1961" t="s">
        <v>1620</v>
      </c>
      <c r="D18" s="1052" t="str">
        <f>结果表!H110</f>
        <v>——</v>
      </c>
      <c r="E18" s="1957"/>
    </row>
    <row r="19" spans="1:5" ht="15.75">
      <c r="A19" s="1957"/>
      <c r="B19" s="2955" t="str">
        <f>结果表!E111</f>
        <v>——</v>
      </c>
      <c r="C19" s="1965" t="s">
        <v>1618</v>
      </c>
      <c r="D19" s="1041" t="str">
        <f>结果表!H111</f>
        <v>——</v>
      </c>
      <c r="E19" s="1957"/>
    </row>
    <row r="20" spans="1:5" ht="15.75">
      <c r="A20" s="1957"/>
      <c r="B20" s="2956"/>
      <c r="C20" s="1960" t="s">
        <v>1631</v>
      </c>
      <c r="D20" s="1040" t="e">
        <f>NUMBERSTRING(INT(D19*10000),2)&amp;"元整"</f>
        <v>#VALUE!</v>
      </c>
      <c r="E20" s="1957"/>
    </row>
    <row r="21" spans="1:5" ht="15.75" thickBot="1">
      <c r="A21" s="1957"/>
      <c r="B21" s="2957"/>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46" sqref="F4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6" t="s">
        <v>3002</v>
      </c>
      <c r="D1" s="3277"/>
      <c r="E1" s="3277"/>
      <c r="F1" s="3277"/>
      <c r="G1" s="3277"/>
      <c r="H1" s="3277"/>
      <c r="I1" s="3277"/>
      <c r="J1" s="3277"/>
      <c r="K1" s="3277"/>
      <c r="L1" s="3277"/>
      <c r="M1" s="3277"/>
      <c r="N1" s="3277"/>
      <c r="O1" s="3277"/>
      <c r="P1" s="3277"/>
      <c r="Q1" s="3277"/>
      <c r="R1" s="3277"/>
      <c r="S1" s="3278"/>
      <c r="T1" s="1204" t="s">
        <v>3003</v>
      </c>
    </row>
    <row r="2" spans="1:45" s="707" customFormat="1">
      <c r="A2" s="1205"/>
      <c r="B2" s="703" t="s">
        <v>3004</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31">
        <v>1</v>
      </c>
      <c r="D17" s="1232">
        <v>2</v>
      </c>
      <c r="E17" s="1232">
        <v>3</v>
      </c>
      <c r="F17" s="1232">
        <v>4</v>
      </c>
      <c r="G17" s="1232">
        <v>5</v>
      </c>
      <c r="H17" s="1232">
        <v>6</v>
      </c>
      <c r="I17" s="1232">
        <v>7</v>
      </c>
      <c r="J17" s="1232">
        <v>8</v>
      </c>
      <c r="K17" s="1232">
        <v>9</v>
      </c>
      <c r="L17" s="1233">
        <v>10</v>
      </c>
      <c r="M17" s="1234">
        <v>11</v>
      </c>
      <c r="N17" s="1235">
        <v>12</v>
      </c>
      <c r="O17" s="1236">
        <v>13</v>
      </c>
      <c r="P17" s="1237">
        <v>14</v>
      </c>
      <c r="Q17" s="1238">
        <v>0.15</v>
      </c>
      <c r="R17" s="1239">
        <v>16</v>
      </c>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80</v>
      </c>
      <c r="E18" s="1244">
        <v>60</v>
      </c>
      <c r="F18" s="1244">
        <v>60</v>
      </c>
      <c r="G18" s="1244">
        <v>60</v>
      </c>
      <c r="H18" s="1244">
        <v>60</v>
      </c>
      <c r="I18" s="1244">
        <v>60</v>
      </c>
      <c r="J18" s="1244">
        <v>60</v>
      </c>
      <c r="K18" s="1244">
        <v>60</v>
      </c>
      <c r="L18" s="1244">
        <v>60</v>
      </c>
      <c r="M18" s="1244">
        <v>60</v>
      </c>
      <c r="N18" s="1244">
        <v>60</v>
      </c>
      <c r="O18" s="1244">
        <v>60</v>
      </c>
      <c r="P18" s="1244">
        <v>60</v>
      </c>
      <c r="Q18" s="1244">
        <v>60</v>
      </c>
      <c r="R18" s="1244">
        <v>60</v>
      </c>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1" t="s">
        <v>3013</v>
      </c>
      <c r="E19" s="1791"/>
      <c r="F19" s="1791"/>
      <c r="G19" s="1791"/>
      <c r="H19" s="1279"/>
      <c r="I19" s="168"/>
      <c r="J19" s="168"/>
      <c r="K19" s="168"/>
      <c r="L19" s="168"/>
      <c r="M19" s="168"/>
      <c r="N19" s="168"/>
      <c r="O19" s="168"/>
      <c r="P19" s="168"/>
      <c r="Q19" s="168"/>
      <c r="R19" s="788"/>
      <c r="S19" s="138"/>
    </row>
    <row r="20" spans="1:45" ht="16.5" thickBot="1">
      <c r="A20" s="715" t="s">
        <v>3014</v>
      </c>
      <c r="B20" s="338" t="e">
        <f ca="1">IF(D20="——",S22,S22-F20)</f>
        <v>#REF!</v>
      </c>
      <c r="C20" s="168"/>
      <c r="D20" s="2912" t="s">
        <v>3015</v>
      </c>
      <c r="E20" s="1792"/>
      <c r="F20" s="1204" t="e">
        <f ca="1">SUMIF(INDIRECT("'"&amp;H20&amp;"'"&amp;"!A:A"),"承租人权益价值",INDIRECT("'"&amp;H20&amp;"'"&amp;"!c:c"))</f>
        <v>#REF!</v>
      </c>
      <c r="G20" s="1204" t="s">
        <v>3016</v>
      </c>
      <c r="H20" s="2913"/>
      <c r="I20" s="168"/>
      <c r="J20" s="168"/>
      <c r="K20" s="168"/>
      <c r="L20" s="168"/>
      <c r="M20" s="168"/>
      <c r="N20" s="168"/>
      <c r="O20" s="168"/>
      <c r="P20" s="168"/>
      <c r="Q20" s="168"/>
      <c r="R20" s="788"/>
      <c r="S20" s="138"/>
    </row>
    <row r="21" spans="1:45" ht="15.75">
      <c r="A21" s="715" t="s">
        <v>3017</v>
      </c>
      <c r="B21" s="338">
        <f>R22</f>
        <v>3601</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16793.700000000004</v>
      </c>
      <c r="C22" s="3055" t="s">
        <v>33</v>
      </c>
      <c r="D22" s="3056"/>
      <c r="E22" s="3056"/>
      <c r="F22" s="3056"/>
      <c r="G22" s="3056"/>
      <c r="H22" s="3056"/>
      <c r="I22" s="3056"/>
      <c r="J22" s="3056"/>
      <c r="K22" s="3056"/>
      <c r="L22" s="3056"/>
      <c r="M22" s="3056"/>
      <c r="N22" s="3056"/>
      <c r="O22" s="3056"/>
      <c r="P22" s="3056"/>
      <c r="Q22" s="3275"/>
      <c r="R22" s="716">
        <f>ROUND(S22*10000/B22,0)</f>
        <v>3601</v>
      </c>
      <c r="S22" s="24">
        <f>SUM(S24:S10000)</f>
        <v>6048</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f>'数据-汇总表'!F19</f>
        <v>1526.7</v>
      </c>
      <c r="C24" s="719">
        <v>1</v>
      </c>
      <c r="D24" s="720"/>
      <c r="E24" s="719">
        <v>1</v>
      </c>
      <c r="F24" s="720"/>
      <c r="G24" s="719">
        <v>1</v>
      </c>
      <c r="H24" s="720"/>
      <c r="I24" s="719">
        <v>1</v>
      </c>
      <c r="J24" s="720"/>
      <c r="K24" s="719">
        <v>1</v>
      </c>
      <c r="L24" s="720"/>
      <c r="M24" s="719">
        <v>1</v>
      </c>
      <c r="N24" s="720"/>
      <c r="O24" s="719">
        <v>1</v>
      </c>
      <c r="P24" s="720">
        <v>1</v>
      </c>
      <c r="Q24" s="719">
        <v>1</v>
      </c>
      <c r="R24" s="721">
        <v>5500</v>
      </c>
      <c r="S24" s="719">
        <f t="shared" ref="S24:S54" si="11">ROUND(R24*B24/10000,0)</f>
        <v>840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B24</f>
        <v>1526.7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4400</v>
      </c>
      <c r="S25" s="361">
        <f t="shared" si="11"/>
        <v>672</v>
      </c>
    </row>
    <row r="26" spans="1:45">
      <c r="A26" s="159"/>
      <c r="B26" s="718">
        <f>B25</f>
        <v>1526.7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3300</v>
      </c>
      <c r="S26" s="361">
        <f t="shared" si="11"/>
        <v>504</v>
      </c>
    </row>
    <row r="27" spans="1:45">
      <c r="A27" s="159"/>
      <c r="B27" s="718">
        <f t="shared" ref="B27:B34" si="21">B26</f>
        <v>1526.7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3300</v>
      </c>
      <c r="S27" s="361">
        <f t="shared" si="11"/>
        <v>504</v>
      </c>
    </row>
    <row r="28" spans="1:45">
      <c r="A28" s="159"/>
      <c r="B28" s="718">
        <f t="shared" si="21"/>
        <v>1526.7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0.6</v>
      </c>
      <c r="R28" s="716">
        <f t="shared" si="20"/>
        <v>3300</v>
      </c>
      <c r="S28" s="361">
        <f t="shared" si="11"/>
        <v>504</v>
      </c>
    </row>
    <row r="29" spans="1:45">
      <c r="A29" s="159"/>
      <c r="B29" s="718">
        <f t="shared" si="21"/>
        <v>1526.7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6</v>
      </c>
      <c r="Q29" s="24">
        <f t="shared" si="19"/>
        <v>0.6</v>
      </c>
      <c r="R29" s="716">
        <f t="shared" si="20"/>
        <v>3300</v>
      </c>
      <c r="S29" s="361">
        <f t="shared" si="11"/>
        <v>504</v>
      </c>
    </row>
    <row r="30" spans="1:45">
      <c r="A30" s="159"/>
      <c r="B30" s="718">
        <f t="shared" si="21"/>
        <v>1526.7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7</v>
      </c>
      <c r="Q30" s="24">
        <f t="shared" si="19"/>
        <v>0.6</v>
      </c>
      <c r="R30" s="716">
        <f t="shared" si="20"/>
        <v>3300</v>
      </c>
      <c r="S30" s="361">
        <f t="shared" si="11"/>
        <v>504</v>
      </c>
    </row>
    <row r="31" spans="1:45">
      <c r="A31" s="159"/>
      <c r="B31" s="718">
        <f t="shared" si="21"/>
        <v>1526.7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8</v>
      </c>
      <c r="Q31" s="24">
        <f t="shared" si="19"/>
        <v>0.6</v>
      </c>
      <c r="R31" s="716">
        <f t="shared" si="20"/>
        <v>3300</v>
      </c>
      <c r="S31" s="361">
        <f t="shared" si="11"/>
        <v>504</v>
      </c>
    </row>
    <row r="32" spans="1:45">
      <c r="A32" s="159"/>
      <c r="B32" s="718">
        <f t="shared" si="21"/>
        <v>1526.7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9</v>
      </c>
      <c r="Q32" s="24">
        <f t="shared" si="19"/>
        <v>0.6</v>
      </c>
      <c r="R32" s="716">
        <f t="shared" si="20"/>
        <v>3300</v>
      </c>
      <c r="S32" s="361">
        <f t="shared" si="11"/>
        <v>504</v>
      </c>
    </row>
    <row r="33" spans="1:19">
      <c r="A33" s="159"/>
      <c r="B33" s="718">
        <f t="shared" si="21"/>
        <v>1526.7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10</v>
      </c>
      <c r="Q33" s="24">
        <f t="shared" si="19"/>
        <v>0.6</v>
      </c>
      <c r="R33" s="716">
        <f t="shared" si="20"/>
        <v>3300</v>
      </c>
      <c r="S33" s="361">
        <f t="shared" si="11"/>
        <v>504</v>
      </c>
    </row>
    <row r="34" spans="1:19">
      <c r="A34" s="159"/>
      <c r="B34" s="718">
        <f t="shared" si="21"/>
        <v>1526.7</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11</v>
      </c>
      <c r="Q34" s="24">
        <f t="shared" si="19"/>
        <v>0.6</v>
      </c>
      <c r="R34" s="716">
        <f t="shared" si="20"/>
        <v>3300</v>
      </c>
      <c r="S34" s="361">
        <f t="shared" si="11"/>
        <v>504</v>
      </c>
    </row>
    <row r="35" spans="1:19">
      <c r="A35" s="159"/>
      <c r="B35" s="71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12</v>
      </c>
      <c r="Q35" s="24">
        <f t="shared" si="19"/>
        <v>0.6</v>
      </c>
      <c r="R35" s="716">
        <f t="shared" si="20"/>
        <v>0</v>
      </c>
      <c r="S35" s="361">
        <f t="shared" si="11"/>
        <v>0</v>
      </c>
    </row>
    <row r="36" spans="1:19">
      <c r="A36" s="159"/>
      <c r="B36" s="71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v>13</v>
      </c>
      <c r="Q36" s="24">
        <f t="shared" si="19"/>
        <v>0.6</v>
      </c>
      <c r="R36" s="716">
        <f t="shared" si="20"/>
        <v>0</v>
      </c>
      <c r="S36" s="361">
        <f t="shared" si="11"/>
        <v>0</v>
      </c>
    </row>
    <row r="37" spans="1:19">
      <c r="A37" s="159"/>
      <c r="B37" s="71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v>14</v>
      </c>
      <c r="Q37" s="24">
        <f t="shared" si="19"/>
        <v>0.6</v>
      </c>
      <c r="R37" s="716">
        <f t="shared" si="20"/>
        <v>0</v>
      </c>
      <c r="S37" s="361">
        <f t="shared" si="11"/>
        <v>0</v>
      </c>
    </row>
    <row r="38" spans="1:19">
      <c r="A38" s="159"/>
      <c r="B38" s="71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v>0.15</v>
      </c>
      <c r="Q38" s="24">
        <f t="shared" si="19"/>
        <v>0.6</v>
      </c>
      <c r="R38" s="716">
        <f t="shared" si="20"/>
        <v>0</v>
      </c>
      <c r="S38" s="361">
        <f t="shared" si="11"/>
        <v>0</v>
      </c>
    </row>
    <row r="39" spans="1:19">
      <c r="A39" s="159"/>
      <c r="B39" s="71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v>16</v>
      </c>
      <c r="Q39" s="24">
        <f t="shared" si="19"/>
        <v>0.6</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2">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2"/>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2"/>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2"/>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2"/>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2"/>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2"/>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2"/>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2"/>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2"/>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2"/>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2"/>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2"/>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2"/>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2"/>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2"/>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2"/>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2"/>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2"/>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2"/>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2"/>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2"/>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2"/>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3">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3"/>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3"/>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3"/>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3"/>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3"/>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3"/>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3"/>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3"/>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3"/>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3"/>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30144</v>
      </c>
      <c r="C2" s="2" t="s">
        <v>133</v>
      </c>
      <c r="D2" s="243"/>
      <c r="E2" s="243"/>
      <c r="F2" s="243"/>
      <c r="G2" s="243"/>
    </row>
    <row r="3" spans="1:7" s="244" customFormat="1" ht="18" customHeight="1" thickBot="1">
      <c r="A3" s="247" t="s">
        <v>85</v>
      </c>
      <c r="B3" s="248">
        <f ca="1">ROUND(B2*10000/'数据-汇总表'!E3,0)</f>
        <v>197445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90</v>
      </c>
      <c r="F9" s="265"/>
      <c r="G9" s="270"/>
    </row>
    <row r="10" spans="1:7" s="258" customFormat="1" ht="13.5" customHeight="1">
      <c r="A10" s="950" t="s">
        <v>801</v>
      </c>
      <c r="B10" s="268" t="s">
        <v>94</v>
      </c>
      <c r="C10" s="269">
        <f>ROUND(D10*E10/10000,0)</f>
        <v>14</v>
      </c>
      <c r="D10" s="1032">
        <f>'数据-汇总表'!E6</f>
        <v>1526.7</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31</v>
      </c>
      <c r="D19" s="1036">
        <f>'数据-汇总表'!E3</f>
        <v>1526.7</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2027</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2004</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4">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4211</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4211</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29581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366</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v>
      </c>
      <c r="D37" s="261">
        <f>'数据-汇总表'!E3</f>
        <v>1526.7</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v>
      </c>
      <c r="D41" s="279">
        <f ca="1">C44</f>
        <v>1E-3</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20</v>
      </c>
      <c r="D42" s="282"/>
      <c r="E42" s="282"/>
      <c r="F42" s="283"/>
      <c r="G42" s="3140" t="s">
        <v>121</v>
      </c>
    </row>
    <row r="43" spans="1:7" ht="13.5" customHeight="1">
      <c r="A43" s="951" t="s">
        <v>792</v>
      </c>
      <c r="B43" s="259" t="s">
        <v>1061</v>
      </c>
      <c r="C43" s="282">
        <f ca="1">ROUND(IF('数据-取费表'!B22&lt;=1,C39*F22*'数据-取费表'!B21/2,C39*(POWER((1+F22),'数据-取费表'!B21/2)-1)),0)</f>
        <v>0</v>
      </c>
      <c r="D43" s="282"/>
      <c r="E43" s="282"/>
      <c r="F43" s="283"/>
      <c r="G43" s="3141"/>
    </row>
    <row r="44" spans="1:7" ht="13.5" customHeight="1">
      <c r="A44" s="951" t="s">
        <v>793</v>
      </c>
      <c r="B44" s="259" t="s">
        <v>1063</v>
      </c>
      <c r="C44" s="282">
        <f ca="1">ROUND(IF('数据-取费表'!B22&lt;=1,C40*F22*'数据-取费表'!B21/2,C40*(POWER((1+F22),'数据-取费表'!B21/2)-1)),4)</f>
        <v>1E-3</v>
      </c>
      <c r="D44" s="282"/>
      <c r="E44" s="282"/>
      <c r="F44" s="283"/>
      <c r="G44" s="3142"/>
    </row>
    <row r="45" spans="1:7" s="258" customFormat="1" ht="13.5" customHeight="1">
      <c r="A45" s="948" t="s">
        <v>786</v>
      </c>
      <c r="B45" s="288" t="s">
        <v>112</v>
      </c>
      <c r="C45" s="289">
        <f>C46</f>
        <v>84</v>
      </c>
      <c r="D45" s="279">
        <f>C47</f>
        <v>4.0000000000000001E-3</v>
      </c>
      <c r="E45" s="280" t="s">
        <v>129</v>
      </c>
      <c r="F45" s="290"/>
      <c r="G45" s="291" t="s">
        <v>1069</v>
      </c>
    </row>
    <row r="46" spans="1:7" s="258" customFormat="1" ht="13.5" customHeight="1">
      <c r="A46" s="951" t="s">
        <v>794</v>
      </c>
      <c r="B46" s="292" t="s">
        <v>1062</v>
      </c>
      <c r="C46" s="293">
        <f>ROUND((C33+C39)*F27,0)</f>
        <v>84</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569</v>
      </c>
      <c r="D49" s="276"/>
      <c r="E49" s="276"/>
      <c r="F49" s="308"/>
      <c r="G49" s="278" t="s">
        <v>1070</v>
      </c>
    </row>
    <row r="50" spans="1:7" s="302" customFormat="1" ht="24">
      <c r="A50" s="948" t="s">
        <v>789</v>
      </c>
      <c r="B50" s="254" t="s">
        <v>124</v>
      </c>
      <c r="C50" s="276"/>
      <c r="D50" s="276"/>
      <c r="E50" s="276"/>
      <c r="F50" s="308">
        <f>IF('数据-取费表'!B24=0,'数据-取费表'!N16,1)</f>
        <v>0.99</v>
      </c>
      <c r="G50" s="291" t="s">
        <v>125</v>
      </c>
    </row>
    <row r="51" spans="1:7" ht="16.5" customHeight="1">
      <c r="A51" s="948" t="s">
        <v>790</v>
      </c>
      <c r="B51" s="254" t="s">
        <v>132</v>
      </c>
      <c r="C51" s="276">
        <f ca="1">ROUND(C49*F50,0)</f>
        <v>563</v>
      </c>
      <c r="D51" s="276"/>
      <c r="E51" s="276"/>
      <c r="F51" s="308"/>
      <c r="G51" s="278" t="s">
        <v>64</v>
      </c>
    </row>
    <row r="52" spans="1:7" s="252" customFormat="1" ht="16.5" thickBot="1">
      <c r="A52" s="309" t="s">
        <v>65</v>
      </c>
      <c r="B52" s="310"/>
      <c r="C52" s="311">
        <f ca="1">C31+C51</f>
        <v>30144</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868</v>
      </c>
      <c r="B1" s="327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43770</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1636</v>
      </c>
      <c r="B2" s="2966" t="s">
        <v>1637</v>
      </c>
      <c r="C2" s="2966" t="s">
        <v>1638</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4" t="s">
        <v>1633</v>
      </c>
      <c r="E3" s="1044" t="s">
        <v>1639</v>
      </c>
      <c r="F3" s="1044" t="s">
        <v>1633</v>
      </c>
      <c r="G3" s="1044" t="s">
        <v>1634</v>
      </c>
      <c r="H3" s="1044" t="s">
        <v>1633</v>
      </c>
      <c r="I3" s="1044" t="s">
        <v>1634</v>
      </c>
    </row>
    <row r="4" spans="1:9" ht="15">
      <c r="A4" s="1971" t="str">
        <f>项目基本情况!S2</f>
        <v>房地产</v>
      </c>
      <c r="B4" s="1044">
        <f>项目基本情况!C17</f>
        <v>1526.7</v>
      </c>
      <c r="C4" s="1044">
        <f>项目基本情况!C18</f>
        <v>0</v>
      </c>
      <c r="D4" s="1044" t="e">
        <f ca="1">结果表!D118</f>
        <v>#REF!</v>
      </c>
      <c r="E4" s="1044" t="e">
        <f ca="1">结果表!E118</f>
        <v>#REF!</v>
      </c>
      <c r="F4" s="1044" t="e">
        <f ca="1">结果表!F118</f>
        <v>#REF!</v>
      </c>
      <c r="G4" s="1044" t="e">
        <f ca="1">结果表!G118</f>
        <v>#REF!</v>
      </c>
      <c r="H4" s="1044">
        <f ca="1">结果表!H118</f>
        <v>724</v>
      </c>
      <c r="I4" s="1044">
        <f ca="1">结果表!I118</f>
        <v>4742</v>
      </c>
    </row>
    <row r="5" spans="1:9" ht="30" customHeight="1">
      <c r="A5" s="2967" t="s">
        <v>1635</v>
      </c>
      <c r="B5" s="2967"/>
      <c r="C5" s="2967"/>
      <c r="D5" s="2968" t="e">
        <f ca="1">结果表!D119</f>
        <v>#REF!</v>
      </c>
      <c r="E5" s="2968"/>
      <c r="F5" s="2968" t="e">
        <f ca="1">结果表!F119</f>
        <v>#REF!</v>
      </c>
      <c r="G5" s="2968"/>
      <c r="H5" s="2968" t="str">
        <f ca="1">结果表!H119</f>
        <v>柒佰贰拾肆万元整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1635</v>
      </c>
      <c r="B7" s="2967"/>
      <c r="C7" s="2967"/>
      <c r="D7" s="2970" t="str">
        <f>结果表!D121</f>
        <v>零元整</v>
      </c>
      <c r="E7" s="2971"/>
      <c r="F7" s="2971"/>
      <c r="G7" s="2971"/>
      <c r="H7" s="2971"/>
      <c r="I7" s="2972"/>
    </row>
    <row r="8" spans="1:9" ht="15.75">
      <c r="A8" s="2969" t="str">
        <f>结果表!A122</f>
        <v>房地产抵押价值</v>
      </c>
      <c r="B8" s="2969"/>
      <c r="C8" s="2969"/>
      <c r="D8" s="2969">
        <f ca="1">结果表!D122</f>
        <v>724</v>
      </c>
      <c r="E8" s="2969"/>
      <c r="F8" s="2969"/>
      <c r="G8" s="2969"/>
      <c r="H8" s="2969"/>
      <c r="I8" s="2969"/>
    </row>
    <row r="9" spans="1:9" ht="15">
      <c r="A9" s="2967" t="s">
        <v>1635</v>
      </c>
      <c r="B9" s="2967"/>
      <c r="C9" s="2967"/>
      <c r="D9" s="2968" t="str">
        <f ca="1">结果表!D123</f>
        <v>柒佰贰拾肆万元整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1635</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6" t="s">
        <v>1657</v>
      </c>
      <c r="B1" s="2976"/>
      <c r="C1" s="2976"/>
      <c r="D1" s="2976"/>
    </row>
    <row r="2" spans="1:4" ht="18">
      <c r="A2" s="2977" t="s">
        <v>1641</v>
      </c>
      <c r="B2" s="2977"/>
      <c r="C2" s="2977"/>
      <c r="D2" s="2977"/>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2977" t="s">
        <v>1647</v>
      </c>
      <c r="B6" s="2977"/>
      <c r="C6" s="2977"/>
      <c r="D6" s="2977"/>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2978" t="s">
        <v>1650</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1651</v>
      </c>
      <c r="B16" s="2982"/>
      <c r="C16" s="2982"/>
      <c r="D16" s="2982"/>
    </row>
    <row r="17" spans="1:4" ht="144" customHeight="1">
      <c r="A17" s="2982" t="s">
        <v>1652</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1653</v>
      </c>
      <c r="B22" s="2984"/>
      <c r="C22" s="2984"/>
      <c r="D22" s="298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0" t="s">
        <v>1664</v>
      </c>
      <c r="B15" s="2985" t="s">
        <v>136</v>
      </c>
      <c r="C15" s="2986"/>
    </row>
    <row r="16" spans="1:7" ht="13.5">
      <c r="A16" s="2991"/>
      <c r="B16" s="2985" t="s">
        <v>69</v>
      </c>
      <c r="C16" s="2986"/>
    </row>
    <row r="17" spans="1:3" ht="13.5">
      <c r="A17" s="2991"/>
      <c r="B17" s="2988" t="s">
        <v>1665</v>
      </c>
      <c r="C17" s="1998" t="s">
        <v>1664</v>
      </c>
    </row>
    <row r="18" spans="1:3" ht="13.5">
      <c r="A18" s="2991"/>
      <c r="B18" s="2988"/>
      <c r="C18" s="1998" t="s">
        <v>1666</v>
      </c>
    </row>
    <row r="19" spans="1:3" ht="13.5">
      <c r="A19" s="2991"/>
      <c r="B19" s="2988"/>
      <c r="C19" s="1998" t="s">
        <v>1667</v>
      </c>
    </row>
    <row r="20" spans="1:3" ht="13.5">
      <c r="A20" s="2992"/>
      <c r="B20" s="2987" t="s">
        <v>1668</v>
      </c>
      <c r="C20" s="2986"/>
    </row>
    <row r="21" spans="1:3" ht="13.5">
      <c r="A21" s="1999" t="s">
        <v>1669</v>
      </c>
      <c r="B21" s="2000"/>
      <c r="C21" s="2001"/>
    </row>
    <row r="22" spans="1:3" ht="13.5">
      <c r="A22" s="2989" t="s">
        <v>1670</v>
      </c>
      <c r="B22" s="2987" t="s">
        <v>1671</v>
      </c>
      <c r="C22" s="2986"/>
    </row>
    <row r="23" spans="1:3" ht="13.5">
      <c r="A23" s="2989"/>
      <c r="B23" s="2987" t="s">
        <v>1672</v>
      </c>
      <c r="C23" s="2986"/>
    </row>
    <row r="24" spans="1:3" ht="13.5">
      <c r="A24" s="2989"/>
      <c r="B24" s="2987" t="s">
        <v>1673</v>
      </c>
      <c r="C24" s="2986"/>
    </row>
    <row r="25" spans="1:3" ht="13.5">
      <c r="A25" s="2989"/>
      <c r="B25" s="2988" t="s">
        <v>1674</v>
      </c>
      <c r="C25" s="1998" t="s">
        <v>1675</v>
      </c>
    </row>
    <row r="26" spans="1:3" ht="13.5">
      <c r="A26" s="2989"/>
      <c r="B26" s="2988"/>
      <c r="C26" s="1998" t="s">
        <v>1676</v>
      </c>
    </row>
    <row r="27" spans="1:3" ht="13.5">
      <c r="A27" s="2989"/>
      <c r="B27" s="2988"/>
      <c r="C27" s="1998" t="s">
        <v>1677</v>
      </c>
    </row>
    <row r="28" spans="1:3" ht="13.5">
      <c r="A28" s="2989"/>
      <c r="B28" s="2988"/>
      <c r="C28" s="1998" t="s">
        <v>1678</v>
      </c>
    </row>
    <row r="29" spans="1:3" ht="13.5">
      <c r="A29" s="2989"/>
      <c r="B29" s="2988"/>
      <c r="C29" s="1998" t="s">
        <v>1679</v>
      </c>
    </row>
    <row r="30" spans="1:3" ht="13.5">
      <c r="A30" s="2989"/>
      <c r="B30" s="2988"/>
      <c r="C30" s="1998" t="s">
        <v>1680</v>
      </c>
    </row>
    <row r="31" spans="1:3" ht="13.5">
      <c r="A31" s="2989"/>
      <c r="B31" s="2988"/>
      <c r="C31" s="1998" t="s">
        <v>1681</v>
      </c>
    </row>
    <row r="32" spans="1:3" ht="13.5">
      <c r="A32" s="2989"/>
      <c r="B32" s="2988"/>
      <c r="C32" s="1998" t="s">
        <v>1682</v>
      </c>
    </row>
    <row r="33" spans="1:3" ht="13.5">
      <c r="A33" s="2989"/>
      <c r="B33" s="2988"/>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43794</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29"/>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3042</v>
      </c>
      <c r="B14" s="1022">
        <f ca="1">IF(C14&lt;B2,"已过期",1120040230)</f>
        <v>1120040230</v>
      </c>
      <c r="C14" s="2347">
        <v>43835</v>
      </c>
      <c r="D14" s="2350" t="s">
        <v>3042</v>
      </c>
      <c r="E14" s="1022">
        <f ca="1">IF(F14&lt;B2,"已过期",98030020)</f>
        <v>98030020</v>
      </c>
      <c r="F14" s="1030">
        <v>47118</v>
      </c>
    </row>
    <row r="15" spans="1:6" ht="24" customHeight="1">
      <c r="A15" s="1702" t="s">
        <v>3043</v>
      </c>
      <c r="B15" s="1022">
        <f ca="1">IF(C15&lt;B2,"已过期",1120070085)</f>
        <v>1120070085</v>
      </c>
      <c r="C15" s="2347">
        <v>43814</v>
      </c>
      <c r="D15" s="2351" t="s">
        <v>3043</v>
      </c>
      <c r="E15" s="1022">
        <f ca="1">IF(F15&lt;B2,"已过期",2004110128)</f>
        <v>2004110128</v>
      </c>
      <c r="F15" s="1023">
        <v>47118</v>
      </c>
    </row>
    <row r="16" spans="1:6" ht="24" customHeight="1">
      <c r="A16" s="1701" t="s">
        <v>3044</v>
      </c>
      <c r="B16" s="1022">
        <f ca="1">IF(C16&lt;B2,"已过期",1120140022)</f>
        <v>1120140022</v>
      </c>
      <c r="C16" s="2929">
        <v>44029</v>
      </c>
      <c r="D16" s="2350" t="s">
        <v>3044</v>
      </c>
      <c r="E16" s="1022">
        <f ca="1">IF(F16&lt;B2,"已过期",2008110059)</f>
        <v>2008110059</v>
      </c>
      <c r="F16" s="1030">
        <v>47177</v>
      </c>
    </row>
    <row r="17" spans="1:7" ht="24" customHeight="1">
      <c r="A17" s="1701"/>
      <c r="B17" s="1022"/>
      <c r="C17" s="2347"/>
      <c r="D17" s="2350" t="s">
        <v>3045</v>
      </c>
      <c r="E17" s="1022">
        <f ca="1">IF(F17&lt;B2,"已过期",2014110076)</f>
        <v>2014110076</v>
      </c>
      <c r="F17" s="1030">
        <v>49302</v>
      </c>
    </row>
    <row r="18" spans="1:7" ht="24" customHeight="1">
      <c r="A18" s="1701" t="s">
        <v>3053</v>
      </c>
      <c r="B18" s="1022">
        <v>1120190079</v>
      </c>
      <c r="C18" s="2929">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29">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1329</v>
      </c>
      <c r="B24" s="1702" t="s">
        <v>1329</v>
      </c>
      <c r="C24" s="2348" t="s">
        <v>1329</v>
      </c>
      <c r="D24" s="2351" t="s">
        <v>1329</v>
      </c>
      <c r="E24" s="1702" t="s">
        <v>1329</v>
      </c>
      <c r="F24" s="1702" t="s">
        <v>1329</v>
      </c>
    </row>
    <row r="25" spans="1:7" ht="24" customHeight="1">
      <c r="A25" s="2993" t="s">
        <v>843</v>
      </c>
      <c r="B25" s="2993"/>
      <c r="C25" s="2993"/>
      <c r="D25" s="2993"/>
      <c r="E25" s="2993"/>
      <c r="F25" s="2993"/>
      <c r="G25" s="2993"/>
    </row>
    <row r="26" spans="1:7" s="1025" customFormat="1" ht="24" customHeight="1">
      <c r="A26" s="2994" t="s">
        <v>844</v>
      </c>
      <c r="B26" s="2994"/>
      <c r="C26" s="2995"/>
      <c r="D26" s="2996" t="s">
        <v>845</v>
      </c>
      <c r="E26" s="2994"/>
      <c r="F26" s="2994"/>
    </row>
    <row r="27" spans="1:7" s="1027" customFormat="1" ht="24" customHeight="1">
      <c r="A27" s="1026" t="s">
        <v>846</v>
      </c>
      <c r="B27" s="1021" t="s">
        <v>847</v>
      </c>
      <c r="C27" s="2346" t="s">
        <v>848</v>
      </c>
      <c r="D27" s="2353" t="s">
        <v>846</v>
      </c>
      <c r="E27" s="1021" t="s">
        <v>847</v>
      </c>
      <c r="F27" s="1021" t="s">
        <v>848</v>
      </c>
    </row>
    <row r="28" spans="1:7" s="1027" customFormat="1" ht="24" customHeight="1">
      <c r="A28" s="1028" t="s">
        <v>849</v>
      </c>
      <c r="B28" s="1029" t="s">
        <v>850</v>
      </c>
      <c r="C28" s="1030">
        <v>44820</v>
      </c>
      <c r="D28" s="2354" t="s">
        <v>851</v>
      </c>
      <c r="E28" s="1028" t="s">
        <v>852</v>
      </c>
      <c r="F28" s="1058">
        <v>44377</v>
      </c>
    </row>
    <row r="29" spans="1:7" s="1027" customFormat="1" ht="24" customHeight="1">
      <c r="A29" s="1028"/>
      <c r="B29" s="1028"/>
      <c r="C29" s="2352"/>
      <c r="D29" s="2354" t="s">
        <v>853</v>
      </c>
      <c r="E29" s="1202" t="s">
        <v>3054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2019-11-25T06:22:05Z</dcterms:modified>
</cp:coreProperties>
</file>