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59北京市昌平区昌平路395号院1号楼15层3单元1506\"/>
    </mc:Choice>
  </mc:AlternateContent>
  <bookViews>
    <workbookView xWindow="0" yWindow="0" windowWidth="23508"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5" i="21" l="1"/>
  <c r="F90" i="21"/>
  <c r="I33" i="21"/>
  <c r="G33" i="21"/>
  <c r="E33" i="21"/>
  <c r="I47" i="21"/>
  <c r="G47" i="21"/>
  <c r="E47" i="21"/>
  <c r="K59" i="21"/>
  <c r="J59" i="21"/>
  <c r="I7" i="21"/>
  <c r="G7" i="21"/>
  <c r="E7" i="21"/>
  <c r="I5" i="21"/>
  <c r="G5" i="21"/>
  <c r="E5" i="21"/>
  <c r="N20" i="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6" i="73"/>
  <c r="AO13" i="1"/>
  <c r="E12" i="76"/>
  <c r="E11" i="76"/>
  <c r="F4" i="73"/>
  <c r="B8" i="76"/>
  <c r="E7" i="76"/>
  <c r="D35" i="9"/>
  <c r="M8" i="15"/>
  <c r="M22" i="67"/>
  <c r="B12" i="76"/>
  <c r="E8" i="76"/>
  <c r="E2" i="68"/>
  <c r="E9" i="76"/>
  <c r="M9" i="67"/>
  <c r="E13" i="76"/>
  <c r="D34" i="9"/>
  <c r="F7" i="73"/>
  <c r="E10" i="76"/>
  <c r="F3" i="73"/>
  <c r="B7" i="76"/>
  <c r="M8" i="67"/>
  <c r="M23" i="67"/>
  <c r="B13" i="76"/>
  <c r="F7" i="67"/>
  <c r="E2" i="69"/>
  <c r="F20" i="31"/>
  <c r="B10" i="76"/>
  <c r="B9" i="76"/>
  <c r="C76" i="67"/>
  <c r="F5" i="73"/>
  <c r="F34" i="21" l="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F6" i="67"/>
  <c r="F7" i="15"/>
  <c r="M29" i="67"/>
  <c r="L48" i="67"/>
  <c r="J15" i="67"/>
  <c r="F37" i="67"/>
  <c r="F36" i="67"/>
  <c r="D7" i="73"/>
  <c r="F37" i="15"/>
  <c r="D5" i="73"/>
  <c r="F36" i="15"/>
  <c r="J15" i="15"/>
  <c r="F38" i="67"/>
  <c r="M9" i="15"/>
  <c r="F8" i="67"/>
  <c r="D4" i="73"/>
  <c r="C76" i="15"/>
  <c r="D3" i="73"/>
  <c r="F13" i="15"/>
  <c r="F16" i="67"/>
  <c r="D6" i="73"/>
  <c r="M6" i="15"/>
  <c r="F42" i="67"/>
  <c r="F26" i="15"/>
  <c r="M22" i="15"/>
  <c r="L47" i="15"/>
  <c r="M28" i="67"/>
  <c r="F38" i="15"/>
  <c r="M6" i="67"/>
  <c r="M24" i="67"/>
  <c r="M24" i="15"/>
  <c r="F40" i="15"/>
  <c r="F9" i="67"/>
  <c r="M26" i="67"/>
  <c r="F43" i="67"/>
  <c r="F13" i="67"/>
  <c r="M28" i="15"/>
  <c r="L48" i="15"/>
  <c r="F6" i="15"/>
  <c r="C36" i="69"/>
  <c r="F26" i="67"/>
  <c r="M29" i="15"/>
  <c r="F8" i="15"/>
  <c r="D9" i="69"/>
  <c r="M23" i="15"/>
  <c r="F43" i="15"/>
  <c r="F40" i="67"/>
  <c r="F16" i="15"/>
  <c r="L47" i="67"/>
  <c r="F9" i="15"/>
  <c r="F42"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27" i="69"/>
  <c r="G1" i="73"/>
  <c r="C16" i="67"/>
  <c r="C16" i="15"/>
  <c r="F41" i="67"/>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D10" i="69"/>
  <c r="C34" i="69"/>
  <c r="C17" i="67"/>
  <c r="C14" i="67"/>
  <c r="I54" i="34" l="1"/>
  <c r="J54" i="34" s="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M21" i="15"/>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C20" i="9"/>
  <c r="D2" i="34"/>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11" i="1"/>
  <c r="AO10"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B3" i="69"/>
  <c r="D19" i="9"/>
  <c r="C57" i="69" l="1"/>
  <c r="C56" i="69" s="1"/>
  <c r="D21" i="9"/>
  <c r="G19" i="9"/>
  <c r="D22" i="9"/>
  <c r="D102" i="9"/>
  <c r="D20" i="9"/>
  <c r="G20" i="9" l="1"/>
  <c r="C32" i="9" s="1"/>
  <c r="C35" i="9" s="1"/>
  <c r="C34" i="9" s="1"/>
  <c r="D103" i="9"/>
  <c r="G21" i="9"/>
  <c r="D14" i="74"/>
  <c r="B5" i="74" l="1"/>
  <c r="D5" i="74" s="1"/>
  <c r="F14" i="74"/>
  <c r="E14" i="74"/>
  <c r="H4" i="52" l="1"/>
  <c r="C104" i="9"/>
  <c r="C105" i="9"/>
  <c r="I4" i="52"/>
  <c r="B30" i="72"/>
  <c r="M48" i="9"/>
  <c r="D14" i="53"/>
  <c r="B32" i="72"/>
  <c r="N58" i="9"/>
  <c r="P57" i="9"/>
  <c r="C86" i="9"/>
  <c r="C6" i="74"/>
  <c r="D9" i="52"/>
  <c r="B20" i="72"/>
  <c r="D4" i="52"/>
  <c r="B47" i="72"/>
  <c r="C81" i="9"/>
  <c r="M54" i="9"/>
  <c r="E96" i="9"/>
  <c r="E97" i="9"/>
  <c r="D52" i="9"/>
  <c r="D53" i="9"/>
  <c r="C93" i="9"/>
  <c r="D13" i="53"/>
  <c r="D59" i="9"/>
  <c r="M55" i="9"/>
  <c r="E81" i="9"/>
  <c r="C5" i="74"/>
  <c r="C96" i="9"/>
  <c r="H119" i="9"/>
  <c r="H5" i="52"/>
  <c r="H108" i="9"/>
  <c r="D15" i="53"/>
  <c r="B31" i="72"/>
  <c r="D123" i="9"/>
  <c r="H107" i="9"/>
  <c r="D122" i="9"/>
  <c r="D8" i="52"/>
  <c r="E4" i="52"/>
  <c r="B48" i="72"/>
  <c r="F4" i="52"/>
  <c r="B51" i="72"/>
  <c r="N60" i="9"/>
  <c r="N57" i="9"/>
  <c r="N59" i="9"/>
  <c r="N61" i="9"/>
  <c r="D5" i="53"/>
  <c r="D6" i="53"/>
  <c r="B22" i="72"/>
  <c r="F119" i="9"/>
  <c r="F5" i="52"/>
  <c r="B53" i="72"/>
  <c r="C72" i="9"/>
  <c r="C79" i="9"/>
  <c r="C80" i="9"/>
  <c r="E80" i="9"/>
  <c r="H102" i="9"/>
  <c r="D7" i="53"/>
  <c r="B21" i="72"/>
  <c r="C78" i="9"/>
  <c r="C73" i="9"/>
  <c r="E118" i="9"/>
  <c r="D118" i="9"/>
  <c r="D119" i="9"/>
  <c r="D5" i="52"/>
  <c r="B49" i="72"/>
  <c r="F118" i="9"/>
  <c r="G118" i="9"/>
  <c r="G4" i="52"/>
  <c r="B52" i="72"/>
  <c r="D55" i="9"/>
  <c r="M53" i="9"/>
  <c r="C67" i="9"/>
  <c r="C68" i="9"/>
  <c r="D54" i="9"/>
  <c r="C64" i="9"/>
  <c r="C63"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<sst xmlns="http://schemas.openxmlformats.org/spreadsheetml/2006/main" count="8129" uniqueCount="3546">
  <si>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</si>
  <si>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</si>
  <si>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</si>
  <si>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</si>
  <si>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</si>
  <si>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</si>
  <si>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</si>
  <si>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</si>
  <si>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</si>
  <si>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</si>
  <si>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</si>
  <si>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</si>
  <si>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</si>
  <si>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</si>
  <si>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</si>
  <si>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</si>
  <si>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</si>
  <si>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</si>
  <si>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</si>
  <si>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</si>
  <si>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</si>
  <si>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</si>
  <si>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</si>
  <si>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</si>
  <si>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</si>
  <si>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</si>
  <si>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</si>
  <si>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</si>
  <si>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</si>
  <si>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</si>
  <si>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</si>
  <si>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</si>
  <si>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</si>
  <si>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</si>
  <si>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</si>
  <si>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</si>
  <si>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</si>
  <si>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</si>
  <si>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</si>
  <si>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</si>
  <si>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</si>
  <si>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</si>
  <si>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</si>
  <si>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</si>
  <si>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</si>
  <si>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</si>
  <si>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</si>
  <si>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</si>
  <si>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</si>
  <si>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</si>
  <si>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</si>
  <si>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</si>
  <si>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</si>
  <si>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</si>
  <si>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</si>
  <si>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</si>
  <si>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</si>
  <si>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</si>
  <si>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</si>
  <si>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</si>
  <si>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</si>
  <si>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</si>
  <si>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</si>
  <si>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</si>
  <si>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</si>
  <si>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</si>
  <si>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</si>
  <si>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</si>
  <si>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</si>
  <si>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</si>
  <si>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</si>
  <si>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</si>
  <si>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</si>
  <si>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</si>
  <si>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</si>
  <si>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</si>
  <si>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</si>
  <si>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</si>
  <si>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</si>
  <si>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</si>
  <si>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</si>
  <si>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</si>
  <si>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</si>
  <si>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</si>
  <si>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</si>
  <si>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</si>
  <si>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</si>
  <si>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</si>
  <si>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</si>
  <si>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</si>
  <si>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</si>
  <si>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</si>
  <si>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</si>
  <si>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</si>
  <si>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</si>
  <si>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</si>
  <si>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</si>
  <si>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</si>
  <si>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</si>
  <si>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</si>
  <si>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</si>
  <si>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</si>
  <si>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</si>
  <si>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</si>
  <si>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</si>
  <si>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</si>
  <si>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</si>
  <si>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</si>
  <si>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</si>
  <si>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</si>
  <si>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</si>
  <si>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</si>
  <si>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</si>
  <si>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</si>
  <si>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</si>
  <si>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</si>
  <si>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</si>
  <si>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</si>
  <si>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</si>
  <si>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</si>
  <si>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</si>
  <si>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</si>
  <si>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</si>
  <si>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</si>
  <si>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</si>
  <si>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</si>
  <si>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</si>
  <si>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</si>
  <si>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</si>
  <si>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</si>
  <si>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</si>
  <si>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</si>
  <si>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</si>
  <si>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</si>
  <si>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</si>
  <si>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</si>
  <si>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</si>
  <si>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</si>
  <si>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</si>
  <si>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</si>
  <si>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</si>
  <si>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</si>
  <si>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</si>
  <si>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</si>
  <si>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</si>
  <si>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</si>
  <si>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</si>
  <si>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</si>
  <si>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</si>
  <si>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</si>
  <si>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</si>
  <si>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</si>
  <si>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</si>
  <si>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</si>
  <si>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</si>
  <si>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</si>
  <si>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</si>
  <si>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</si>
  <si>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</si>
  <si>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</si>
  <si>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</si>
  <si>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</si>
  <si>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</si>
  <si>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</si>
  <si>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</si>
  <si>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</si>
  <si>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</si>
  <si>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</si>
  <si>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</si>
  <si>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</si>
  <si>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</si>
  <si>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</si>
  <si>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</si>
  <si>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</si>
  <si>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</si>
  <si>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</si>
  <si>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</si>
  <si>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</si>
  <si>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</si>
  <si>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</si>
  <si>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</si>
  <si>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</si>
  <si>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</si>
  <si>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</si>
  <si>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</si>
  <si>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</si>
  <si>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</si>
  <si>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</si>
  <si>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</si>
  <si>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</si>
  <si>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</si>
  <si>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</si>
  <si>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</si>
  <si>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</si>
  <si>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</si>
  <si>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</si>
  <si>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</si>
  <si>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</si>
  <si>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</si>
  <si>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</si>
  <si>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</si>
  <si>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</si>
  <si>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</si>
  <si>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</si>
  <si>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</si>
  <si>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</si>
  <si>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</si>
  <si>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</si>
  <si>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</si>
  <si>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</si>
  <si>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</si>
  <si>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</si>
  <si>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</si>
  <si>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</si>
  <si>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</si>
  <si>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</si>
  <si>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</si>
  <si>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</si>
  <si>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</si>
  <si>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</si>
  <si>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</si>
  <si>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</si>
  <si>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</si>
  <si>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</si>
  <si>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</si>
  <si>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</si>
  <si>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</si>
  <si>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</si>
  <si>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</si>
  <si>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</si>
  <si>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</si>
  <si>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</si>
  <si>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</si>
  <si>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</si>
  <si>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</si>
  <si>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</si>
  <si>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</si>
  <si>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</si>
  <si>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</si>
  <si>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</si>
  <si>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</si>
  <si>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</si>
  <si>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</si>
  <si>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</si>
  <si>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</si>
  <si>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</si>
  <si>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</si>
  <si>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</si>
  <si>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</si>
  <si>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</si>
  <si>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</si>
  <si>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</si>
  <si>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</si>
  <si>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</si>
  <si>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</si>
  <si>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</si>
  <si>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</si>
  <si>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</si>
  <si>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</si>
  <si>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</si>
  <si>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</si>
  <si>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</si>
  <si>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</si>
  <si>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</si>
  <si>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</si>
  <si>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</si>
  <si>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</si>
  <si>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</si>
  <si>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</si>
  <si>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</si>
  <si>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</si>
  <si>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</si>
  <si>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</si>
  <si>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</si>
  <si>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</si>
  <si>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</si>
  <si>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</si>
  <si>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</si>
  <si>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</si>
  <si>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</si>
  <si>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</si>
  <si>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</si>
  <si>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</si>
  <si>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</si>
  <si>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</si>
  <si>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</si>
  <si>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</si>
  <si>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</si>
  <si>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</si>
  <si>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</si>
  <si>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</si>
  <si>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</si>
  <si>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</si>
  <si>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</si>
  <si>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</si>
  <si>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</si>
  <si>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</si>
  <si>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</si>
  <si>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</si>
  <si>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</si>
  <si>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</si>
  <si>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</si>
  <si>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</si>
  <si>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</si>
  <si>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</si>
  <si>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</si>
  <si>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</si>
  <si>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</si>
  <si>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</si>
  <si>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</si>
  <si>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</si>
  <si>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</si>
  <si>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</si>
  <si>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</si>
  <si>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</si>
  <si>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</si>
  <si>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</si>
  <si>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</si>
  <si>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</si>
  <si>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</si>
  <si>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</si>
  <si>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</si>
  <si>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</si>
  <si>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</si>
  <si>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</si>
  <si>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</si>
  <si>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</si>
  <si>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</si>
  <si>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</si>
  <si>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</si>
  <si>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</si>
  <si>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</si>
  <si>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</si>
  <si>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</si>
  <si>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</si>
  <si>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</si>
  <si>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</si>
  <si>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</si>
  <si>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</si>
  <si>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</si>
  <si>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</si>
  <si>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</si>
  <si>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</si>
  <si>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</si>
  <si>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</si>
  <si>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</si>
  <si>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</si>
  <si>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</si>
  <si>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</si>
  <si>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</si>
  <si>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</si>
  <si>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</si>
  <si>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</si>
  <si>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</si>
  <si>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</si>
  <si>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</si>
  <si>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</si>
  <si>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</si>
  <si>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</si>
  <si>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</si>
  <si>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</si>
  <si>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</si>
  <si>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</si>
  <si>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</si>
  <si>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</si>
  <si>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</si>
  <si>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</si>
  <si>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</si>
  <si>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</si>
  <si>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</si>
  <si>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</si>
  <si>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</si>
  <si>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</si>
  <si>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</si>
  <si>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</si>
  <si>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</si>
  <si>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</si>
  <si>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</si>
  <si>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</si>
  <si>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</si>
  <si>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</si>
  <si>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</si>
  <si>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</si>
  <si>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</si>
  <si>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</si>
  <si>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</si>
  <si>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</si>
  <si>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</si>
  <si>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</si>
  <si>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</si>
  <si>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</si>
  <si>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</si>
  <si>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</si>
  <si>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</si>
  <si>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</si>
  <si>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</si>
  <si>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</si>
  <si>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</si>
  <si>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</si>
  <si>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</si>
  <si>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</si>
  <si>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</si>
  <si>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</si>
  <si>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</si>
  <si>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</si>
  <si>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</si>
  <si>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</si>
  <si>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</si>
  <si>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</si>
  <si>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</si>
  <si>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</si>
  <si>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</si>
  <si>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</si>
  <si>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</si>
  <si>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</si>
  <si>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</si>
  <si>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</si>
  <si>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</si>
  <si>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</si>
  <si>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</si>
  <si>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</si>
  <si>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</si>
  <si>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</si>
  <si>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</si>
  <si>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</si>
  <si>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</si>
  <si>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</si>
  <si>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</si>
  <si>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</si>
  <si>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</si>
  <si>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</si>
  <si>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</si>
  <si>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</si>
  <si>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</si>
  <si>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</si>
  <si>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</si>
  <si>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</si>
  <si>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</si>
  <si>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</si>
  <si>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</si>
  <si>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</si>
  <si>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</si>
  <si>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</si>
  <si>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</si>
  <si>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</si>
  <si>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</si>
  <si>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</si>
  <si>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</si>
  <si>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</si>
  <si>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</si>
  <si>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</si>
  <si>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</si>
  <si>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</si>
  <si>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</si>
  <si>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</si>
  <si>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</si>
  <si>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</si>
  <si>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</si>
  <si>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</si>
  <si>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</si>
  <si>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</si>
  <si>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</si>
  <si>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</si>
  <si>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</si>
  <si>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</si>
  <si>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</si>
  <si>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</si>
  <si>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</si>
  <si>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</si>
  <si>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</si>
  <si>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</si>
  <si>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</si>
  <si>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</si>
  <si>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</si>
  <si>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</si>
  <si>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</si>
  <si>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</si>
  <si>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</si>
  <si>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</si>
  <si>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</si>
  <si>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</si>
  <si>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</si>
  <si>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</si>
  <si>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</si>
  <si>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</si>
  <si>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</si>
  <si>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</si>
  <si>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</si>
  <si>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</si>
  <si>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</si>
  <si>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</si>
  <si>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</si>
  <si>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</si>
  <si>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</si>
  <si>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</si>
  <si>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</si>
  <si>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</si>
  <si>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</si>
  <si>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</si>
  <si>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</si>
  <si>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</si>
  <si>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</si>
  <si>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</si>
  <si>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</si>
  <si>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</si>
  <si>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</si>
  <si>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</si>
  <si>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</si>
  <si>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</si>
  <si>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</si>
  <si>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</si>
  <si>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</si>
  <si>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</si>
  <si>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</si>
  <si>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</si>
  <si>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</si>
  <si>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</si>
  <si>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</si>
  <si>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</si>
  <si>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</si>
  <si>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</si>
  <si>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</si>
  <si>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</si>
  <si>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</si>
  <si>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</si>
  <si>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</si>
  <si>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</si>
  <si>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</si>
  <si>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</si>
  <si>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</si>
  <si>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</si>
  <si>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</si>
  <si>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</si>
  <si>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</si>
  <si>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</si>
  <si>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</si>
  <si>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</si>
  <si>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</si>
  <si>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</si>
  <si>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</si>
  <si>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</si>
  <si>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</si>
  <si>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</si>
  <si>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</si>
  <si>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</si>
  <si>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</si>
  <si>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</si>
  <si>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</si>
  <si>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</si>
  <si>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</si>
  <si>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</si>
  <si>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</si>
  <si>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</si>
  <si>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</si>
  <si>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</si>
  <si>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</si>
  <si>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</si>
  <si>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</si>
  <si>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</si>
  <si>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</si>
  <si>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</si>
  <si>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</si>
  <si>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</si>
  <si>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</si>
  <si>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</si>
  <si>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</si>
  <si>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</si>
  <si>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</si>
  <si>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</si>
  <si>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</si>
  <si>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</si>
  <si>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</si>
  <si>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</si>
  <si>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</si>
  <si>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</si>
  <si>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</si>
  <si>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</si>
  <si>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</si>
  <si>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</si>
  <si>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</si>
  <si>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</si>
  <si>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</si>
  <si>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</si>
  <si>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</si>
  <si>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</si>
  <si>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</si>
  <si>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</si>
  <si>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</si>
  <si>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</si>
  <si>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</si>
  <si>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</si>
  <si>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</si>
  <si>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</si>
  <si>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</si>
  <si>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</si>
  <si>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</si>
  <si>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</si>
  <si>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</si>
  <si>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</si>
  <si>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</si>
  <si>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</si>
  <si>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</si>
  <si>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</si>
  <si>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</si>
  <si>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</si>
  <si>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</si>
  <si>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</si>
  <si>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</si>
  <si>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</si>
  <si>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</si>
  <si>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</si>
  <si>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</si>
  <si>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</si>
  <si>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</si>
  <si>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</si>
  <si>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</si>
  <si>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</si>
  <si>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</si>
  <si>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</si>
  <si>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</si>
  <si>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</si>
  <si>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</si>
  <si>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</si>
  <si>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</si>
  <si>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</si>
  <si>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</si>
  <si>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</si>
  <si>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</si>
  <si>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</si>
  <si>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</si>
  <si>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</si>
  <si>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</si>
  <si>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</si>
  <si>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</si>
  <si>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</si>
  <si>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</si>
  <si>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</si>
  <si>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</si>
  <si>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</si>
  <si>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</si>
  <si>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</si>
  <si>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</si>
  <si>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</si>
  <si>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</si>
  <si>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</si>
  <si>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</si>
  <si>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</si>
  <si>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</si>
  <si>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</si>
  <si>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</si>
  <si>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</si>
  <si>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</si>
  <si>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</si>
  <si>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</si>
  <si>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</si>
  <si>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</si>
  <si>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</si>
  <si>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</si>
  <si>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</si>
  <si>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</si>
  <si>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</si>
  <si>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</si>
  <si>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</si>
  <si>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</si>
  <si>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</si>
  <si>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</si>
  <si>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</si>
  <si>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</si>
  <si>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</si>
  <si>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</si>
  <si>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</si>
  <si>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</si>
  <si>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</si>
  <si>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</si>
  <si>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</si>
  <si>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</si>
  <si>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</si>
  <si>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</si>
  <si>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</si>
  <si>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</si>
  <si>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</si>
  <si>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</si>
  <si>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</si>
  <si>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</si>
  <si>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</si>
  <si>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</si>
  <si>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</si>
  <si>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</si>
  <si>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</si>
  <si>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</si>
  <si>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</si>
  <si>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</si>
  <si>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</si>
  <si>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</si>
  <si>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</si>
  <si>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</si>
  <si>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</si>
  <si>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</si>
  <si>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</si>
  <si>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</si>
  <si>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</si>
  <si>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</si>
  <si>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</si>
  <si>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</si>
  <si>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</si>
  <si>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</si>
  <si>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</si>
  <si>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</si>
  <si>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</si>
  <si>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</si>
  <si>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</si>
  <si>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</si>
  <si>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</si>
  <si>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</si>
  <si>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</si>
  <si>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</si>
  <si>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</si>
  <si>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</si>
  <si>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</si>
  <si>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</si>
  <si>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</si>
  <si>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</si>
  <si>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</si>
  <si>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</si>
  <si>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</si>
  <si>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</si>
  <si>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</si>
  <si>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</si>
  <si>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</si>
  <si>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</si>
  <si>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</si>
  <si>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</si>
  <si>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</si>
  <si>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</si>
  <si>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</si>
  <si>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</si>
  <si>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</si>
  <si>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</si>
  <si>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</si>
  <si>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</si>
  <si>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</si>
  <si>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</si>
  <si>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</si>
  <si>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</si>
  <si>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</si>
  <si>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</si>
  <si>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</si>
  <si>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</si>
  <si>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</si>
  <si>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</si>
  <si>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</si>
  <si>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</si>
  <si>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</si>
  <si>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</si>
  <si>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</si>
  <si>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</si>
  <si>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</si>
  <si>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</si>
  <si>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</si>
  <si>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</si>
  <si>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</si>
  <si>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</si>
  <si>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</si>
  <si>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</si>
  <si>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</si>
  <si>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</si>
  <si>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</si>
  <si>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</si>
  <si>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</si>
  <si>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</si>
  <si>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</si>
  <si>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</si>
  <si>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</si>
  <si>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</si>
  <si>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</si>
  <si>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</si>
  <si>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</si>
  <si>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</si>
  <si>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</si>
  <si>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</si>
  <si>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</si>
  <si>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</si>
  <si>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</si>
  <si>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</si>
  <si>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</si>
  <si>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</si>
  <si>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</si>
  <si>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</si>
  <si>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</si>
  <si>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</si>
  <si>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</si>
  <si>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</si>
  <si>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</si>
  <si>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</si>
  <si>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</si>
  <si>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</si>
  <si>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</si>
  <si>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</si>
  <si>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</si>
  <si>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</si>
  <si>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</si>
  <si>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</si>
  <si>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</si>
  <si>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</si>
  <si>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</si>
  <si>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</si>
  <si>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</si>
  <si>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</si>
  <si>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</si>
  <si>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</si>
  <si>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</si>
  <si>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</si>
  <si>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</si>
  <si>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</si>
  <si>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</si>
  <si>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</si>
  <si>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</si>
  <si>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</si>
  <si>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</si>
  <si>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</si>
  <si>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</si>
  <si>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</si>
  <si>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</si>
  <si>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</si>
  <si>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</si>
  <si>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</si>
  <si>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</si>
  <si>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</si>
  <si>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</si>
  <si>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</si>
  <si>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</si>
  <si>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</si>
  <si>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</si>
  <si>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</si>
  <si>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</si>
  <si>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</si>
  <si>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</si>
  <si>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</si>
  <si>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</si>
  <si>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</si>
  <si>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</si>
  <si>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</si>
  <si>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</si>
  <si>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</si>
  <si>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</si>
  <si>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</si>
  <si>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</si>
  <si>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</si>
  <si>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</si>
  <si>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</si>
  <si>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</si>
  <si>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</si>
  <si>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</si>
  <si>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</si>
  <si>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</si>
  <si>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</si>
  <si>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</si>
  <si>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</si>
  <si>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</si>
  <si>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</si>
  <si>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</si>
  <si>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</si>
  <si>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</si>
  <si>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</si>
  <si>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</si>
  <si>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</si>
  <si>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</si>
  <si>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</si>
  <si>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</si>
  <si>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</si>
  <si>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</si>
  <si>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</si>
  <si>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</si>
  <si>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</si>
  <si>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</si>
  <si>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</si>
  <si>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</si>
  <si>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</si>
  <si>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</si>
  <si>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</si>
  <si>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</si>
  <si>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</si>
  <si>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</si>
  <si>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</si>
  <si>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</si>
  <si>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</si>
  <si>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</si>
  <si>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</si>
  <si>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</si>
  <si>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</si>
  <si>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</si>
  <si>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</si>
  <si>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</si>
  <si>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</si>
  <si>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</si>
  <si>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</si>
  <si>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</si>
  <si>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</si>
  <si>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</si>
  <si>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</si>
  <si>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</si>
  <si>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</si>
  <si>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</si>
  <si>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</si>
  <si>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</si>
  <si>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</si>
  <si>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</si>
  <si>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</si>
  <si>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</si>
  <si>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</si>
  <si>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</si>
  <si>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</si>
  <si>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</si>
  <si>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</si>
  <si>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</si>
  <si>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</si>
  <si>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</si>
  <si>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</si>
  <si>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</si>
  <si>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</si>
  <si>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</si>
  <si>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</si>
  <si>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</si>
  <si>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</si>
  <si>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</si>
  <si>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</si>
  <si>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</si>
  <si>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</si>
  <si>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</si>
  <si>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</si>
  <si>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</si>
  <si>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</si>
  <si>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</si>
  <si>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</si>
  <si>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</si>
  <si>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</si>
  <si>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</si>
  <si>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</si>
  <si>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</si>
  <si>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</si>
  <si>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</si>
  <si>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</si>
  <si>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</si>
  <si>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</si>
  <si>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</si>
  <si>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</si>
  <si>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</si>
  <si>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</si>
  <si>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</si>
  <si>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</si>
  <si>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</si>
  <si>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</si>
  <si>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</si>
  <si>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</si>
  <si>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</si>
  <si>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</si>
  <si>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</si>
  <si>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</si>
  <si>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</si>
  <si>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</si>
  <si>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</si>
  <si>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</si>
  <si>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</si>
  <si>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</si>
  <si>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</si>
  <si>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</si>
  <si>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</si>
  <si>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</si>
  <si>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</si>
  <si>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</si>
  <si>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</si>
  <si>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</si>
  <si>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</si>
  <si>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</si>
  <si>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</si>
  <si>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</si>
  <si>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</si>
  <si>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</si>
  <si>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</si>
  <si>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</si>
  <si>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</si>
  <si>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</si>
  <si>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</si>
  <si>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</si>
  <si>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</si>
  <si>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</si>
  <si>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</si>
  <si>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</si>
  <si>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</si>
  <si>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</si>
  <si>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</si>
  <si>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</si>
  <si>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</si>
  <si>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</si>
  <si>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</si>
  <si>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</si>
  <si>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</si>
  <si>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</si>
  <si>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</si>
  <si>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</si>
  <si>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</si>
  <si>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</si>
  <si>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</si>
  <si>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</si>
  <si>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</si>
  <si>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</si>
  <si>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</si>
  <si>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</si>
  <si>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</si>
  <si>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</si>
  <si>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</si>
  <si>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</si>
  <si>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</si>
  <si>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</si>
  <si>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</si>
  <si>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</si>
  <si>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</si>
  <si>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</si>
  <si>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</si>
  <si>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</si>
  <si>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</si>
  <si>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</si>
  <si>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</si>
  <si>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</si>
  <si>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</si>
  <si>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</si>
  <si>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</si>
  <si>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</si>
  <si>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</si>
  <si>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</si>
  <si>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</si>
  <si>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</si>
  <si>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</si>
  <si>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</si>
  <si>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</si>
  <si>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</si>
  <si>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</si>
  <si>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</si>
  <si>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</si>
  <si>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</si>
  <si>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</si>
  <si>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</si>
  <si>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</si>
  <si>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</si>
  <si>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</si>
  <si>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</si>
  <si>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</si>
  <si>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</si>
  <si>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</si>
  <si>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</si>
  <si>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</si>
  <si>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</si>
  <si>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</si>
  <si>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</si>
  <si>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</si>
  <si>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</si>
  <si>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</si>
  <si>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</si>
  <si>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</si>
  <si>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</si>
  <si>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</si>
  <si>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</si>
  <si>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</si>
  <si>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</si>
  <si>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</si>
  <si>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</si>
  <si>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</si>
  <si>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</si>
  <si>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</si>
  <si>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</si>
  <si>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</si>
  <si>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</si>
  <si>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</si>
  <si>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</si>
  <si>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</si>
  <si>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</si>
  <si>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</si>
  <si>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</si>
  <si>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</si>
  <si>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</si>
  <si>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</si>
  <si>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</si>
  <si>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</si>
  <si>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</si>
  <si>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</si>
  <si>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</si>
  <si>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</si>
  <si>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</si>
  <si>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</si>
  <si>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</si>
  <si>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</si>
  <si>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</si>
  <si>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</si>
  <si>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</si>
  <si>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</si>
  <si>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</si>
  <si>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</si>
  <si>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</si>
  <si>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</si>
  <si>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</si>
  <si>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</si>
  <si>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</si>
  <si>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</si>
  <si>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</si>
  <si>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</si>
  <si>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</si>
  <si>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</si>
  <si>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</si>
  <si>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</si>
  <si>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</si>
  <si>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</si>
  <si>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</si>
  <si>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</si>
  <si>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</si>
  <si>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</si>
  <si>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</si>
  <si>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</si>
  <si>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</si>
  <si>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</si>
  <si>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</si>
  <si>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</si>
  <si>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</si>
  <si>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</si>
  <si>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</si>
  <si>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</si>
  <si>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</si>
  <si>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</si>
  <si>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</si>
  <si>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</si>
  <si>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</si>
  <si>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</si>
  <si>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</si>
  <si>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</si>
  <si>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</si>
  <si>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</si>
  <si>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</si>
  <si>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</si>
  <si>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</si>
  <si>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</si>
  <si>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</si>
  <si>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</si>
  <si>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</si>
  <si>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</si>
  <si>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</si>
  <si>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</si>
  <si>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</si>
  <si>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</si>
  <si>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</si>
  <si>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</si>
  <si>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</si>
  <si>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</si>
  <si>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</si>
  <si>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</si>
  <si>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</si>
  <si>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</si>
  <si>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</si>
  <si>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</si>
  <si>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</si>
  <si>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</si>
  <si>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</si>
  <si>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</si>
  <si>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</si>
  <si>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</si>
  <si>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</si>
  <si>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</si>
  <si>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</si>
  <si>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</si>
  <si>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</si>
  <si>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</si>
  <si>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</si>
  <si>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</si>
  <si>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</si>
  <si>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</si>
  <si>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</si>
  <si>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</si>
  <si>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</si>
  <si>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</si>
  <si>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</si>
  <si>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</si>
  <si>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</si>
  <si>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</si>
  <si>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</si>
  <si>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</si>
  <si>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</si>
  <si>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</si>
  <si>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</si>
  <si>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</si>
  <si>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</si>
  <si>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</si>
  <si>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</si>
  <si>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</si>
  <si>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</si>
  <si>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</si>
  <si>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</si>
  <si>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</si>
  <si>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</si>
  <si>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</si>
  <si>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</si>
  <si>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</si>
  <si>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</si>
  <si>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</si>
  <si>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</si>
  <si>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</si>
  <si>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</si>
  <si>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</si>
  <si>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</si>
  <si>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</si>
  <si>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</si>
  <si>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</si>
  <si>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</si>
  <si>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</si>
  <si>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</si>
  <si>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</si>
  <si>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</si>
  <si>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</si>
  <si>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</si>
  <si>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</si>
  <si>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</si>
  <si>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</si>
  <si>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</si>
  <si>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</si>
  <si>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</si>
  <si>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</si>
  <si>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</si>
  <si>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</si>
  <si>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</si>
  <si>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</si>
  <si>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</si>
  <si>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</si>
  <si>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</si>
  <si>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</si>
  <si>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</si>
  <si>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</si>
  <si>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</si>
  <si>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</si>
  <si>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</si>
  <si>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</si>
  <si>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</si>
  <si>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</si>
  <si>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</si>
  <si>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</si>
  <si>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</si>
  <si>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</si>
  <si>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</si>
  <si>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</si>
  <si>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</si>
  <si>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</si>
  <si>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</si>
  <si>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</si>
  <si>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</si>
  <si>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</si>
  <si>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</si>
  <si>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</si>
  <si>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</si>
  <si>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</si>
  <si>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</si>
  <si>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</si>
  <si>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</si>
  <si>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</si>
  <si>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</si>
  <si>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</si>
  <si>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</si>
  <si>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</si>
  <si>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</si>
  <si>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</si>
  <si>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</si>
  <si>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</si>
  <si>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</si>
  <si>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</si>
  <si>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</si>
  <si>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</si>
  <si>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</si>
  <si>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</si>
  <si>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</si>
  <si>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</si>
  <si>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</si>
  <si>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</si>
  <si>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</si>
  <si>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</si>
  <si>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</si>
  <si>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</si>
  <si>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</si>
  <si>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</si>
  <si>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</si>
  <si>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</si>
  <si>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</si>
  <si>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</si>
  <si>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</si>
  <si>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</si>
  <si>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</si>
  <si>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</si>
  <si>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</si>
  <si>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</si>
  <si>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</si>
  <si>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</si>
  <si>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</si>
  <si>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</si>
  <si>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</si>
  <si>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</si>
  <si>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</si>
  <si>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</si>
  <si>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</si>
  <si>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</si>
  <si>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</si>
  <si>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</si>
  <si>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</si>
  <si>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</si>
  <si>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</si>
  <si>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</si>
  <si>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</si>
  <si>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</si>
  <si>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</si>
  <si>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</si>
  <si>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</si>
  <si>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</si>
  <si>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</si>
  <si>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</si>
  <si>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</si>
  <si>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</si>
  <si>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</si>
  <si>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</si>
  <si>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</si>
  <si>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</si>
  <si>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</si>
  <si>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</si>
  <si>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</si>
  <si>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</si>
  <si>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</si>
  <si>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</si>
  <si>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</si>
  <si>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</si>
  <si>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</si>
  <si>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</si>
  <si>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</si>
  <si>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</si>
  <si>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</si>
  <si>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</si>
  <si>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</si>
  <si>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</si>
  <si>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</si>
  <si>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</si>
  <si>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</si>
  <si>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</si>
  <si>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</si>
  <si>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</si>
  <si>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</si>
  <si>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</si>
  <si>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</si>
  <si>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</si>
  <si>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</si>
  <si>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</si>
  <si>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</si>
  <si>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</si>
  <si>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</si>
  <si>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</si>
  <si>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</si>
  <si>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</si>
  <si>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</si>
  <si>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</si>
  <si>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</si>
  <si>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</si>
  <si>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</si>
  <si>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</si>
  <si>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</si>
  <si>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</si>
  <si>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</si>
  <si>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</si>
  <si>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</si>
  <si>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</si>
  <si>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</si>
  <si>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</si>
  <si>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</si>
  <si>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</si>
  <si>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</si>
  <si>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</si>
  <si>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</si>
  <si>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</si>
  <si>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</si>
  <si>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</si>
  <si>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</si>
  <si>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</si>
  <si>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</si>
  <si>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</si>
  <si>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</si>
  <si>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</si>
  <si>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</si>
  <si>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</si>
  <si>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</si>
  <si>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</si>
  <si>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</si>
  <si>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</si>
  <si>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</si>
  <si>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</si>
  <si>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</si>
  <si>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</si>
  <si>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</si>
  <si>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</si>
  <si>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</si>
  <si>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</si>
  <si>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</si>
  <si>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</si>
  <si>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</si>
  <si>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</si>
  <si>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</si>
  <si>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</si>
  <si>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</si>
  <si>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</si>
  <si>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</si>
  <si>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</si>
  <si>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</si>
  <si>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</si>
  <si>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</si>
  <si>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</si>
  <si>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</si>
  <si>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</si>
  <si>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</si>
  <si>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</si>
  <si>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</si>
  <si>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</si>
  <si>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</si>
  <si>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</si>
  <si>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</si>
  <si>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</si>
  <si>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</si>
  <si>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</si>
  <si>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</si>
  <si>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</si>
  <si>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</si>
  <si>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</si>
  <si>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</si>
  <si>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</si>
  <si>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</si>
  <si>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</si>
  <si>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</si>
  <si>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</si>
  <si>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</si>
  <si>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</si>
  <si>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</si>
  <si>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</si>
  <si>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</si>
  <si>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</si>
  <si>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</si>
  <si>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</si>
  <si>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</si>
  <si>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</si>
  <si>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</si>
  <si>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</si>
  <si>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</si>
  <si>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</si>
  <si>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</si>
  <si>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</si>
  <si>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</si>
  <si>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</si>
  <si>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</si>
  <si>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</si>
  <si>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</si>
  <si>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</si>
  <si>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</si>
  <si>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</si>
  <si>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</si>
  <si>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</si>
  <si>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</si>
  <si>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</si>
  <si>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</si>
  <si>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</si>
  <si>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</si>
  <si>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</si>
  <si>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</si>
  <si>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</si>
  <si>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</si>
  <si>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</si>
  <si>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</si>
  <si>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</si>
  <si>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</si>
  <si>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</si>
  <si>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</si>
  <si>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</si>
  <si>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</si>
  <si>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</si>
  <si>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</si>
  <si>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</si>
  <si>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</si>
  <si>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</si>
  <si>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</si>
  <si>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</si>
  <si>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</si>
  <si>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</si>
  <si>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</si>
  <si>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</si>
  <si>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</si>
  <si>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</si>
  <si>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</si>
  <si>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</si>
  <si>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</si>
  <si>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</si>
  <si>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</si>
  <si>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</si>
  <si>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</si>
  <si>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</si>
  <si>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</si>
  <si>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</si>
  <si>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</si>
  <si>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</si>
  <si>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</si>
  <si>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</si>
  <si>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</si>
  <si>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</si>
  <si>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</si>
  <si>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</si>
  <si>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</si>
  <si>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</si>
  <si>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</si>
  <si>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</si>
  <si>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</si>
  <si>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</si>
  <si>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</si>
  <si>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</si>
  <si>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</si>
  <si>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</si>
  <si>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</si>
  <si>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</si>
  <si>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</si>
  <si>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</si>
  <si>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</si>
  <si>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</si>
  <si>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</si>
  <si>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</si>
  <si>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</si>
  <si>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</si>
  <si>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</si>
  <si>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</si>
  <si>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</si>
  <si>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</si>
  <si>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</si>
  <si>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</si>
  <si>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</si>
  <si>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</si>
  <si>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</si>
  <si>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</si>
  <si>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</si>
  <si>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</si>
  <si>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</si>
  <si>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</si>
  <si>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</si>
  <si>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</si>
  <si>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</si>
  <si>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</si>
  <si>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</si>
  <si>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</si>
  <si>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</si>
  <si>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</si>
  <si>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</si>
  <si>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</si>
  <si>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</si>
  <si>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</si>
  <si>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</si>
  <si>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</si>
  <si>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</si>
  <si>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</si>
  <si>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</si>
  <si>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</si>
  <si>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</si>
  <si>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</si>
  <si>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</si>
  <si>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</si>
  <si>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</si>
  <si>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</si>
  <si>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</si>
  <si>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</si>
  <si>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</si>
  <si>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</si>
  <si>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</si>
  <si>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</si>
  <si>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</si>
  <si>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</si>
  <si>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</si>
  <si>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</si>
  <si>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</si>
  <si>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</si>
  <si>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</si>
  <si>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</si>
  <si>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</si>
  <si>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</si>
  <si>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</si>
  <si>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</si>
  <si>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</si>
  <si>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</si>
  <si>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</si>
  <si>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</si>
  <si>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</si>
  <si>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</si>
  <si>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</si>
  <si>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</si>
  <si>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</si>
  <si>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</si>
  <si>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</si>
  <si>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</si>
  <si>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</si>
  <si>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</si>
  <si>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</si>
  <si>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</si>
  <si>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</si>
  <si>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</si>
  <si>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</si>
  <si>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</si>
  <si>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</si>
  <si>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</si>
  <si>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</si>
  <si>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</si>
  <si>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</si>
  <si>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</si>
  <si>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</si>
  <si>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</si>
  <si>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</si>
  <si>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</si>
  <si>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</si>
  <si>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</si>
  <si>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</si>
  <si>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</si>
  <si>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</si>
  <si>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</si>
  <si>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</si>
  <si>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</si>
  <si>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</si>
  <si>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</si>
  <si>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</si>
  <si>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</si>
  <si>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</si>
  <si>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</si>
  <si>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</si>
  <si>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</si>
  <si>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</si>
  <si>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</si>
  <si>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</si>
  <si>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</si>
  <si>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</si>
  <si>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</si>
  <si>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</si>
  <si>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</si>
  <si>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</si>
  <si>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</si>
  <si>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</si>
  <si>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</si>
  <si>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</si>
  <si>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</si>
  <si>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</si>
  <si>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</si>
  <si>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</si>
  <si>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</si>
  <si>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</si>
  <si>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</si>
  <si>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</si>
  <si>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</si>
  <si>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</si>
  <si>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</si>
  <si>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</si>
  <si>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</si>
  <si>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</si>
  <si>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</si>
  <si>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</si>
  <si>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</si>
  <si>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</si>
  <si>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</si>
  <si>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</si>
  <si>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</si>
  <si>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</si>
  <si>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</si>
  <si>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</si>
  <si>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</si>
  <si>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</si>
  <si>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</si>
  <si>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</si>
  <si>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</si>
  <si>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</si>
  <si>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</si>
  <si>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</si>
  <si>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</si>
  <si>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</si>
  <si>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</si>
  <si>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</si>
  <si>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</si>
  <si>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</si>
  <si>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</si>
  <si>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</si>
  <si>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</si>
  <si>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</si>
  <si>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</si>
  <si>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</si>
  <si>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</si>
  <si>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</si>
  <si>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</si>
  <si>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</si>
  <si>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</si>
  <si>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</si>
  <si>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</si>
  <si>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</si>
  <si>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</si>
  <si>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</si>
  <si>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</si>
  <si>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</si>
  <si>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</si>
  <si>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</si>
  <si>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</si>
  <si>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</si>
  <si>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</si>
  <si>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</si>
  <si>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</si>
  <si>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</si>
  <si>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</si>
  <si>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</si>
  <si>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</si>
  <si>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</si>
  <si>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</si>
  <si>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</si>
  <si>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</si>
  <si>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</si>
  <si>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</si>
  <si>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</si>
  <si>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</si>
  <si>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</si>
  <si>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</si>
  <si>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</si>
  <si>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</si>
  <si>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</si>
  <si>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</si>
  <si>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</si>
  <si>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</si>
  <si>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</si>
  <si>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</si>
  <si>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</si>
  <si>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</si>
  <si>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</si>
  <si>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</si>
  <si>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</si>
  <si>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</si>
  <si>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</si>
  <si>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</si>
  <si>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</si>
  <si>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</si>
  <si>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</si>
  <si>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</si>
  <si>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</si>
  <si>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</si>
  <si>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</si>
  <si>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</si>
  <si>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</si>
  <si>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</si>
  <si>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</si>
  <si>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</si>
  <si>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</si>
  <si>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</si>
  <si>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</si>
  <si>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</si>
  <si>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</si>
  <si>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</si>
  <si>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</si>
  <si>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</si>
  <si>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</si>
  <si>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</si>
  <si>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</si>
  <si>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</si>
  <si>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</si>
  <si>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</si>
  <si>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</si>
  <si>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</si>
  <si>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</si>
  <si>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</si>
  <si>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</si>
  <si>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</si>
  <si>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</si>
  <si>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</si>
  <si>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</si>
  <si>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</si>
  <si>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</si>
  <si>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</si>
  <si>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</si>
  <si>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</si>
  <si>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</si>
  <si>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</si>
  <si>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</si>
  <si>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</si>
  <si>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</si>
  <si>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</si>
  <si>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</si>
  <si>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</si>
  <si>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</si>
  <si>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</si>
  <si>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</si>
  <si>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</si>
  <si>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</si>
  <si>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</si>
  <si>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</si>
  <si>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</si>
  <si>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</si>
  <si>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</si>
  <si>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</si>
  <si>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</si>
  <si>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</si>
  <si>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</si>
  <si>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</si>
  <si>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</si>
  <si>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</si>
  <si>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</si>
  <si>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</si>
  <si>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</si>
  <si>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</si>
  <si>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</si>
  <si>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</si>
  <si>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</si>
  <si>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</si>
  <si>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</si>
  <si>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</si>
  <si>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</si>
  <si>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</si>
  <si>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</si>
  <si>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</si>
  <si>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</si>
  <si>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</si>
  <si>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</si>
  <si>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</si>
  <si>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</si>
  <si>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</si>
  <si>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</si>
  <si>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</si>
  <si>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</si>
  <si>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</si>
  <si>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</si>
  <si>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</si>
  <si>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</si>
  <si>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</si>
  <si>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</si>
  <si>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</si>
  <si>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</si>
  <si>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</si>
  <si>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</si>
  <si>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</si>
  <si>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</si>
  <si>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</si>
  <si>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</si>
  <si>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</si>
  <si>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</si>
  <si>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</si>
  <si>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</si>
  <si>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</si>
  <si>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</si>
  <si>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</si>
  <si>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</si>
  <si>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</si>
  <si>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</si>
  <si>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</si>
  <si>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</si>
  <si>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</si>
  <si>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</si>
  <si>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</si>
  <si>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</si>
  <si>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</si>
  <si>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</si>
  <si>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</si>
  <si>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</si>
  <si>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</si>
  <si>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</si>
  <si>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</si>
  <si>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</si>
  <si>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</si>
  <si>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</si>
  <si>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</si>
  <si>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</si>
  <si>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</si>
  <si>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</si>
  <si>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</si>
  <si>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</si>
  <si>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</si>
  <si>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</si>
  <si>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</si>
  <si>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</si>
  <si>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</si>
  <si>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</si>
  <si>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</si>
  <si>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</si>
  <si>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</si>
  <si>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</si>
  <si>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</si>
  <si>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</si>
  <si>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</si>
  <si>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</si>
  <si>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</si>
  <si>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</si>
  <si>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</si>
  <si>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</si>
  <si>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</si>
  <si>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</si>
  <si>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</si>
  <si>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</si>
  <si>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</si>
  <si>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</si>
  <si>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</si>
  <si>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</si>
  <si>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</si>
  <si>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</si>
  <si>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</si>
  <si>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</si>
  <si>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</si>
  <si>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</si>
  <si>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</si>
  <si>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</si>
  <si>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</si>
  <si>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</si>
  <si>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</si>
  <si>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</si>
  <si>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</si>
  <si>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</si>
  <si>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</si>
  <si>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</si>
  <si>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</si>
  <si>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</si>
  <si>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</si>
  <si>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</si>
  <si>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</si>
  <si>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</si>
  <si>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</si>
  <si>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</si>
  <si>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</si>
  <si>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</si>
  <si>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</si>
  <si>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</si>
  <si>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</si>
  <si>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</si>
  <si>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</si>
  <si>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</si>
  <si>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</si>
  <si>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</si>
  <si>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</si>
  <si>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</si>
  <si>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</si>
  <si>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</si>
  <si>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</si>
  <si>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</si>
  <si>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</si>
  <si>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</si>
  <si>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</si>
  <si>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</si>
  <si>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</si>
  <si>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</si>
  <si>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</si>
  <si>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</si>
  <si>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</si>
  <si>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</si>
  <si>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</si>
  <si>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</si>
  <si>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</si>
  <si>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</si>
  <si>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</si>
  <si>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</si>
  <si>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</si>
  <si>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</si>
  <si>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</si>
  <si>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</si>
  <si>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</si>
  <si>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</si>
  <si>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</si>
  <si>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</si>
  <si>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</si>
  <si>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</si>
  <si>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</si>
  <si>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</si>
  <si>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</si>
  <si>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</si>
  <si>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</si>
  <si>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</si>
  <si>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</si>
  <si>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</si>
  <si>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</si>
  <si>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</si>
  <si>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</si>
  <si>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</si>
  <si>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</si>
  <si>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</si>
  <si>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</si>
  <si>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</si>
  <si>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</si>
  <si>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</si>
  <si>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</si>
  <si>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</si>
  <si>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</si>
  <si>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</si>
  <si>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</si>
  <si>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</si>
  <si>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</si>
  <si>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</si>
  <si>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</si>
  <si>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</si>
  <si>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</si>
  <si>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</si>
  <si>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</si>
  <si>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</si>
  <si>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</si>
  <si>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</si>
  <si>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</si>
  <si>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</si>
  <si>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</si>
  <si>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</si>
  <si>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</si>
  <si>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</si>
  <si>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</si>
  <si>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</si>
  <si>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</si>
  <si>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</si>
  <si>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</si>
  <si>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</si>
  <si>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</si>
  <si>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</si>
  <si>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</si>
  <si>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</si>
  <si>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</si>
  <si>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</si>
  <si>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</si>
  <si>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</si>
  <si>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</si>
  <si>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</si>
  <si>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</si>
  <si>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</si>
  <si>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</si>
  <si>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</si>
  <si>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</si>
  <si>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</si>
  <si>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</si>
  <si>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</si>
  <si>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</si>
  <si>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</si>
  <si>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</si>
  <si>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</si>
  <si>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</si>
  <si>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</si>
  <si>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</si>
  <si>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</si>
  <si>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</si>
  <si>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</si>
  <si>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</si>
  <si>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</si>
  <si>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</si>
  <si>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</si>
  <si>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</si>
  <si>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</si>
  <si>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</si>
  <si>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</si>
  <si>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</si>
  <si>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</si>
  <si>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</si>
  <si>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</si>
  <si>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</si>
  <si>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</si>
  <si>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</si>
  <si>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</si>
  <si>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</si>
  <si>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</si>
  <si>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</si>
  <si>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</si>
  <si>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</si>
  <si>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</si>
  <si>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</si>
  <si>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</si>
  <si>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</si>
  <si>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</si>
  <si>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</si>
  <si>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</si>
  <si>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</si>
  <si>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</si>
  <si>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</si>
  <si>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</si>
  <si>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</si>
  <si>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</si>
  <si>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</si>
  <si>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</si>
  <si>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</si>
  <si>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</si>
  <si>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</si>
  <si>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</si>
  <si>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</si>
  <si>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</si>
  <si>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</si>
  <si>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</si>
  <si>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</si>
  <si>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</si>
  <si>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</si>
  <si>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</si>
  <si>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</si>
  <si>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</si>
  <si>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</si>
  <si>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</si>
  <si>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</si>
  <si>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</si>
  <si>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</si>
  <si>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</si>
  <si>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</si>
  <si>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</si>
  <si>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</si>
  <si>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</si>
  <si>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</si>
  <si>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</si>
  <si>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</si>
  <si>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</si>
  <si>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</si>
  <si>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</si>
  <si>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</si>
  <si>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</si>
  <si>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</si>
  <si>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</si>
  <si>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</si>
  <si>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</si>
  <si>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</si>
  <si>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</si>
  <si>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</si>
  <si>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</si>
  <si>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</si>
  <si>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</si>
  <si>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</si>
  <si>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</si>
  <si>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</si>
  <si>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</si>
  <si>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</si>
  <si>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</si>
  <si>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</si>
  <si>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</si>
  <si>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</si>
  <si>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</si>
  <si>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</si>
  <si>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</si>
  <si>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</si>
  <si>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</si>
  <si>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</si>
  <si>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</si>
  <si>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</si>
  <si>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</si>
  <si>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</si>
  <si>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</si>
  <si>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</si>
  <si>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</si>
  <si>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</si>
  <si>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</si>
  <si>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</si>
  <si>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</si>
  <si>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</si>
  <si>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</si>
  <si>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</si>
  <si>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</si>
  <si>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</si>
  <si>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</si>
  <si>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</si>
  <si>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</si>
  <si>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</si>
  <si>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</si>
  <si>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</si>
  <si>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</si>
  <si>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</si>
  <si>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</si>
  <si>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</si>
  <si>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</si>
  <si>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</si>
  <si>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</si>
  <si>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</si>
  <si>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</si>
  <si>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</si>
  <si>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</si>
  <si>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</si>
  <si>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</si>
  <si>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</si>
  <si>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</si>
  <si>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</si>
  <si>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</si>
  <si>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</si>
  <si>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</si>
  <si>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</si>
  <si>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</si>
  <si>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</si>
  <si>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</si>
  <si>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</si>
  <si>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</si>
  <si>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</si>
  <si>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</si>
  <si>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</si>
  <si>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</si>
  <si>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</si>
  <si>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</si>
  <si>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</si>
  <si>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</si>
  <si>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</si>
  <si>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</si>
  <si>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</si>
  <si>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</si>
  <si>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</si>
  <si>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</si>
  <si>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</si>
  <si>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</si>
  <si>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</si>
  <si>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</si>
  <si>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</si>
  <si>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</si>
  <si>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</si>
  <si>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</si>
  <si>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</si>
  <si>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</si>
  <si>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</si>
  <si>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</si>
  <si>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</si>
  <si>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</si>
  <si>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</si>
  <si>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</si>
  <si>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</si>
  <si>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</si>
  <si>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</si>
  <si>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</si>
  <si>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</si>
  <si>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</si>
  <si>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</si>
  <si>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</si>
  <si>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</si>
  <si>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</si>
  <si>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</si>
  <si>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</si>
  <si>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</si>
  <si>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</si>
  <si>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</si>
  <si>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</si>
  <si>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</si>
  <si>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</si>
  <si>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</si>
  <si>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</si>
  <si>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</si>
  <si>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</si>
  <si>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</si>
  <si>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</si>
  <si>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</si>
  <si>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</si>
  <si>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</si>
  <si>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</si>
  <si>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</si>
  <si>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</si>
  <si>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</si>
  <si>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</si>
  <si>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</si>
  <si>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</si>
  <si>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</si>
  <si>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</si>
  <si>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</si>
  <si>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</si>
  <si>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</si>
  <si>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</si>
  <si>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</si>
  <si>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</si>
  <si>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</si>
  <si>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</si>
  <si>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</si>
  <si>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</si>
  <si>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</si>
  <si>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</si>
  <si>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</si>
  <si>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</si>
  <si>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</si>
  <si>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</si>
  <si>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</si>
  <si>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</si>
  <si>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</si>
  <si>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</si>
  <si>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</si>
  <si>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</si>
  <si>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</si>
  <si>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</si>
  <si>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</si>
  <si>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</si>
  <si>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</si>
  <si>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</si>
  <si>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</si>
  <si>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</si>
  <si>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</si>
  <si>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</si>
  <si>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</si>
  <si>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</si>
  <si>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</si>
  <si>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</si>
  <si>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</si>
  <si>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</si>
  <si>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</si>
  <si>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</si>
  <si>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</si>
  <si>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</si>
  <si>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</si>
  <si>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</si>
  <si>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</si>
  <si>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</si>
  <si>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</si>
  <si>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</si>
  <si>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</si>
  <si>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</si>
  <si>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</si>
  <si>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</si>
  <si>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</si>
  <si>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</si>
  <si>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</si>
  <si>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</si>
  <si>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</si>
  <si>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</si>
  <si>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</si>
  <si>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</si>
  <si>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</si>
  <si>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</si>
  <si>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</si>
  <si>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</si>
  <si>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</si>
  <si>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</si>
  <si>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</si>
  <si>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</si>
  <si>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</si>
  <si>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</si>
  <si>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</si>
  <si>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</si>
  <si>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</si>
  <si>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</si>
  <si>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</si>
  <si>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</si>
  <si>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</si>
  <si>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</si>
  <si>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</si>
  <si>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</si>
  <si>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</si>
  <si>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</si>
  <si>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</si>
  <si>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</si>
  <si>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</si>
  <si>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</si>
  <si>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</si>
  <si>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</si>
  <si>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</si>
  <si>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</si>
  <si>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</si>
  <si>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</si>
  <si>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</si>
  <si>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</si>
  <si>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</si>
  <si>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</si>
  <si>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</si>
  <si>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</si>
  <si>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</si>
  <si>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</si>
  <si>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</si>
  <si>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</si>
  <si>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</si>
  <si>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</si>
  <si>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</si>
  <si>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</si>
  <si>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</si>
  <si>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</si>
  <si>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</si>
  <si>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</si>
  <si>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</si>
  <si>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</si>
  <si>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</si>
  <si>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</si>
  <si>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</si>
  <si>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</si>
  <si>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</si>
  <si>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</si>
  <si>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</si>
  <si>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</si>
  <si>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</si>
  <si>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</si>
  <si>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</si>
  <si>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</si>
  <si>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</si>
  <si>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</si>
  <si>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</si>
  <si>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</si>
  <si>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</si>
  <si>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</si>
  <si>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</si>
  <si>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</si>
  <si>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</si>
  <si>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</si>
  <si>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</si>
  <si>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</si>
  <si>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</si>
  <si>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</si>
  <si>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</si>
  <si>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</si>
  <si>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</si>
  <si>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</si>
  <si>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</si>
  <si>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</si>
  <si>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</si>
  <si>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</si>
  <si>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</si>
  <si>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</si>
  <si>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</si>
  <si>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</si>
  <si>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</si>
  <si>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</si>
  <si>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</si>
  <si>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</si>
  <si>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</si>
  <si>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</si>
  <si>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</si>
  <si>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</si>
  <si>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</si>
  <si>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</si>
  <si>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</si>
  <si>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</si>
  <si>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</si>
  <si>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</si>
  <si>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</si>
  <si>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</si>
  <si>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</si>
  <si>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</si>
  <si>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</si>
  <si>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</si>
  <si>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</si>
  <si>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</si>
  <si>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</si>
  <si>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</si>
  <si>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</si>
  <si>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</si>
  <si>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</si>
  <si>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</si>
  <si>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</si>
  <si>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</si>
  <si>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</si>
  <si>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</si>
  <si>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</si>
  <si>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</si>
  <si>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</si>
  <si>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</si>
  <si>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</si>
  <si>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</si>
  <si>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</si>
  <si>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</si>
  <si>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</si>
  <si>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</si>
  <si>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</si>
  <si>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</si>
  <si>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</si>
  <si>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</si>
  <si>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</si>
  <si>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</si>
  <si>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</si>
  <si>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</si>
  <si>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</si>
  <si>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</si>
  <si>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</si>
  <si>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</si>
  <si>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</si>
  <si>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</si>
  <si>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</si>
  <si>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</si>
  <si>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</si>
  <si>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</si>
  <si>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</si>
  <si>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</si>
  <si>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</si>
  <si>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</si>
  <si>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</si>
  <si>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</si>
  <si>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</si>
  <si>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</si>
  <si>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</si>
  <si>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</si>
  <si>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</si>
  <si>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</si>
  <si>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</si>
  <si>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</si>
  <si>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</si>
  <si>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</si>
  <si>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</si>
  <si>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</si>
  <si>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</si>
  <si>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</si>
  <si>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</si>
  <si>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</si>
  <si>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</si>
  <si>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</si>
  <si>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</si>
  <si>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</si>
  <si>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</si>
  <si>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</si>
  <si>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</si>
  <si>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</si>
  <si>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</si>
  <si>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</si>
  <si>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</si>
  <si>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</si>
  <si>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</si>
  <si>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</si>
  <si>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</si>
  <si>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</si>
  <si>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</si>
  <si>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</si>
  <si>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</si>
  <si>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</si>
  <si>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</si>
  <si>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</si>
  <si>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</si>
  <si>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</si>
  <si>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</si>
  <si>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</si>
  <si>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</si>
  <si>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</si>
  <si>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</si>
  <si>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</si>
  <si>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</si>
  <si>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</si>
  <si>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</si>
  <si>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</si>
  <si>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</si>
  <si>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</si>
  <si>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</si>
  <si>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</si>
  <si>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</si>
  <si>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</si>
  <si>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</si>
  <si>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</si>
  <si>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</si>
  <si>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</si>
  <si>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</si>
  <si>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</si>
  <si>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</si>
  <si>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</si>
  <si>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</si>
  <si>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</si>
  <si>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</si>
  <si>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</si>
  <si>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</si>
  <si>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</si>
  <si>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</si>
  <si>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</si>
  <si>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</si>
  <si>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</si>
  <si>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</si>
  <si>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</si>
  <si>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</si>
  <si>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</si>
  <si>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</si>
  <si>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</si>
  <si>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</si>
  <si>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</si>
  <si>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</si>
  <si>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</si>
  <si>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</si>
  <si>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</si>
  <si>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</si>
  <si>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</si>
  <si>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</si>
  <si>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</si>
  <si>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</si>
  <si>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</si>
  <si>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</si>
  <si>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</si>
  <si>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</si>
  <si>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</si>
  <si>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</si>
  <si>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</si>
  <si>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</si>
  <si>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</si>
  <si>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</si>
  <si>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</si>
  <si>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</si>
  <si>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</si>
  <si>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</si>
  <si>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</si>
  <si>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</si>
  <si>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</si>
  <si>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</si>
  <si>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</si>
  <si>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</si>
  <si>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</si>
  <si>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</si>
  <si>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</si>
  <si>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</si>
  <si>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</si>
  <si>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</si>
  <si>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</si>
  <si>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</si>
  <si>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</si>
  <si>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</si>
  <si>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</si>
  <si>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</si>
  <si>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</si>
  <si>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</si>
  <si>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</si>
  <si>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</si>
  <si>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</si>
  <si>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</si>
  <si>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</si>
  <si>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</si>
  <si>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</si>
  <si>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</si>
  <si>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</si>
  <si>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</si>
  <si>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</si>
  <si>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</si>
  <si>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</si>
  <si>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</si>
  <si>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</si>
  <si>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</si>
  <si>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</si>
  <si>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</si>
  <si>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</si>
  <si>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</si>
  <si>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</si>
  <si>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</si>
  <si>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</si>
  <si>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</si>
  <si>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</si>
  <si>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</si>
  <si>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</si>
  <si>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</si>
  <si>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</si>
  <si>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</si>
  <si>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</si>
  <si>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</si>
  <si>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</si>
  <si>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</si>
  <si>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</si>
  <si>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</si>
  <si>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</si>
  <si>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</si>
  <si>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</si>
  <si>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</si>
  <si>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</si>
  <si>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</si>
  <si>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</si>
  <si>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</si>
  <si>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</si>
  <si>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</si>
  <si>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</si>
  <si>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</si>
  <si>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</si>
  <si>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</si>
  <si>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</si>
  <si>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</si>
  <si>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</si>
  <si>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</si>
  <si>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</si>
  <si>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</si>
  <si>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</si>
  <si>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</si>
  <si>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</si>
  <si>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</si>
  <si>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</si>
  <si>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</si>
  <si>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</si>
  <si>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</si>
  <si>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</si>
  <si>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</si>
  <si>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</si>
  <si>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</si>
  <si>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</si>
  <si>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</si>
  <si>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</si>
  <si>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</si>
  <si>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</si>
  <si>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</si>
  <si>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</si>
  <si>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</si>
  <si>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</si>
  <si>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</si>
  <si>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</si>
  <si>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</si>
  <si>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</si>
  <si>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</si>
  <si>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</si>
  <si>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</si>
  <si>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</si>
  <si>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</si>
  <si>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</si>
  <si>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</si>
  <si>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</si>
  <si>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</si>
  <si>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</si>
  <si>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</si>
  <si>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</si>
  <si>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</si>
  <si>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</si>
  <si>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</si>
  <si>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</si>
  <si>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</si>
  <si>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</si>
  <si>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</si>
  <si>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</si>
  <si>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</si>
  <si>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</si>
  <si>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</si>
  <si>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</si>
  <si>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</si>
  <si>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</si>
  <si>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</si>
  <si>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</si>
  <si>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</si>
  <si>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</si>
  <si>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</si>
  <si>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</si>
  <si>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</si>
  <si>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</si>
  <si>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</si>
  <si>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</si>
  <si>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</si>
  <si>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</si>
  <si>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</si>
  <si>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</si>
  <si>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</si>
  <si>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</si>
  <si>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</si>
  <si>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</si>
  <si>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</si>
  <si>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</si>
  <si>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</si>
  <si>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</si>
  <si>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</si>
  <si>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</si>
  <si>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</si>
  <si>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</si>
  <si>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</si>
  <si>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</si>
  <si>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</si>
  <si>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</si>
  <si>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</si>
  <si>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</si>
  <si>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</si>
  <si>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</si>
  <si>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</si>
  <si>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</si>
  <si>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</si>
  <si>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</si>
  <si>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</si>
  <si>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</si>
  <si>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</si>
  <si>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</si>
  <si>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</si>
  <si>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</si>
  <si>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</si>
  <si>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</si>
  <si>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</si>
  <si>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</si>
  <si>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</si>
  <si>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</si>
  <si>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</si>
  <si>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</si>
  <si>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</si>
  <si>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</si>
  <si>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</si>
  <si>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</si>
  <si>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</si>
  <si>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</si>
  <si>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</si>
  <si>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</si>
  <si>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</si>
  <si>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</si>
  <si>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</si>
  <si>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</si>
  <si>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</si>
  <si>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</si>
  <si>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</si>
  <si>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</si>
  <si>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</si>
  <si>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</si>
  <si>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</si>
  <si>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</si>
  <si>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</si>
  <si>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</si>
  <si>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</si>
  <si>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</si>
  <si>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</si>
  <si>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</si>
  <si>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</si>
  <si>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</si>
  <si>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</si>
  <si>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</si>
  <si>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</si>
  <si>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</si>
  <si>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</si>
  <si>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</si>
  <si>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</si>
  <si>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</si>
  <si>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</si>
  <si>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</si>
  <si>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</si>
  <si>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</si>
  <si>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</si>
  <si>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</si>
  <si>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</si>
  <si>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</si>
  <si>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</si>
  <si>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</si>
  <si>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</si>
  <si>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</si>
  <si>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</si>
  <si>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</si>
  <si>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</si>
  <si>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</si>
  <si>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</si>
  <si>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</si>
  <si>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</si>
  <si>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</si>
  <si>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</si>
  <si>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</si>
  <si>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</si>
  <si>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</si>
  <si>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</si>
  <si>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</si>
  <si>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</si>
  <si>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</si>
  <si>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</si>
  <si>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</si>
  <si>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</si>
  <si>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</si>
  <si>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</si>
  <si>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</si>
  <si>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</si>
  <si>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</si>
  <si>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</si>
  <si>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</si>
  <si>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</si>
  <si>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</si>
  <si>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</si>
  <si>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</si>
  <si>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</si>
  <si>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</si>
  <si>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</si>
  <si>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</si>
  <si>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</si>
  <si>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</si>
  <si>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</si>
  <si>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</si>
  <si>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</si>
  <si>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</si>
  <si>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</si>
  <si>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</si>
  <si>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</si>
  <si>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</si>
  <si>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</si>
  <si>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</si>
  <si>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</si>
  <si>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</si>
  <si>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</si>
  <si>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</si>
  <si>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</si>
  <si>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</si>
  <si>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</si>
  <si>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</si>
  <si>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</si>
  <si>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</si>
  <si>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</si>
  <si>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</si>
  <si>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</si>
  <si>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</si>
  <si>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</si>
  <si>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</si>
  <si>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</si>
  <si>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</si>
  <si>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</si>
  <si>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</si>
  <si>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</si>
  <si>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</si>
  <si>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</si>
  <si>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</si>
  <si>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</si>
  <si>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</si>
  <si>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</si>
  <si>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</si>
  <si>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</si>
  <si>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</si>
  <si>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</si>
  <si>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</si>
  <si>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</si>
  <si>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</si>
  <si>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</si>
  <si>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</si>
  <si>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</si>
  <si>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</si>
  <si>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</si>
  <si>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</si>
  <si>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</si>
  <si>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</si>
  <si>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</si>
  <si>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</si>
  <si>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</si>
  <si>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</si>
  <si>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</si>
  <si>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</si>
  <si>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</si>
  <si>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</si>
  <si>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</si>
  <si>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</si>
  <si>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</si>
  <si>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</si>
  <si>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</si>
  <si>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</si>
  <si>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</si>
  <si>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</si>
  <si>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</si>
  <si>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</si>
  <si>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</si>
  <si>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</si>
  <si>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</si>
  <si>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</si>
  <si>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</si>
  <si>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</si>
  <si>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</si>
  <si>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</si>
  <si>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</si>
  <si>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</si>
  <si>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</si>
  <si>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</si>
  <si>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</si>
  <si>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</si>
  <si>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</si>
  <si>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</si>
  <si>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</si>
  <si>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</si>
  <si>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</si>
  <si>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</si>
  <si>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</si>
  <si>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</si>
  <si>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</si>
  <si>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</si>
  <si>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</si>
  <si>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</si>
  <si>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</si>
  <si>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</si>
  <si>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</si>
  <si>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</si>
  <si>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</si>
  <si>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</si>
  <si>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</si>
  <si>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</si>
  <si>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</si>
  <si>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</si>
  <si>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</si>
  <si>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</si>
  <si>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</si>
  <si>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</si>
  <si>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</si>
  <si>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</si>
  <si>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</si>
  <si>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</si>
  <si>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</si>
  <si>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</si>
  <si>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</si>
  <si>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</si>
  <si>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</si>
  <si>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</si>
  <si>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</si>
  <si>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</si>
  <si>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</si>
  <si>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</si>
  <si>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</si>
  <si>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</si>
  <si>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</si>
  <si>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</si>
  <si>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</si>
  <si>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</si>
  <si>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</si>
  <si>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</si>
  <si>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</si>
  <si>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</si>
  <si>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</si>
  <si>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</si>
  <si>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</si>
  <si>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</si>
  <si>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</si>
  <si>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</si>
  <si>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</si>
  <si>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</si>
  <si>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</si>
  <si>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</si>
  <si>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</si>
  <si>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</si>
  <si>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</si>
  <si>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</si>
  <si>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</si>
  <si>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</si>
  <si>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</si>
  <si>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</si>
  <si>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</si>
  <si>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</si>
  <si>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</si>
  <si>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</si>
  <si>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</si>
  <si>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</si>
  <si>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</si>
  <si>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</si>
  <si>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</si>
  <si>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</si>
  <si>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</si>
  <si>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</si>
  <si>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</si>
  <si>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</si>
  <si>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</si>
  <si>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</si>
  <si>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</si>
  <si>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</si>
  <si>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</si>
  <si>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</si>
  <si>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</si>
  <si>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</si>
  <si>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</si>
  <si>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</si>
  <si>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</si>
  <si>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</si>
  <si>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</si>
  <si>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</si>
  <si>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</si>
  <si>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</si>
  <si>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</si>
  <si>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</si>
  <si>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</si>
  <si>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</si>
  <si>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</si>
  <si>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</si>
  <si>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</si>
  <si>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</si>
  <si>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</si>
  <si>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</si>
  <si>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</si>
  <si>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</si>
  <si>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</si>
  <si>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</si>
  <si>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</si>
  <si>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</si>
  <si>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</si>
  <si>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</si>
  <si>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</si>
  <si>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</si>
  <si>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</si>
  <si>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</si>
  <si>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</si>
  <si>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</si>
  <si>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</si>
  <si>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</si>
  <si>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</si>
  <si>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</si>
  <si>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</si>
  <si>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</si>
  <si>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</si>
  <si>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</si>
  <si>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</si>
  <si>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</si>
  <si>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</si>
  <si>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</si>
  <si>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</si>
  <si>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</si>
  <si>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</si>
  <si>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</si>
  <si>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</si>
  <si>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</si>
  <si>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</si>
  <si>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</si>
  <si>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</si>
  <si>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</si>
  <si>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</si>
  <si>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</si>
  <si>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</si>
  <si>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</si>
  <si>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</si>
  <si>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</si>
  <si>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</si>
  <si>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</si>
  <si>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</si>
  <si>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</si>
  <si>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</si>
  <si>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</si>
  <si>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</si>
  <si>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</si>
  <si>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</si>
  <si>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</si>
  <si>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</si>
  <si>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</si>
  <si>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</si>
  <si>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</si>
  <si>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</si>
  <si>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</si>
  <si>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</si>
  <si>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</si>
  <si>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</si>
  <si>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</si>
  <si>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</si>
  <si>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</si>
  <si>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</si>
  <si>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</si>
  <si>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</si>
  <si>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</si>
  <si>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</si>
  <si>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</si>
  <si>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</si>
  <si>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</si>
  <si>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</si>
  <si>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</si>
  <si>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</si>
  <si>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</si>
  <si>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</si>
  <si>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</si>
  <si>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</si>
  <si>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</si>
  <si>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</si>
  <si>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</si>
  <si>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</si>
  <si>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</si>
  <si>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</si>
  <si>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</si>
  <si>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</si>
  <si>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</si>
  <si>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</si>
  <si>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</si>
  <si>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</si>
  <si>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</si>
  <si>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</si>
  <si>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</si>
  <si>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</si>
  <si>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</si>
  <si>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</si>
  <si>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</si>
  <si>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</si>
  <si>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</si>
  <si>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</si>
  <si>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</si>
  <si>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</si>
  <si>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</si>
  <si>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</si>
  <si>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</si>
  <si>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</si>
  <si>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</si>
  <si>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</si>
  <si>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</si>
  <si>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</si>
  <si>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</si>
  <si>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</si>
  <si>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</si>
  <si>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</si>
  <si>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</si>
  <si>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</si>
  <si>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</si>
  <si>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</si>
  <si>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</si>
  <si>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</si>
  <si>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</si>
  <si>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</si>
  <si>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</si>
  <si>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</si>
  <si>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</si>
  <si>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</si>
  <si>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</si>
  <si>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</si>
  <si>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</si>
  <si>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</si>
  <si>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</si>
  <si>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</si>
  <si>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</si>
  <si>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</si>
  <si>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</si>
  <si>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</si>
  <si>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</si>
  <si>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</si>
  <si>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</si>
  <si>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</si>
  <si>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</si>
  <si>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</si>
  <si>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</si>
  <si>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</si>
  <si>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</si>
  <si>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</si>
  <si>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</si>
  <si>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</si>
  <si>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</si>
  <si>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</si>
  <si>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</si>
  <si>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</si>
  <si>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</si>
  <si>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</si>
  <si>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</si>
  <si>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</si>
  <si>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</si>
  <si>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</si>
  <si>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</si>
  <si>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</si>
  <si>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</si>
  <si>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</si>
  <si>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</si>
  <si>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</si>
  <si>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</si>
  <si>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</si>
  <si>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</si>
  <si>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</si>
  <si>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</si>
  <si>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</si>
  <si>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</si>
  <si>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</si>
  <si>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</si>
  <si>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</si>
  <si>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</si>
  <si>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</si>
  <si>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</si>
  <si>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</si>
  <si>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</si>
  <si>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</si>
  <si>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</si>
  <si>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</si>
  <si>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</si>
  <si>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</si>
  <si>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</si>
  <si>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</si>
  <si>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</si>
  <si>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</si>
  <si>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</si>
  <si>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</si>
  <si>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</si>
  <si>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</si>
  <si>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</si>
  <si>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</si>
  <si>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</si>
  <si>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</si>
  <si>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</si>
  <si>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</si>
  <si>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</si>
  <si>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</si>
  <si>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</si>
  <si>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</si>
  <si>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</si>
  <si>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</si>
  <si>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</si>
  <si>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</si>
  <si>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</si>
  <si>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</si>
  <si>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</si>
  <si>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</si>
  <si>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</si>
  <si>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</si>
  <si>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</si>
  <si>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</si>
  <si>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</si>
  <si>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</si>
  <si>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</si>
  <si>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</si>
  <si>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</si>
  <si>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</si>
  <si>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</si>
  <si>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</si>
  <si>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</si>
  <si>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</si>
  <si>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</si>
  <si>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</si>
  <si>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</si>
  <si>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</si>
  <si>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</si>
  <si>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</si>
  <si>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</si>
  <si>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</si>
  <si>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</si>
  <si>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</si>
  <si>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</si>
  <si>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</si>
  <si>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</si>
  <si>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</si>
  <si>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</si>
  <si>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</si>
  <si>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</si>
  <si>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</si>
  <si>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</si>
  <si>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</si>
  <si>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</si>
  <si>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</si>
  <si>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</si>
  <si>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</si>
  <si>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</si>
  <si>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</si>
  <si>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</si>
  <si>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</si>
  <si>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</si>
  <si>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</si>
  <si>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</si>
  <si>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</si>
  <si>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</si>
  <si>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</si>
  <si>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</si>
  <si>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</si>
  <si>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</si>
  <si>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</si>
  <si>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</si>
  <si>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</si>
  <si>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</si>
  <si>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</si>
  <si>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</si>
  <si>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</si>
  <si>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</si>
  <si>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</si>
  <si>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</si>
  <si>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</si>
  <si>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</si>
  <si>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</si>
  <si>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</si>
  <si>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</si>
  <si>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</si>
  <si>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</si>
  <si>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</si>
  <si>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</si>
  <si>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</si>
  <si>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</si>
  <si>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</si>
  <si>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</si>
  <si>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</si>
  <si>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</si>
  <si>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</si>
  <si>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</si>
  <si>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</si>
  <si>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</si>
  <si>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</si>
  <si>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</si>
  <si>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</si>
  <si>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</si>
  <si>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</si>
  <si>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</si>
  <si>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</si>
  <si>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</si>
  <si>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</si>
  <si>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</si>
  <si>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</si>
  <si>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</si>
  <si>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</si>
  <si>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</si>
  <si>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</si>
  <si>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</si>
  <si>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</si>
  <si>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</si>
  <si>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</si>
  <si>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</si>
  <si>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</si>
  <si>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</si>
  <si>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</si>
  <si>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</si>
  <si>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</si>
  <si>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</si>
  <si>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</si>
  <si>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</si>
  <si>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</si>
  <si>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</si>
  <si>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</si>
  <si>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</si>
  <si>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</si>
  <si>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</si>
  <si>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</si>
  <si>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</si>
  <si>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</si>
  <si>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</si>
  <si>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</si>
  <si>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</si>
  <si>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</si>
  <si>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</si>
  <si>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</si>
  <si>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</si>
  <si>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</si>
  <si>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</si>
  <si>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</si>
  <si>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</si>
  <si>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</si>
  <si>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</si>
  <si>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</si>
  <si>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</si>
  <si>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</si>
  <si>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</si>
  <si>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</si>
  <si>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</si>
  <si>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</si>
  <si>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</si>
  <si>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</si>
  <si>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</si>
  <si>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</si>
  <si>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</si>
  <si>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</si>
  <si>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</si>
  <si>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</si>
  <si>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</si>
  <si>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</si>
  <si>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</si>
  <si>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</si>
  <si>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</si>
  <si>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</si>
  <si>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</si>
  <si>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</si>
  <si>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</si>
  <si>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</si>
  <si>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</si>
  <si>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</si>
  <si>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</si>
  <si>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</si>
  <si>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</si>
  <si>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</si>
  <si>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</si>
  <si>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</si>
  <si>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</si>
  <si>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</si>
  <si>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</si>
  <si>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</si>
  <si>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</si>
  <si>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</si>
  <si>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</si>
  <si>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</si>
  <si>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</si>
  <si>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</si>
  <si>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</si>
  <si>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</si>
  <si>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</si>
  <si>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</si>
  <si>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</si>
  <si>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</si>
  <si>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</si>
  <si>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</si>
  <si>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</si>
  <si>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</si>
  <si>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</si>
  <si>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</si>
  <si>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</si>
  <si>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</si>
  <si>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</si>
  <si>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</si>
  <si>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</si>
  <si>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</si>
  <si>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</si>
  <si>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</si>
  <si>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</si>
  <si>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</si>
  <si>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</si>
  <si>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</si>
  <si>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</si>
  <si>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</si>
  <si>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</si>
  <si>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</si>
  <si>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</si>
  <si>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</si>
  <si>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</si>
  <si>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</si>
  <si>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</si>
  <si>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</si>
  <si>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</si>
  <si>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</si>
  <si>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</si>
  <si>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</si>
  <si>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</si>
  <si>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</si>
  <si>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</si>
  <si>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</si>
  <si>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</si>
  <si>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</si>
  <si>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</si>
  <si>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</si>
  <si>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</si>
  <si>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</si>
  <si>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</si>
  <si>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</si>
  <si>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</si>
  <si>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</si>
  <si>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</si>
  <si>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</si>
  <si>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</si>
  <si>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</si>
  <si>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</si>
  <si>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</si>
  <si>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</si>
  <si>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</si>
  <si>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</si>
  <si>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</si>
  <si>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</si>
  <si>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</si>
  <si>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Ⅵ-昌1</t>
  </si>
  <si>
    <t>昌平区昌平路395号院1号楼15层3单元1506</t>
    <phoneticPr fontId="3" type="noConversion"/>
  </si>
  <si>
    <t>序号</t>
  </si>
  <si>
    <t>   </t>
  </si>
  <si>
    <t>  </t>
  </si>
  <si>
    <t>天巢园</t>
  </si>
  <si>
    <t>22（-01）</t>
  </si>
  <si>
    <t>招商银行北京分行</t>
  </si>
  <si>
    <t>2023-3-17497-RB</t>
  </si>
  <si>
    <t>杨镇宁、蒋子宁</t>
  </si>
  <si>
    <t>昌平路395号院1号楼20层1单元2004</t>
  </si>
  <si>
    <t>丁博文</t>
  </si>
  <si>
    <t>昌平路395号院1号楼3层2单元302</t>
  </si>
  <si>
    <t>2022-3-23997-RA</t>
  </si>
  <si>
    <t>昌平路395号院1号楼4层1单元405</t>
  </si>
  <si>
    <t>杨一凡</t>
  </si>
  <si>
    <t>2022-3-18452-RB</t>
  </si>
  <si>
    <t>陈菲</t>
  </si>
  <si>
    <t>昌平路395号院1号楼19层1单元1902</t>
  </si>
  <si>
    <t>2022-3-17121-RB</t>
  </si>
  <si>
    <t>周帅、陈旭</t>
  </si>
  <si>
    <t>昌平路395号院1号楼2层1单元202</t>
  </si>
  <si>
    <t>成谦云</t>
  </si>
  <si>
    <t>龙兴园东区35号楼3层5单元301</t>
  </si>
  <si>
    <t>北京人家</t>
  </si>
  <si>
    <t>6（0）</t>
  </si>
  <si>
    <t>张景波、赵悦</t>
  </si>
  <si>
    <t>龙兴园东区35号楼5层7单元501</t>
  </si>
  <si>
    <t>2023-3-05487-RB</t>
  </si>
  <si>
    <t>陈凯仁</t>
  </si>
  <si>
    <t>回龙观镇龙兴园北区15号楼2层3单元202</t>
  </si>
  <si>
    <t>龙兴园北区</t>
  </si>
  <si>
    <t>2023-3-01798-RE</t>
  </si>
  <si>
    <t>北京卓诚华创科技有限公司</t>
  </si>
  <si>
    <t>回龙观镇龙兴园北区8号楼6层2单元602</t>
  </si>
  <si>
    <t>2023-3-00933-RB</t>
  </si>
  <si>
    <t>杨明亮</t>
  </si>
  <si>
    <t>回龙观镇龙兴园北区3号楼2层4单元201</t>
  </si>
  <si>
    <t>2023-3-00062-RB</t>
  </si>
  <si>
    <t>白孝杰</t>
  </si>
  <si>
    <t>回龙观镇龙兴园北区5号楼4层6单元401</t>
  </si>
  <si>
    <t>2023-3-00001-RB</t>
  </si>
  <si>
    <t>胡静</t>
  </si>
  <si>
    <t>回龙观镇龙兴园北区3号楼6层4单元602</t>
  </si>
  <si>
    <t>2022-3-36584-RB</t>
  </si>
  <si>
    <t>马先虎</t>
  </si>
  <si>
    <t>回龙观镇龙兴园南区1号楼4层5单元401</t>
  </si>
  <si>
    <t>龙兴园南区</t>
  </si>
  <si>
    <t>2022-3-34125-RA</t>
  </si>
  <si>
    <t>中国工商银行北京市分行</t>
  </si>
  <si>
    <t>龙兴园东区34号楼5单元402</t>
  </si>
  <si>
    <t>2022-3-31375-RB</t>
  </si>
  <si>
    <t>刘文素</t>
  </si>
  <si>
    <t>回龙观镇龙兴园北区6号楼2单元101</t>
  </si>
  <si>
    <t>2022-3-31358-RB</t>
  </si>
  <si>
    <t>马晨</t>
  </si>
  <si>
    <t>回龙观镇龙兴园小区12号楼9单元202</t>
  </si>
  <si>
    <t>龙兴园中区</t>
  </si>
  <si>
    <t>2022-3-30468-RB</t>
  </si>
  <si>
    <t>刘伟俊、赵雪</t>
  </si>
  <si>
    <t>回龙观镇龙兴园北区21号楼5层2单元502</t>
  </si>
  <si>
    <t>2022-3-29709-RB</t>
  </si>
  <si>
    <t>左攀</t>
  </si>
  <si>
    <t>回龙观镇龙兴园北区13号楼6层4单元602</t>
  </si>
  <si>
    <r>
      <t>15/22</t>
    </r>
    <r>
      <rPr>
        <sz val="11"/>
        <color indexed="8"/>
        <rFont val="宋体"/>
        <family val="3"/>
        <charset val="134"/>
      </rPr>
      <t>（中层）</t>
    </r>
    <phoneticPr fontId="24" type="noConversion"/>
  </si>
  <si>
    <t>多层板楼</t>
  </si>
  <si>
    <t>砖混</t>
  </si>
  <si>
    <t>电梯</t>
    <phoneticPr fontId="24" type="noConversion"/>
  </si>
  <si>
    <t>有</t>
    <phoneticPr fontId="24" type="noConversion"/>
  </si>
  <si>
    <t>无</t>
    <phoneticPr fontId="24" type="noConversion"/>
  </si>
  <si>
    <r>
      <t>3/22</t>
    </r>
    <r>
      <rPr>
        <sz val="11"/>
        <color indexed="8"/>
        <rFont val="宋体"/>
        <family val="3"/>
        <charset val="134"/>
      </rPr>
      <t>（低层）</t>
    </r>
    <phoneticPr fontId="24" type="noConversion"/>
  </si>
  <si>
    <t>2023-3-09271-RB</t>
    <phoneticPr fontId="134" type="noConversion"/>
  </si>
  <si>
    <t>3/6</t>
    <phoneticPr fontId="24" type="noConversion"/>
  </si>
  <si>
    <t>5/6</t>
    <phoneticPr fontId="24" type="noConversion"/>
  </si>
  <si>
    <t>有</t>
    <phoneticPr fontId="24" type="noConversion"/>
  </si>
  <si>
    <t>2022-3-28587-RB</t>
    <phoneticPr fontId="134" type="noConversion"/>
  </si>
  <si>
    <t>建成年代</t>
    <phoneticPr fontId="24" type="noConversion"/>
  </si>
  <si>
    <t>2023-3-09827-RB</t>
    <phoneticPr fontId="13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</si>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</sst>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24"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38100</xdr:rowOff>
    </xdr:from>
    <xdr:to>
      <xdr:col>8</xdr:col>
      <xdr:colOff>513676</xdr:colOff>
      <xdr:row>58</xdr:row>
      <xdr:rowOff>102496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82500"/>
          <a:ext cx="5390476" cy="2990476"/>
        </a:xfrm>
        <a:prstGeom prst="rect">
          <a:avLst/>
        </a:prstGeom>
      </xdr:spPr>
    </xdr:pic>
    <xdr:clientData/>
  </xdr:twoCellAnchor>
  <xdr:twoCellAnchor editAs="oneCell">
    <xdr:from>
      <xdr:col>0</xdr:col>
      <xdr:colOff>1</xdr:colOff>
      <xdr:row>19</xdr:row>
      <xdr:rowOff>0</xdr:rowOff>
    </xdr:from>
    <xdr:to>
      <xdr:col>12</xdr:col>
      <xdr:colOff>524054</xdr:colOff>
      <xdr:row>26</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8138160"/>
          <a:ext cx="7839253" cy="1440000"/>
        </a:xfrm>
        <a:prstGeom prst="rect">
          <a:avLst/>
        </a:prstGeom>
      </xdr:spPr>
    </xdr:pic>
    <xdr:clientData/>
  </xdr:twoCellAnchor>
  <xdr:twoCellAnchor editAs="oneCell">
    <xdr:from>
      <xdr:col>0</xdr:col>
      <xdr:colOff>0</xdr:colOff>
      <xdr:row>27</xdr:row>
      <xdr:rowOff>0</xdr:rowOff>
    </xdr:from>
    <xdr:to>
      <xdr:col>11</xdr:col>
      <xdr:colOff>228828</xdr:colOff>
      <xdr:row>34</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934428" cy="1440000"/>
        </a:xfrm>
        <a:prstGeom prst="rect">
          <a:avLst/>
        </a:prstGeom>
      </xdr:spPr>
    </xdr:pic>
    <xdr:clientData/>
  </xdr:twoCellAnchor>
  <xdr:twoCellAnchor editAs="oneCell">
    <xdr:from>
      <xdr:col>0</xdr:col>
      <xdr:colOff>0</xdr:colOff>
      <xdr:row>35</xdr:row>
      <xdr:rowOff>0</xdr:rowOff>
    </xdr:from>
    <xdr:to>
      <xdr:col>14</xdr:col>
      <xdr:colOff>572626</xdr:colOff>
      <xdr:row>42</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064240"/>
          <a:ext cx="9107026"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2023年3月21日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89.89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4" t="s">
        <v>385</v>
      </c>
      <c r="C54" s="1551" t="s">
        <v>583</v>
      </c>
    </row>
    <row r="55" spans="1:4">
      <c r="A55" s="3529"/>
      <c r="B55" s="1554" t="s">
        <v>386</v>
      </c>
      <c r="C55" s="1551" t="s">
        <v>584</v>
      </c>
    </row>
    <row r="56" spans="1:4">
      <c r="A56" s="3529"/>
      <c r="B56" s="1554" t="s">
        <v>387</v>
      </c>
      <c r="C56" s="1551" t="s">
        <v>588</v>
      </c>
    </row>
    <row r="57" spans="1:4">
      <c r="A57" s="352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0" t="s">
        <v>2580</v>
      </c>
      <c r="J2" s="3530"/>
      <c r="K2" s="3530"/>
      <c r="L2" s="3530"/>
      <c r="M2" s="3530"/>
      <c r="N2" s="3530"/>
      <c r="O2" s="3530"/>
      <c r="P2" s="3530"/>
      <c r="Q2" s="3530"/>
      <c r="R2" s="3530"/>
    </row>
    <row r="3" spans="1:18">
      <c r="A3" s="3020" t="s">
        <v>2501</v>
      </c>
      <c r="B3" s="3021">
        <f>项目基本情况!D3</f>
        <v>45006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3.75</v>
      </c>
      <c r="D5" s="3025">
        <f>IF(ISERROR(ROUND(POWER(1+E5,A5-C5)*(POWER(1+E5,C5)-1)/(POWER(1+E5,A5)-1),3)),0,ROUND(POWER(1+E5,A5-C5)*(POWER(1+E5,C5)-1)/(POWER(1+E5,A5)-1),4))</f>
        <v>0.17280000000000001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33.770000000000003</v>
      </c>
      <c r="D7" s="3025">
        <f>IF(ISERROR(ROUND(POWER(1+E7,A7-C7)*(POWER(1+E7,C7)-1)/(POWER(1+E7,A7)-1),3)),0,ROUND(POWER(1+E7,A7-C7)*(POWER(1+E7,C7)-1)/(POWER(1+E7,A7)-1),4))</f>
        <v>0.78439999999999999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9" sqref="E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4"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5"/>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65342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55.71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1"/>
      <c r="C16" s="3542"/>
      <c r="D16" s="3543"/>
      <c r="E16" s="2413" t="s">
        <v>2193</v>
      </c>
      <c r="F16" s="3544"/>
      <c r="G16" s="3545"/>
      <c r="H16" s="3545"/>
      <c r="I16" s="3546"/>
      <c r="J16" s="2439"/>
      <c r="K16" s="2617"/>
      <c r="L16" s="2451"/>
      <c r="M16" s="2451"/>
      <c r="N16" s="2509"/>
      <c r="O16" s="2451"/>
      <c r="P16" s="2509"/>
      <c r="Q16" s="2439"/>
      <c r="R16" s="2439"/>
    </row>
    <row r="17" spans="1:28">
      <c r="A17" s="313" t="s">
        <v>2194</v>
      </c>
      <c r="B17" s="302" t="s">
        <v>2195</v>
      </c>
      <c r="C17" s="8">
        <f>'数据-汇总表'!E3</f>
        <v>89.89</v>
      </c>
      <c r="D17" s="2322" t="s">
        <v>2196</v>
      </c>
      <c r="E17" s="3547" t="s">
        <v>2197</v>
      </c>
      <c r="F17" s="3548"/>
      <c r="G17" s="3548"/>
      <c r="H17" s="3548"/>
      <c r="I17" s="354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0" t="s">
        <v>2201</v>
      </c>
      <c r="F18" s="3551"/>
      <c r="G18" s="3551"/>
      <c r="H18" s="3551"/>
      <c r="I18" s="355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7" t="s">
        <v>2205</v>
      </c>
      <c r="C20" s="3538"/>
      <c r="D20" s="3539" t="s">
        <v>2206</v>
      </c>
      <c r="E20" s="3540"/>
      <c r="F20" s="2647" t="s">
        <v>1056</v>
      </c>
      <c r="G20" s="2664"/>
      <c r="H20" s="2664"/>
      <c r="I20" s="2664"/>
      <c r="J20" s="2439"/>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5"/>
      <c r="B30" s="302" t="s">
        <v>2217</v>
      </c>
      <c r="C30" s="3556"/>
      <c r="D30" s="3557"/>
      <c r="E30" s="2664"/>
      <c r="F30" s="2664"/>
      <c r="G30" s="2664"/>
      <c r="H30" s="2664"/>
      <c r="I30" s="2664"/>
      <c r="J30" s="2439"/>
      <c r="K30" s="2616"/>
      <c r="L30" s="2613"/>
      <c r="M30" s="2613"/>
      <c r="N30" s="2439"/>
      <c r="O30" s="2450"/>
      <c r="P30" s="2439"/>
      <c r="Q30" s="2439"/>
      <c r="R30" s="2439"/>
      <c r="S30" s="2439"/>
      <c r="T30" s="2439"/>
      <c r="U30" s="2439"/>
      <c r="V30" s="2439"/>
    </row>
    <row r="31" spans="1:28">
      <c r="A31" s="355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3" t="s">
        <v>2227</v>
      </c>
      <c r="T34" s="2428" t="str">
        <f>NUMBERSTRING(7-K34,1)&amp;"通"</f>
        <v>七通</v>
      </c>
      <c r="U34" s="2439"/>
      <c r="V34" s="2439"/>
    </row>
    <row r="35" spans="1:30">
      <c r="A35" s="2429"/>
      <c r="B35" s="3560" t="s">
        <v>2228</v>
      </c>
      <c r="C35" s="3560"/>
      <c r="D35" s="3560"/>
      <c r="E35" s="356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3467</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89.89</v>
      </c>
      <c r="H5" s="13">
        <f t="shared" ref="H5:AT5" si="0">SUM(H13:H656)</f>
        <v>89.89</v>
      </c>
      <c r="I5" s="13">
        <f t="shared" si="0"/>
        <v>89.89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89.89</v>
      </c>
      <c r="BA5" s="15">
        <f t="shared" si="1"/>
        <v>89.89</v>
      </c>
      <c r="BB5" s="15">
        <f t="shared" si="1"/>
        <v>89.89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89.89</v>
      </c>
      <c r="H13" s="17">
        <f>SUMIF(I$12:AB$12,"总值",I13:AB13)</f>
        <v>89.89</v>
      </c>
      <c r="I13" s="1626">
        <v>89.89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89.89</v>
      </c>
      <c r="BA13" s="13">
        <f>SUM(BB13:BK13)</f>
        <v>89.89</v>
      </c>
      <c r="BB13" s="13">
        <f>IF($D13="是",I13-J13,0)</f>
        <v>89.89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0" t="s">
        <v>1131</v>
      </c>
      <c r="B2" s="3570"/>
      <c r="C2" s="3570"/>
      <c r="D2" s="796" t="s">
        <v>1107</v>
      </c>
      <c r="E2" s="1639" t="s">
        <v>1108</v>
      </c>
      <c r="F2" s="2659"/>
      <c r="G2" s="2650"/>
      <c r="H2" s="2651"/>
      <c r="I2" s="2325" t="s">
        <v>1132</v>
      </c>
      <c r="J2" s="2659"/>
      <c r="K2" s="2659"/>
      <c r="L2" s="2659"/>
      <c r="M2" s="2659"/>
      <c r="N2" s="2661"/>
      <c r="O2" s="2659"/>
      <c r="P2" s="2659"/>
    </row>
    <row r="3" spans="1:16" ht="15" thickBot="1">
      <c r="A3" s="3571" t="s">
        <v>1105</v>
      </c>
      <c r="B3" s="3571"/>
      <c r="C3" s="3571"/>
      <c r="D3" s="43">
        <f>'数据-基础表'!AY6</f>
        <v>0</v>
      </c>
      <c r="E3" s="43">
        <f>'数据-基础表'!AZ5</f>
        <v>89.89</v>
      </c>
      <c r="F3" s="2659"/>
      <c r="G3" s="1145"/>
      <c r="H3" s="1026" t="s">
        <v>1106</v>
      </c>
      <c r="I3" s="855" t="e">
        <f>ROUND('数据-基础表'!B3/'数据-基础表'!A3,2)</f>
        <v>#DIV/0!</v>
      </c>
      <c r="J3" s="2659"/>
      <c r="K3" s="2659"/>
      <c r="L3" s="2659"/>
      <c r="M3" s="2659"/>
      <c r="N3" s="2661"/>
      <c r="O3" s="2659"/>
      <c r="P3" s="2659"/>
    </row>
    <row r="4" spans="1:16" ht="14.4">
      <c r="A4" s="3572"/>
      <c r="B4" s="3573"/>
      <c r="C4" s="357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5" t="s">
        <v>1110</v>
      </c>
      <c r="C5" s="3575"/>
      <c r="D5" s="45">
        <f>ROUND($D$3*E5/$E$3,2)</f>
        <v>0</v>
      </c>
      <c r="E5" s="46">
        <f>SUMIF('数据-基础表'!$11:$11,"住宅",'数据-基础表'!$5:$5)</f>
        <v>89.89</v>
      </c>
      <c r="F5" s="2659"/>
      <c r="G5" s="1145"/>
      <c r="H5" s="1026" t="s">
        <v>1106</v>
      </c>
      <c r="I5" s="855" t="e">
        <f>ROUND(E31/D31,2)</f>
        <v>#DIV/0!</v>
      </c>
      <c r="J5" s="2659"/>
      <c r="K5" s="2659"/>
      <c r="L5" s="2659"/>
      <c r="M5" s="2659"/>
      <c r="N5" s="2659"/>
      <c r="O5" s="2659"/>
      <c r="P5" s="2659"/>
    </row>
    <row r="6" spans="1:16" ht="15" thickBot="1">
      <c r="A6" s="1644"/>
      <c r="B6" s="3575" t="s">
        <v>1111</v>
      </c>
      <c r="C6" s="357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7"/>
      <c r="B7" s="3568"/>
      <c r="C7" s="3569"/>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89.89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89.89</v>
      </c>
      <c r="F16" s="2659"/>
      <c r="G16" s="2660"/>
      <c r="H16" s="1648" t="s">
        <v>1135</v>
      </c>
      <c r="I16" s="1649"/>
      <c r="J16" s="1139"/>
      <c r="K16" s="3564" t="s">
        <v>1135</v>
      </c>
      <c r="L16" s="3565"/>
      <c r="M16" s="3565"/>
      <c r="N16" s="3565"/>
      <c r="O16" s="3565"/>
      <c r="P16" s="3566"/>
    </row>
    <row r="17" spans="1:19" ht="14.4">
      <c r="A17" s="1650" t="s">
        <v>1136</v>
      </c>
      <c r="B17" s="1651" t="s">
        <v>1137</v>
      </c>
      <c r="C17" s="1652" t="s">
        <v>1138</v>
      </c>
      <c r="D17" s="1653" t="s">
        <v>1126</v>
      </c>
      <c r="E17" s="1654" t="s">
        <v>1127</v>
      </c>
      <c r="F17" s="1655"/>
      <c r="G17" s="1656"/>
      <c r="H17" s="1657" t="s">
        <v>1139</v>
      </c>
      <c r="I17" s="1658" t="s">
        <v>1124</v>
      </c>
      <c r="J17" s="1139"/>
      <c r="K17" s="3561" t="s">
        <v>1140</v>
      </c>
      <c r="L17" s="3562"/>
      <c r="M17" s="3563"/>
      <c r="N17" s="3561" t="s">
        <v>1141</v>
      </c>
      <c r="O17" s="3562"/>
      <c r="P17" s="356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89.89</v>
      </c>
      <c r="F19" s="2795">
        <f>'数据-基础表'!I13</f>
        <v>89.89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89.89</v>
      </c>
      <c r="F27" s="1140">
        <f>IF(SUM(F19:F26)=E8,SUM(F19:F26),"地上面积有误")</f>
        <v>89.89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89.89</v>
      </c>
      <c r="F31" s="677">
        <f>F27+F30</f>
        <v>89.89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89.89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65342</v>
      </c>
      <c r="F6" s="64">
        <f>SUMIF(项目基本情况!C$12:I$12,C6,项目基本情况!C$15:I$15)</f>
        <v>55.71</v>
      </c>
      <c r="G6" s="65">
        <f>IF(ISERROR(ROUND(POWER(1+H6,D6-F6)*(POWER(1+H6,F6)-1)/(POWER(1+H6,D6)-1),3)),0,ROUND(POWER(1+H6,D6-F6)*(POWER(1+H6,F6)-1)/(POWER(1+H6,D6)-1),3))</f>
        <v>0</v>
      </c>
      <c r="H6" s="732"/>
      <c r="I6" s="732">
        <v>0.05</v>
      </c>
      <c r="J6" s="66"/>
      <c r="K6" s="1030">
        <f>SUMIF('数据-汇总表'!C$19:C$33,A6,'数据-汇总表'!E$19:E$33)</f>
        <v>89.89</v>
      </c>
      <c r="L6" s="733">
        <v>3000</v>
      </c>
      <c r="M6" s="67">
        <f t="shared" ref="M6:M14" si="0">ROUND(K6*L6/10000,0)</f>
        <v>27</v>
      </c>
      <c r="N6" s="3455">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269670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89.89</v>
      </c>
      <c r="L16" s="93">
        <f>ROUND(M16*10000/SUM(K6:K14),0)</f>
        <v>3004</v>
      </c>
      <c r="M16" s="93">
        <f>SUM(M6:M14)</f>
        <v>27</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1-(2023-2010)/60</f>
        <v>0.78333333333333333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6" t="s">
        <v>2285</v>
      </c>
      <c r="B1" s="3577"/>
      <c r="C1" s="3577"/>
      <c r="D1" s="3577"/>
      <c r="E1" s="3577"/>
      <c r="F1" s="3577"/>
      <c r="G1" s="357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89.89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45006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469</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89.89</v>
      </c>
      <c r="C14" s="2518"/>
      <c r="D14" s="2518">
        <f ca="1">结果表!G19</f>
        <v>469</v>
      </c>
      <c r="E14" s="2518">
        <f ca="1">ROUND(D14*10000/B14,0)</f>
        <v>52175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44" sqref="K4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5" t="str">
        <f>项目基本情况!S2</f>
        <v>北京市房地产</v>
      </c>
      <c r="B2" s="3646"/>
      <c r="C2" s="3646"/>
      <c r="D2" s="3646"/>
      <c r="E2" s="3646"/>
      <c r="F2" s="3646"/>
      <c r="G2" s="3646"/>
      <c r="H2" s="3646"/>
      <c r="I2" s="3647"/>
    </row>
    <row r="3" spans="1:12" ht="13.2">
      <c r="A3" s="3649" t="s">
        <v>1264</v>
      </c>
      <c r="B3" s="3650"/>
      <c r="C3" s="3650"/>
      <c r="D3" s="3650"/>
      <c r="E3" s="3650"/>
      <c r="F3" s="3650"/>
      <c r="G3" s="3650"/>
      <c r="H3" s="3650"/>
      <c r="I3" s="3650"/>
    </row>
    <row r="4" spans="1:12" ht="14.4">
      <c r="A4" s="1754" t="s">
        <v>1265</v>
      </c>
      <c r="B4" s="1755" t="s">
        <v>1266</v>
      </c>
      <c r="C4" s="1756" t="s">
        <v>3410</v>
      </c>
      <c r="D4" s="1756" t="s">
        <v>3411</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3" t="s">
        <v>1268</v>
      </c>
      <c r="B5" s="3648">
        <v>25</v>
      </c>
      <c r="C5" s="3651">
        <v>8</v>
      </c>
      <c r="D5" s="3639">
        <f>10-C5</f>
        <v>2</v>
      </c>
      <c r="E5" s="131" t="s">
        <v>1269</v>
      </c>
      <c r="F5" s="1757"/>
      <c r="G5" s="1757"/>
      <c r="H5" s="1757"/>
      <c r="I5" s="1373"/>
    </row>
    <row r="6" spans="1:12" ht="13.2">
      <c r="A6" s="3593"/>
      <c r="B6" s="3648"/>
      <c r="C6" s="3653"/>
      <c r="D6" s="3639"/>
      <c r="E6" s="131" t="s">
        <v>1270</v>
      </c>
      <c r="F6" s="1757"/>
      <c r="G6" s="1757"/>
      <c r="H6" s="1757"/>
      <c r="I6" s="1373"/>
    </row>
    <row r="7" spans="1:12" ht="13.2">
      <c r="A7" s="3593"/>
      <c r="B7" s="3648"/>
      <c r="C7" s="3652"/>
      <c r="D7" s="3639"/>
      <c r="E7" s="131" t="s">
        <v>1271</v>
      </c>
      <c r="F7" s="1757"/>
      <c r="G7" s="1757"/>
      <c r="H7" s="1757"/>
      <c r="I7" s="1373"/>
    </row>
    <row r="8" spans="1:12" ht="13.2">
      <c r="A8" s="3593" t="s">
        <v>1272</v>
      </c>
      <c r="B8" s="3648">
        <v>15</v>
      </c>
      <c r="C8" s="3651"/>
      <c r="D8" s="3639"/>
      <c r="E8" s="131" t="s">
        <v>1273</v>
      </c>
      <c r="F8" s="1757"/>
      <c r="G8" s="1757"/>
      <c r="H8" s="1757"/>
      <c r="I8" s="1373"/>
    </row>
    <row r="9" spans="1:12" ht="13.2">
      <c r="A9" s="3593"/>
      <c r="B9" s="3648"/>
      <c r="C9" s="3652"/>
      <c r="D9" s="3639"/>
      <c r="E9" s="131" t="s">
        <v>1274</v>
      </c>
      <c r="F9" s="1757"/>
      <c r="G9" s="1757"/>
      <c r="H9" s="1757"/>
      <c r="I9" s="1373"/>
    </row>
    <row r="10" spans="1:12" ht="13.2">
      <c r="A10" s="3593" t="s">
        <v>1275</v>
      </c>
      <c r="B10" s="3648">
        <v>15</v>
      </c>
      <c r="C10" s="3651"/>
      <c r="D10" s="3639"/>
      <c r="E10" s="131" t="s">
        <v>1276</v>
      </c>
      <c r="F10" s="1757"/>
      <c r="G10" s="1757"/>
      <c r="H10" s="1757"/>
      <c r="I10" s="1373"/>
    </row>
    <row r="11" spans="1:12" ht="13.2">
      <c r="A11" s="3593"/>
      <c r="B11" s="3648"/>
      <c r="C11" s="3652"/>
      <c r="D11" s="3639"/>
      <c r="E11" s="131" t="s">
        <v>1277</v>
      </c>
      <c r="F11" s="1757"/>
      <c r="G11" s="1757"/>
      <c r="H11" s="1757"/>
      <c r="I11" s="1373"/>
    </row>
    <row r="12" spans="1:12" ht="13.2">
      <c r="A12" s="3593" t="s">
        <v>1278</v>
      </c>
      <c r="B12" s="3648">
        <v>15</v>
      </c>
      <c r="C12" s="3651"/>
      <c r="D12" s="3639"/>
      <c r="E12" s="131" t="s">
        <v>1279</v>
      </c>
      <c r="F12" s="1757"/>
      <c r="G12" s="1757"/>
      <c r="H12" s="1757"/>
      <c r="I12" s="1373"/>
    </row>
    <row r="13" spans="1:12" ht="13.2">
      <c r="A13" s="3593"/>
      <c r="B13" s="3648"/>
      <c r="C13" s="3652"/>
      <c r="D13" s="3639"/>
      <c r="E13" s="131" t="s">
        <v>1280</v>
      </c>
      <c r="F13" s="1757"/>
      <c r="G13" s="1757"/>
      <c r="H13" s="1757"/>
      <c r="I13" s="1373"/>
    </row>
    <row r="14" spans="1:12" ht="13.2">
      <c r="A14" s="3593" t="s">
        <v>1281</v>
      </c>
      <c r="B14" s="3648">
        <v>30</v>
      </c>
      <c r="C14" s="3651"/>
      <c r="D14" s="3639"/>
      <c r="E14" s="131" t="s">
        <v>1282</v>
      </c>
      <c r="F14" s="1757"/>
      <c r="G14" s="1757"/>
      <c r="H14" s="1757"/>
      <c r="I14" s="1373"/>
    </row>
    <row r="15" spans="1:12" ht="13.2">
      <c r="A15" s="3593"/>
      <c r="B15" s="3648"/>
      <c r="C15" s="3653"/>
      <c r="D15" s="3639"/>
      <c r="E15" s="131" t="s">
        <v>1283</v>
      </c>
      <c r="F15" s="1757"/>
      <c r="G15" s="1757"/>
      <c r="H15" s="1757"/>
      <c r="I15" s="1373"/>
    </row>
    <row r="16" spans="1:12" ht="13.2">
      <c r="A16" s="3593"/>
      <c r="B16" s="3648"/>
      <c r="C16" s="3652"/>
      <c r="D16" s="363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70" t="s">
        <v>2130</v>
      </c>
      <c r="F18" s="3671"/>
      <c r="G18" s="3671"/>
      <c r="H18" s="3671"/>
      <c r="I18" s="3671"/>
      <c r="K18" s="302" t="s">
        <v>1289</v>
      </c>
      <c r="L18" s="302">
        <f>IF(C1="",'数据-汇总表'!E3,SUMIF(项目类型,C1,'数据-汇总表'!E17:E26)+SUMIF(项目类型,C1,'数据-汇总表'!I17:I26))</f>
        <v>89.89</v>
      </c>
      <c r="M18" s="302">
        <f>IF(C1="",'数据-汇总表'!E3,SUMIF(项目类型,C1,'数据-汇总表'!E17:E26))</f>
        <v>89.89</v>
      </c>
    </row>
    <row r="19" spans="1:36" ht="14.4">
      <c r="A19" s="1761" t="s">
        <v>1290</v>
      </c>
      <c r="B19" s="1762" t="s">
        <v>1291</v>
      </c>
      <c r="C19" s="134">
        <f ca="1">SUMIF(INDIRECT("'"&amp;C4&amp;"'"&amp;"!A:A"),结果表!B19,INDIRECT("'"&amp;C4&amp;"'"&amp;"!B:B"))</f>
        <v>532.10389999999995</v>
      </c>
      <c r="D19" s="135">
        <f ca="1">SUMIF(INDIRECT("'"&amp;D4&amp;"'"&amp;"!A:A"),结果表!B19,INDIRECT("'"&amp;D4&amp;"'"&amp;"!B:B"))</f>
        <v>218.8897</v>
      </c>
      <c r="E19" s="1761" t="s">
        <v>1292</v>
      </c>
      <c r="F19" s="1762" t="s">
        <v>1291</v>
      </c>
      <c r="G19" s="136">
        <f ca="1">ROUND(C19*$C$18+D19*$D$18,0)</f>
        <v>469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59195</v>
      </c>
      <c r="D20" s="138">
        <f ca="1">SUMIF(INDIRECT("'"&amp;D4&amp;"'"&amp;"!A:A"),结果表!B20,INDIRECT("'"&amp;D4&amp;"'"&amp;"!B:B"))</f>
        <v>24351</v>
      </c>
      <c r="E20" s="1764"/>
      <c r="F20" s="1026" t="s">
        <v>1295</v>
      </c>
      <c r="G20" s="139">
        <f ca="1">ROUND(C20*$C$18+D20*$D$18,0)</f>
        <v>52226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1.4309225148556552</v>
      </c>
      <c r="E22" s="129"/>
      <c r="F22" s="129"/>
      <c r="G22" s="129"/>
      <c r="H22" s="129"/>
      <c r="I22" s="129"/>
    </row>
    <row r="23" spans="1:36" ht="13.8" thickBot="1">
      <c r="A23" s="1747"/>
      <c r="B23" s="1747"/>
      <c r="C23" s="1747"/>
      <c r="D23" s="1747"/>
      <c r="E23" s="129"/>
      <c r="F23" s="129"/>
      <c r="G23" s="129"/>
      <c r="H23" s="129"/>
      <c r="I23" s="129"/>
    </row>
    <row r="24" spans="1:36" ht="14.4">
      <c r="A24" s="3663" t="s">
        <v>1299</v>
      </c>
      <c r="B24" s="1762" t="s">
        <v>1291</v>
      </c>
      <c r="C24" s="136">
        <f>IF(B30=0,0,D30)</f>
        <v>0</v>
      </c>
      <c r="D24" s="1769"/>
      <c r="E24" s="129"/>
      <c r="F24" s="129"/>
      <c r="G24" s="129"/>
      <c r="H24" s="129"/>
      <c r="I24" s="129"/>
    </row>
    <row r="25" spans="1:36" ht="14.4">
      <c r="A25" s="36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52226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0" t="s">
        <v>1312</v>
      </c>
      <c r="B36" s="1787" t="s">
        <v>1313</v>
      </c>
      <c r="C36" s="145"/>
      <c r="D36" s="1788"/>
      <c r="E36" s="1789"/>
      <c r="F36" s="1790"/>
      <c r="G36" s="129"/>
      <c r="H36" s="129"/>
      <c r="I36" s="129"/>
    </row>
    <row r="37" spans="1:15" ht="15" thickBot="1">
      <c r="A37" s="3641"/>
      <c r="B37" s="1674" t="s">
        <v>1314</v>
      </c>
      <c r="C37" s="147"/>
      <c r="D37" s="1139"/>
      <c r="E37" s="1139"/>
      <c r="F37" s="1790"/>
      <c r="G37" s="129"/>
      <c r="H37" s="129"/>
      <c r="I37" s="129"/>
    </row>
    <row r="38" spans="1:15" ht="15" thickBot="1">
      <c r="A38" s="364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0" t="s">
        <v>1326</v>
      </c>
      <c r="B45" s="3661"/>
      <c r="C45" s="3662"/>
      <c r="D45" s="155" t="e">
        <f ca="1">ROUND(H101*F45,0)</f>
        <v>#REF!</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6"/>
      <c r="I46" s="159"/>
      <c r="J46" s="2523">
        <v>1</v>
      </c>
      <c r="K46" s="3581" t="s">
        <v>1331</v>
      </c>
      <c r="L46" s="3581"/>
      <c r="M46" s="3582"/>
      <c r="N46" s="3582"/>
      <c r="O46" s="3582"/>
    </row>
    <row r="47" spans="1:15" ht="12" customHeight="1">
      <c r="A47" s="160" t="s">
        <v>1332</v>
      </c>
      <c r="B47" s="161"/>
      <c r="C47" s="162"/>
      <c r="D47" s="1087" t="s">
        <v>1333</v>
      </c>
      <c r="E47" s="302" t="s">
        <v>1334</v>
      </c>
      <c r="F47" s="163" t="s">
        <v>1335</v>
      </c>
      <c r="G47" s="2546" t="s">
        <v>1336</v>
      </c>
      <c r="H47" s="2547"/>
      <c r="I47" s="159"/>
      <c r="J47" s="2523">
        <v>2</v>
      </c>
      <c r="K47" s="3581" t="s">
        <v>1337</v>
      </c>
      <c r="L47" s="3581"/>
      <c r="M47" s="3583">
        <f>'数据-取费表'!B2</f>
        <v>45006</v>
      </c>
      <c r="N47" s="3583"/>
      <c r="O47" s="3583"/>
    </row>
    <row r="48" spans="1:15" ht="26.4">
      <c r="A48" s="3643" t="s">
        <v>1338</v>
      </c>
      <c r="B48" s="3644"/>
      <c r="C48" s="364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1" t="s">
        <v>1340</v>
      </c>
      <c r="L48" s="3581"/>
      <c r="M48" s="3584" t="e">
        <f ca="1">H101</f>
        <v>#REF!</v>
      </c>
      <c r="N48" s="3584"/>
      <c r="O48" s="3584"/>
    </row>
    <row r="49" spans="1:35" ht="25.5" customHeight="1">
      <c r="A49" s="2333" t="s">
        <v>1341</v>
      </c>
      <c r="B49" s="3629" t="s">
        <v>1342</v>
      </c>
      <c r="C49" s="3629"/>
      <c r="D49" s="1590">
        <v>0</v>
      </c>
      <c r="E49" s="324" t="s">
        <v>1343</v>
      </c>
      <c r="F49" s="2424" t="s">
        <v>28</v>
      </c>
      <c r="G49" s="3612"/>
      <c r="H49" s="2310" t="s">
        <v>2133</v>
      </c>
      <c r="I49" s="2311"/>
      <c r="J49" s="2523">
        <v>4</v>
      </c>
      <c r="K49" s="3581" t="str">
        <f>IF(项目基本情况!E8="房地产抵押价值","房地产抵押价值","抵押担保权已注销时的房地产抵押价值")</f>
        <v>抵押担保权已注销时的房地产抵押价值</v>
      </c>
      <c r="L49" s="3581"/>
      <c r="M49" s="3584" t="str">
        <f>IF(项目基本情况!E8="房地产抵押价值",H107,H109)</f>
        <v>——</v>
      </c>
      <c r="N49" s="3584"/>
      <c r="O49" s="3584"/>
    </row>
    <row r="50" spans="1:35" ht="25.5" customHeight="1">
      <c r="A50" s="2551"/>
      <c r="B50" s="3629" t="s">
        <v>1344</v>
      </c>
      <c r="C50" s="3629"/>
      <c r="D50" s="2552"/>
      <c r="E50" s="332"/>
      <c r="F50" s="2424"/>
      <c r="G50" s="3613"/>
      <c r="H50" s="2312" t="s">
        <v>2134</v>
      </c>
      <c r="I50" s="2311"/>
      <c r="J50" s="3580" t="s">
        <v>1345</v>
      </c>
      <c r="K50" s="3580"/>
      <c r="L50" s="3580"/>
      <c r="M50" s="3580"/>
      <c r="N50" s="3580"/>
      <c r="O50" s="3580"/>
    </row>
    <row r="51" spans="1:35" ht="20.399999999999999" customHeight="1">
      <c r="A51" s="2553"/>
      <c r="B51" s="3629" t="s">
        <v>1346</v>
      </c>
      <c r="C51" s="3629"/>
      <c r="D51" s="1087"/>
      <c r="E51" s="327"/>
      <c r="F51" s="2424"/>
      <c r="G51" s="3614"/>
      <c r="H51" s="2312" t="s">
        <v>2135</v>
      </c>
      <c r="I51" s="2311"/>
      <c r="J51" s="2524" t="s">
        <v>1347</v>
      </c>
      <c r="K51" s="3581" t="s">
        <v>1348</v>
      </c>
      <c r="L51" s="3581"/>
      <c r="M51" s="2524" t="s">
        <v>1349</v>
      </c>
      <c r="N51" s="2524" t="s">
        <v>1350</v>
      </c>
      <c r="O51" s="2524" t="s">
        <v>1351</v>
      </c>
    </row>
    <row r="52" spans="1:35" ht="24" customHeight="1">
      <c r="A52" s="2335" t="s">
        <v>1352</v>
      </c>
      <c r="B52" s="3629" t="s">
        <v>1353</v>
      </c>
      <c r="C52" s="3629"/>
      <c r="D52" s="1087" t="e">
        <f ca="1">ROUND(D45*'数据-取费表'!B41/(1+'数据-取费表'!C42),0)</f>
        <v>#REF!</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630" t="s">
        <v>2290</v>
      </c>
      <c r="C53" s="3631"/>
      <c r="D53" s="1087" t="e">
        <f ca="1">ROUND(D45*'数据-取费表'!B41/(1+'数据-取费表'!C42),0)</f>
        <v>#REF!</v>
      </c>
      <c r="E53" s="2334" t="s">
        <v>1354</v>
      </c>
      <c r="F53" s="2554">
        <f>'数据-取费表'!B41</f>
        <v>5.6000000000000001E-2</v>
      </c>
      <c r="G53" s="2555"/>
      <c r="H53" s="2544"/>
      <c r="I53" s="1807"/>
      <c r="J53" s="2523">
        <v>2</v>
      </c>
      <c r="K53" s="3606" t="s">
        <v>1357</v>
      </c>
      <c r="L53" s="3606"/>
      <c r="M53" s="2525" t="e">
        <f t="shared" ref="M53:O54" ca="1" si="0">D55</f>
        <v>#REF!</v>
      </c>
      <c r="N53" s="2523" t="str">
        <f t="shared" si="0"/>
        <v>销售额×税（费）率</v>
      </c>
      <c r="O53" s="2526" t="str">
        <f t="shared" si="0"/>
        <v>免征</v>
      </c>
    </row>
    <row r="54" spans="1:35" ht="12" customHeight="1">
      <c r="A54" s="2335" t="s">
        <v>1358</v>
      </c>
      <c r="B54" s="3630" t="s">
        <v>2291</v>
      </c>
      <c r="C54" s="3631"/>
      <c r="D54" s="1087" t="e">
        <f ca="1">C68</f>
        <v>#REF!</v>
      </c>
      <c r="E54" s="327" t="s">
        <v>1359</v>
      </c>
      <c r="F54" s="2554">
        <f>'数据-取费表'!B41</f>
        <v>5.6000000000000001E-2</v>
      </c>
      <c r="G54" s="2555"/>
      <c r="H54" s="2556"/>
      <c r="I54" s="1807"/>
      <c r="J54" s="2523">
        <v>3</v>
      </c>
      <c r="K54" s="3606" t="s">
        <v>1360</v>
      </c>
      <c r="L54" s="3606"/>
      <c r="M54" s="2525" t="e">
        <f t="shared" ca="1" si="0"/>
        <v>#REF!</v>
      </c>
      <c r="N54" s="2523" t="str">
        <f t="shared" si="0"/>
        <v>增值额×税（费）率</v>
      </c>
      <c r="O54" s="2527" t="str">
        <f t="shared" si="0"/>
        <v>免征</v>
      </c>
    </row>
    <row r="55" spans="1:35" ht="24" customHeight="1">
      <c r="A55" s="3666" t="s">
        <v>1361</v>
      </c>
      <c r="B55" s="3644"/>
      <c r="C55" s="3644"/>
      <c r="D55" s="2324" t="e">
        <f ca="1">IF(H55="个人住宅",0,ROUND(D45*I55,0))</f>
        <v>#REF!</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t="e">
        <f ca="1">D59</f>
        <v>#REF!</v>
      </c>
      <c r="N55" s="2040" t="str">
        <f>E59</f>
        <v>差额计税</v>
      </c>
      <c r="O55" s="2529">
        <f>F59</f>
        <v>0.01</v>
      </c>
    </row>
    <row r="56" spans="1:35" ht="25.2">
      <c r="A56" s="3666" t="s">
        <v>1363</v>
      </c>
      <c r="B56" s="3644"/>
      <c r="C56" s="3644"/>
      <c r="D56" s="2324" t="e">
        <f ca="1">IF(H56="个人住宅",D57,D58)</f>
        <v>#REF!</v>
      </c>
      <c r="E56" s="2334" t="s">
        <v>1364</v>
      </c>
      <c r="F56" s="2554" t="str">
        <f>IF(H56="正常",F58,"免征")</f>
        <v>免征</v>
      </c>
      <c r="G56" s="2557" t="s">
        <v>1365</v>
      </c>
      <c r="H56" s="2558"/>
      <c r="I56" s="1808"/>
      <c r="J56" s="2523" t="str">
        <f>IF(项目基本情况!K6="上海银行",IF(J55="",4,J55+1),"")</f>
        <v/>
      </c>
      <c r="K56" s="3587" t="str">
        <f>IF(项目基本情况!K6="上海银行","其他处置费用","")</f>
        <v/>
      </c>
      <c r="L56" s="3588"/>
      <c r="M56" s="2525" t="str">
        <f>IF(项目基本情况!K6="上海银行",M69,"")</f>
        <v/>
      </c>
      <c r="N56" s="3587" t="str">
        <f>IF(项目基本情况!K6="上海银行","包含处置中涉及的律师、诉讼、拍卖、评估等费用","")</f>
        <v/>
      </c>
      <c r="O56" s="3590"/>
    </row>
    <row r="57" spans="1:35" ht="13.2">
      <c r="A57" s="2335" t="s">
        <v>1341</v>
      </c>
      <c r="B57" s="3630" t="s">
        <v>1366</v>
      </c>
      <c r="C57" s="3631"/>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0</v>
      </c>
      <c r="O57" s="2533"/>
      <c r="P57" s="2690" t="e">
        <f ca="1">N57/M49</f>
        <v>#VALUE!</v>
      </c>
    </row>
    <row r="58" spans="1:35" ht="25.2">
      <c r="A58" s="2335" t="s">
        <v>1352</v>
      </c>
      <c r="B58" s="3630" t="s">
        <v>1369</v>
      </c>
      <c r="C58" s="3629"/>
      <c r="D58" s="2324" t="e">
        <f ca="1">IF(H58="转让取得",C81,C97)</f>
        <v>#REF!</v>
      </c>
      <c r="E58" s="2334" t="s">
        <v>1364</v>
      </c>
      <c r="F58" s="302" t="s">
        <v>28</v>
      </c>
      <c r="G58" s="2555"/>
      <c r="H58" s="2558"/>
      <c r="I58" s="1808"/>
      <c r="J58" s="3606"/>
      <c r="K58" s="3606"/>
      <c r="L58" s="2530" t="s">
        <v>1370</v>
      </c>
      <c r="M58" s="2534"/>
      <c r="N58" s="2535" t="str">
        <f ca="1">NUMBERSTRING(INT(N57*10000),2)&amp;"元整"</f>
        <v>零元整</v>
      </c>
      <c r="O58" s="2536"/>
    </row>
    <row r="59" spans="1:35" ht="24.6" thickBot="1">
      <c r="A59" s="3610" t="s">
        <v>1371</v>
      </c>
      <c r="B59" s="3611"/>
      <c r="C59" s="361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8">
        <f>J57+1</f>
        <v>6</v>
      </c>
      <c r="K59" s="3606"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6"/>
      <c r="L60" s="2530" t="s">
        <v>1370</v>
      </c>
      <c r="M60" s="2534"/>
      <c r="N60" s="2535" t="e">
        <f ca="1">NUMBERSTRING(INT(N59*10000),2)&amp;"元整"</f>
        <v>#VALUE!</v>
      </c>
      <c r="O60" s="2536"/>
    </row>
    <row r="61" spans="1:35" ht="13.8" thickBot="1">
      <c r="A61" s="3665" t="s">
        <v>1373</v>
      </c>
      <c r="B61" s="3665"/>
      <c r="C61" s="3665"/>
      <c r="D61" s="3665"/>
      <c r="E61" s="3665"/>
      <c r="F61" s="1808"/>
      <c r="G61" s="1808"/>
      <c r="H61" s="1810"/>
      <c r="I61" s="129"/>
      <c r="J61" s="2523">
        <f>J59+1</f>
        <v>7</v>
      </c>
      <c r="K61" s="3606" t="s">
        <v>1374</v>
      </c>
      <c r="L61" s="3606"/>
      <c r="M61" s="2540"/>
      <c r="N61" s="2541" t="e">
        <f ca="1">ROUND(N59*10000/'数据-汇总表'!E3,0)</f>
        <v>#VALUE!</v>
      </c>
      <c r="O61" s="2542"/>
    </row>
    <row r="62" spans="1:35" ht="13.2">
      <c r="A62" s="3625" t="s">
        <v>1375</v>
      </c>
      <c r="B62" s="362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3" t="s">
        <v>1394</v>
      </c>
      <c r="B70" s="3634"/>
      <c r="C70" s="3634"/>
      <c r="D70" s="3634"/>
      <c r="E70" s="3634"/>
      <c r="F70" s="3634"/>
      <c r="G70" s="3634"/>
      <c r="H70" s="363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5" t="s">
        <v>1375</v>
      </c>
      <c r="B71" s="362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0" t="s">
        <v>1402</v>
      </c>
      <c r="F76" s="3629"/>
      <c r="G76" s="3629"/>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2" t="s">
        <v>1406</v>
      </c>
      <c r="F78" s="3623"/>
      <c r="G78" s="3623"/>
      <c r="H78" s="362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5" t="s">
        <v>1375</v>
      </c>
      <c r="B84" s="362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91" t="s">
        <v>2128</v>
      </c>
      <c r="H90" s="359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2" t="s">
        <v>1419</v>
      </c>
      <c r="F91" s="3623"/>
      <c r="G91" s="362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2" t="s">
        <v>1422</v>
      </c>
      <c r="F92" s="3623"/>
      <c r="G92" s="3623"/>
      <c r="H92" s="362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2" t="s">
        <v>1406</v>
      </c>
      <c r="F93" s="3623"/>
      <c r="G93" s="3623"/>
      <c r="H93" s="362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7" t="s">
        <v>1426</v>
      </c>
      <c r="F94" s="3668"/>
      <c r="G94" s="3668"/>
      <c r="H94" s="36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5" t="str">
        <f>C4</f>
        <v>比较法-住宅</v>
      </c>
      <c r="D101" s="2586" t="str">
        <f>D4</f>
        <v>成本法 (元)</v>
      </c>
      <c r="E101" s="3585" t="s">
        <v>1431</v>
      </c>
      <c r="F101" s="3586"/>
      <c r="G101" s="1827" t="s">
        <v>1432</v>
      </c>
      <c r="H101" s="2595" t="e">
        <f ca="1">H118</f>
        <v>#REF!</v>
      </c>
      <c r="I101" s="129"/>
    </row>
    <row r="102" spans="1:35" ht="18.75" customHeight="1">
      <c r="A102" s="3617" t="s">
        <v>1433</v>
      </c>
      <c r="B102" s="2584" t="s">
        <v>1432</v>
      </c>
      <c r="C102" s="2585">
        <f ca="1">IF(D32="楼面单价",ROUND(C19,0),C19)</f>
        <v>532.10389999999995</v>
      </c>
      <c r="D102" s="2586">
        <f ca="1">IF(D32="楼面单价",ROUND(D19,0),D19)</f>
        <v>218.8897</v>
      </c>
      <c r="E102" s="3585"/>
      <c r="F102" s="3586"/>
      <c r="G102" s="1827" t="s">
        <v>1434</v>
      </c>
      <c r="H102" s="2555" t="e">
        <f ca="1">I118</f>
        <v>#REF!</v>
      </c>
      <c r="I102" s="129"/>
    </row>
    <row r="103" spans="1:35" ht="42.75" customHeight="1">
      <c r="A103" s="3617"/>
      <c r="B103" s="2584" t="s">
        <v>1434</v>
      </c>
      <c r="C103" s="2587">
        <f ca="1">C20</f>
        <v>59195</v>
      </c>
      <c r="D103" s="2588">
        <f ca="1">D20</f>
        <v>24351</v>
      </c>
      <c r="E103" s="3578" t="s">
        <v>1435</v>
      </c>
      <c r="F103" s="3579"/>
      <c r="G103" s="1828" t="s">
        <v>1436</v>
      </c>
      <c r="H103" s="2595">
        <f>IF(D36="正常操作",H104+H105+H106,H105+H106)</f>
        <v>0</v>
      </c>
      <c r="I103" s="129"/>
    </row>
    <row r="104" spans="1:35" ht="18.75" customHeight="1">
      <c r="A104" s="361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8" t="str">
        <f>IF(项目基本情况!E8="已注销","——","3.房地产抵押价值")</f>
        <v>3.房地产抵押价值</v>
      </c>
      <c r="F107" s="3586"/>
      <c r="G107" s="1827" t="s">
        <v>1432</v>
      </c>
      <c r="H107" s="2595" t="e">
        <f ca="1">IF(E107="——","——",H101-H103)</f>
        <v>#REF!</v>
      </c>
      <c r="I107" s="129"/>
    </row>
    <row r="108" spans="1:35" ht="18.75" customHeight="1">
      <c r="A108" s="129"/>
      <c r="B108" s="129"/>
      <c r="C108" s="129"/>
      <c r="D108" s="129"/>
      <c r="E108" s="3618"/>
      <c r="F108" s="3586"/>
      <c r="G108" s="1827" t="s">
        <v>1434</v>
      </c>
      <c r="H108" s="2555">
        <f ca="1">IF(H107=H101,H102,ROUND(H107*10000/'数据-汇总表'!E3,0))</f>
        <v>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618"/>
      <c r="F110" s="3586"/>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628" t="s">
        <v>1440</v>
      </c>
      <c r="F113" s="3628"/>
      <c r="G113" s="3628"/>
      <c r="H113" s="3628"/>
      <c r="I113" s="129"/>
    </row>
    <row r="114" spans="1:27" ht="3.75" customHeight="1">
      <c r="A114" s="1747"/>
      <c r="B114" s="1747"/>
      <c r="C114" s="1747"/>
      <c r="D114" s="1747"/>
      <c r="E114" s="1809"/>
      <c r="F114" s="1809"/>
      <c r="G114" s="1809"/>
      <c r="H114" s="1809"/>
      <c r="I114" s="1747"/>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89.89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3" t="s">
        <v>1452</v>
      </c>
      <c r="B119" s="3593"/>
      <c r="C119" s="3593"/>
      <c r="D119" s="3599" t="e">
        <f ca="1">NUMBERSTRING(INT(D118*10000),2)&amp;"元整"</f>
        <v>#REF!</v>
      </c>
      <c r="E119" s="3600"/>
      <c r="F119" s="3599" t="e">
        <f ca="1">NUMBERSTRING(INT(F118*10000),2)&amp;"元整"</f>
        <v>#REF!</v>
      </c>
      <c r="G119" s="3600"/>
      <c r="H119" s="3599" t="e">
        <f ca="1">NUMBERSTRING(INT(H118*10000),2)&amp;"元整"</f>
        <v>#REF!</v>
      </c>
      <c r="I119" s="3600"/>
    </row>
    <row r="120" spans="1:27" ht="18.75" customHeight="1">
      <c r="A120" s="3594" t="str">
        <f>IF(项目基本情况!B9="房地产市场价值","",MID(E103,3,LEN(E103)-2))</f>
        <v/>
      </c>
      <c r="B120" s="3595"/>
      <c r="C120" s="3596"/>
      <c r="D120" s="3594">
        <f>H103</f>
        <v>0</v>
      </c>
      <c r="E120" s="3595"/>
      <c r="F120" s="3595"/>
      <c r="G120" s="3595"/>
      <c r="H120" s="3595"/>
      <c r="I120" s="359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9" t="s">
        <v>1452</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
      </c>
      <c r="B122" s="3605"/>
      <c r="C122" s="3605"/>
      <c r="D122" s="3594" t="e">
        <f ca="1">H107</f>
        <v>#REF!</v>
      </c>
      <c r="E122" s="3595"/>
      <c r="F122" s="3595"/>
      <c r="G122" s="3595"/>
      <c r="H122" s="3595"/>
      <c r="I122" s="3596"/>
      <c r="AA122" s="725"/>
    </row>
    <row r="123" spans="1:27" ht="18.75" customHeight="1">
      <c r="A123" s="3593" t="s">
        <v>1452</v>
      </c>
      <c r="B123" s="3593"/>
      <c r="C123" s="3593"/>
      <c r="D123" s="3599" t="e">
        <f ca="1">NUMBERSTRING(INT(D122*10000),2)&amp;"元整"</f>
        <v>#REF!</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1452</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1452</v>
      </c>
      <c r="B127" s="3593"/>
      <c r="C127" s="3593"/>
      <c r="D127" s="3599" t="e">
        <f>NUMBERSTRING(INT(D126*10000),2)&amp;"元整"</f>
        <v>#VALUE!</v>
      </c>
      <c r="E127" s="3601"/>
      <c r="F127" s="3601"/>
      <c r="G127" s="3601"/>
      <c r="H127" s="3601"/>
      <c r="I127" s="3600"/>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40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4450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89.89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89.89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 ca="1">ROUND(IF('数据-取费表'!B22&lt;=1,C40*F22*'数据-取费表'!B21/2,C40*(POWER((1+F22),'数据-取费表'!B21/2)-1)),4)</f>
        <v>4.0000000000000002E-4</v>
      </c>
      <c r="D44" s="238"/>
      <c r="E44" s="238"/>
      <c r="F44" s="239"/>
      <c r="G44" s="3674"/>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38</v>
      </c>
      <c r="D51" s="232"/>
      <c r="E51" s="232"/>
      <c r="F51" s="264"/>
      <c r="G51" s="234" t="s">
        <v>1560</v>
      </c>
    </row>
    <row r="52" spans="1:7" s="208" customFormat="1" ht="16.8" thickBot="1">
      <c r="A52" s="265" t="s">
        <v>1561</v>
      </c>
      <c r="B52" s="266"/>
      <c r="C52" s="267">
        <f ca="1">C31+C51</f>
        <v>40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北京市房地产市场价值预评估</v>
      </c>
      <c r="C37" s="3489"/>
      <c r="D37" s="3489"/>
      <c r="E37" s="3489"/>
      <c r="F37" s="3489"/>
      <c r="G37" s="3489"/>
      <c r="H37" s="3489"/>
      <c r="I37" s="348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79" sqref="C7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89.89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128</v>
      </c>
      <c r="C2" s="1999" t="s">
        <v>1934</v>
      </c>
      <c r="D2" s="2000" t="s">
        <v>1935</v>
      </c>
      <c r="E2" s="3422" t="s">
        <v>3387</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21309</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14240</v>
      </c>
      <c r="C3" s="1999" t="s">
        <v>1940</v>
      </c>
      <c r="D3" s="2000" t="s">
        <v>1941</v>
      </c>
      <c r="E3" s="3420" t="s">
        <v>3452</v>
      </c>
      <c r="F3" s="2004" t="s">
        <v>3456</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16796</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2"/>
      <c r="B4" s="3683"/>
      <c r="C4" s="3683"/>
      <c r="D4" s="3684"/>
      <c r="E4" s="3684"/>
      <c r="F4" s="3684"/>
      <c r="G4" s="3684"/>
      <c r="H4" s="3684"/>
      <c r="I4" s="3684"/>
      <c r="J4" s="368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14195</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13150</v>
      </c>
      <c r="D5" s="1339">
        <f>ROUND(C6*C17+C20,0)</f>
        <v>13150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12519</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13150</v>
      </c>
      <c r="D6" s="2017"/>
      <c r="E6" s="2018"/>
      <c r="F6" s="2018"/>
      <c r="G6" s="2019"/>
      <c r="H6" s="2019"/>
      <c r="I6" s="2019"/>
      <c r="J6" s="2020"/>
      <c r="K6" s="1384"/>
      <c r="L6" s="2003" t="s">
        <v>1950</v>
      </c>
      <c r="M6" s="864">
        <f>SUMPRODUCT((区片价!B127:B189=I2)*(区片价!C3:G3=E2)*(区片价!C127:G189))</f>
        <v>13150</v>
      </c>
      <c r="N6" s="866">
        <f>SUMPRODUCT((因素修正幅度!B127:B189=I2)*(因素修正幅度!C3:G3=E2)*(因素修正幅度!C127:G189))</f>
        <v>0.13</v>
      </c>
      <c r="O6" s="1119"/>
      <c r="P6" s="1119"/>
      <c r="Q6" s="1119"/>
      <c r="R6" s="1212">
        <v>5</v>
      </c>
      <c r="S6" s="3361">
        <f>ROUND(SUMPRODUCT((B106:B110=R6)*(C105:N105=G2)*(C106:N110)),4)</f>
        <v>0.84799999999999998</v>
      </c>
      <c r="T6" s="3361">
        <f t="shared" si="0"/>
        <v>12031</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2.5</v>
      </c>
      <c r="AA7" s="1216"/>
      <c r="AB7" s="1216"/>
      <c r="AC7" s="1217"/>
      <c r="AD7" s="1218"/>
      <c r="AE7" s="1218"/>
      <c r="AF7" s="1218"/>
      <c r="AG7" s="1218"/>
      <c r="AH7" s="1218"/>
      <c r="AI7" s="1218"/>
      <c r="AJ7" s="1219"/>
    </row>
    <row r="8" spans="1:36" ht="26.4">
      <c r="A8" s="3299"/>
      <c r="B8" s="170" t="s">
        <v>1956</v>
      </c>
      <c r="C8" s="2026" t="s">
        <v>3459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9" t="s">
        <v>1959</v>
      </c>
      <c r="X8" s="368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3453</v>
      </c>
      <c r="D15" s="2044" t="s">
        <v>3453</v>
      </c>
      <c r="E15" s="2045" t="s">
        <v>3454</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6" t="s">
        <v>3254</v>
      </c>
      <c r="B20" s="167" t="s">
        <v>1993</v>
      </c>
      <c r="C20" s="3325">
        <f>ROUND(IF(F21="与级别开发程度一致",0,(G21-E21)/C21),0)</f>
        <v>0</v>
      </c>
      <c r="D20" s="3341" t="s">
        <v>1997</v>
      </c>
      <c r="E20" s="3342"/>
      <c r="F20" s="3692" t="s">
        <v>1994</v>
      </c>
      <c r="G20" s="36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7"/>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1.0714999999999999</v>
      </c>
      <c r="D23" s="2054" t="s">
        <v>2001</v>
      </c>
      <c r="E23" s="761">
        <v>44197</v>
      </c>
      <c r="F23" s="2054" t="s">
        <v>2002</v>
      </c>
      <c r="G23" s="762">
        <f>'数据-取费表'!B2</f>
        <v>45006</v>
      </c>
      <c r="H23" s="3343" t="s">
        <v>3256</v>
      </c>
      <c r="I23" s="3344" t="str">
        <f>IF(H23="季度增幅（自定义）",SUMIF(N25:N28,E2,O25:O28),"")</f>
        <v/>
      </c>
      <c r="J23" s="3446" t="s">
        <v>3255</v>
      </c>
      <c r="K23" s="1125"/>
      <c r="L23" s="2055" t="s">
        <v>2003</v>
      </c>
      <c r="M23" s="1328">
        <f>ROUND(SUMIF(地价!B2:G2,E2,地价!B16:G16),0)</f>
        <v>687</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0.9657</v>
      </c>
      <c r="D24" s="2060" t="s">
        <v>2006</v>
      </c>
      <c r="E24" s="1335">
        <f>存贷款利率!E26/100</f>
        <v>4.3499999999999997E-2</v>
      </c>
      <c r="F24" s="2060" t="s">
        <v>1998</v>
      </c>
      <c r="G24" s="768">
        <f>SUMIF(M30:Q30,E2,M33:Q33)</f>
        <v>0.05</v>
      </c>
      <c r="H24" s="2060" t="s">
        <v>2007</v>
      </c>
      <c r="I24" s="769">
        <f>SUMIF('数据-取费表'!C6:C15,E2,'数据-取费表'!F6:F15)/COUNTIF('数据-取费表'!C6:C15,E2)</f>
        <v>55.71</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128</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14188</v>
      </c>
      <c r="D33" s="2098">
        <f>'数据-汇总表'!F19</f>
        <v>89.89</v>
      </c>
      <c r="E33" s="773">
        <f>ROUND(C33*D33/10000,0)</f>
        <v>128</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3547</v>
      </c>
      <c r="D34" s="2103"/>
      <c r="E34" s="773">
        <f>ROUND(IF(B25="楼层修正",SUM(V2:V16)*M40,C34*D34/10000),0)</f>
        <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0"/>
      <c r="B37" s="2113" t="s">
        <v>2035</v>
      </c>
      <c r="C37" s="175">
        <f>ROUND(D5*C22*C23*C24*C28*F37,0)</f>
        <v>8513</v>
      </c>
      <c r="D37" s="2098"/>
      <c r="E37" s="171">
        <f>ROUND(C37*D37/10000,0)</f>
        <v>0</v>
      </c>
      <c r="F37" s="171">
        <f>SUMIF(修正!A57:A68,G2,修正!B57:B68)</f>
        <v>0.6</v>
      </c>
      <c r="G37" s="171">
        <f>ROUND(IF(E2="工业",C37*$M$42,C37*$M$41),0)</f>
        <v>2128</v>
      </c>
      <c r="H37" s="171">
        <f>D37</f>
        <v>0</v>
      </c>
      <c r="I37" s="171">
        <f>ROUND(G37*H37/10000,0)</f>
        <v>0</v>
      </c>
      <c r="J37" s="3012"/>
      <c r="K37" s="3359" t="s">
        <v>3266</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1"/>
      <c r="B38" s="2041" t="s">
        <v>2036</v>
      </c>
      <c r="C38" s="175">
        <f>ROUND(D5*C22*C23*C24*C28*F38,0)</f>
        <v>4256</v>
      </c>
      <c r="D38" s="2098"/>
      <c r="E38" s="171">
        <f t="shared" ref="E38:E42" si="4">ROUND(C38*D38/10000,0)</f>
        <v>0</v>
      </c>
      <c r="F38" s="171">
        <f>SUMIF(修正!A57:A68,G2,修正!C57:C68)</f>
        <v>0.3</v>
      </c>
      <c r="G38" s="171">
        <f>ROUND(IF(E2="工业",C38*$M$42,C38*$M$41),0)</f>
        <v>1064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1"/>
      <c r="B39" s="2041" t="s">
        <v>3259</v>
      </c>
      <c r="C39" s="175">
        <f>ROUND(D5*C22*C23*C24*C28*F39,0)</f>
        <v>3547</v>
      </c>
      <c r="D39" s="2098"/>
      <c r="E39" s="171">
        <f t="shared" si="4"/>
        <v>0</v>
      </c>
      <c r="F39" s="171">
        <f>SUMIF(修正!A57:A68,G2,修正!D57:D68)</f>
        <v>0.25</v>
      </c>
      <c r="G39" s="171">
        <f>ROUND(IF(E2="工业",C39*$M$42,C39*$M$41),0)</f>
        <v>887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3547</v>
      </c>
      <c r="D40" s="2098"/>
      <c r="E40" s="171">
        <f t="shared" si="4"/>
        <v>0</v>
      </c>
      <c r="F40" s="175">
        <f>SUMIF(修正!A57:A68,G2,修正!E57:E68)</f>
        <v>0.25</v>
      </c>
      <c r="G40" s="171">
        <f>ROUND(IF(E2="工业",C40*$M$42,C40*$M$41),0)</f>
        <v>887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3457</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3457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3457</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8" t="s">
        <v>3294</v>
      </c>
      <c r="B103" s="3688"/>
      <c r="C103" s="3688"/>
      <c r="D103" s="3688"/>
      <c r="E103" s="3688"/>
      <c r="F103" s="3688"/>
      <c r="G103" s="3688"/>
      <c r="H103" s="3688"/>
      <c r="I103" s="3688"/>
      <c r="J103" s="3688"/>
      <c r="K103" s="3390"/>
      <c r="L103" s="3390"/>
      <c r="M103" s="3390"/>
      <c r="N103" s="3390"/>
    </row>
    <row r="104" spans="1:14">
      <c r="A104" s="3689" t="s">
        <v>3295</v>
      </c>
      <c r="B104" s="3689" t="s">
        <v>3296</v>
      </c>
      <c r="C104" s="3391" t="s">
        <v>3297</v>
      </c>
      <c r="D104" s="3392"/>
      <c r="E104" s="3392"/>
      <c r="F104" s="3392"/>
      <c r="G104" s="3392"/>
      <c r="H104" s="3392"/>
      <c r="I104" s="3392"/>
      <c r="J104" s="3393"/>
      <c r="K104" s="3394"/>
      <c r="L104" s="3394"/>
      <c r="M104" s="3394"/>
      <c r="N104" s="3394"/>
    </row>
    <row r="105" spans="1:14">
      <c r="A105" s="3689"/>
      <c r="B105" s="36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8" t="s">
        <v>3311</v>
      </c>
      <c r="B113" s="3678"/>
      <c r="C113" s="3678"/>
      <c r="D113" s="3678"/>
      <c r="E113" s="3678"/>
      <c r="F113" s="3678"/>
      <c r="G113" s="3678"/>
      <c r="H113" s="3678"/>
      <c r="I113" s="3678"/>
      <c r="J113" s="36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218.8897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1328639</v>
      </c>
      <c r="D5" s="211" t="s">
        <v>1469</v>
      </c>
      <c r="E5" s="212" t="s">
        <v>1470</v>
      </c>
      <c r="F5" s="212" t="s">
        <v>1471</v>
      </c>
      <c r="G5" s="213"/>
    </row>
    <row r="6" spans="1:8" s="214" customFormat="1" ht="13.5" customHeight="1">
      <c r="A6" s="778" t="s">
        <v>1472</v>
      </c>
      <c r="B6" s="215" t="s">
        <v>1473</v>
      </c>
      <c r="C6" s="216">
        <f>ROUND(基准地价修正!C33*基准地价修正!D33,0)</f>
        <v>1275359</v>
      </c>
      <c r="D6" s="217"/>
      <c r="E6" s="218"/>
      <c r="F6" s="218"/>
      <c r="G6" s="219"/>
    </row>
    <row r="7" spans="1:8" s="214" customFormat="1" ht="13.5" customHeight="1">
      <c r="A7" s="778" t="s">
        <v>1474</v>
      </c>
      <c r="B7" s="215" t="s">
        <v>1475</v>
      </c>
      <c r="C7" s="220">
        <f>ROUND(C6*F7,0)</f>
        <v>38898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14382</v>
      </c>
      <c r="D8" s="222"/>
      <c r="E8" s="220"/>
      <c r="F8" s="221"/>
      <c r="G8" s="1856" t="s">
        <v>3446</v>
      </c>
    </row>
    <row r="9" spans="1:8" s="214" customFormat="1" ht="13.5" customHeight="1">
      <c r="A9" s="779" t="s">
        <v>355</v>
      </c>
      <c r="B9" s="224" t="s">
        <v>1478</v>
      </c>
      <c r="C9" s="225">
        <f ca="1">ROUND(D9*E9,0)</f>
        <v>14382</v>
      </c>
      <c r="D9" s="845">
        <f ca="1">IF(B1="",'数据-汇总表'!E5,IF(INDIRECT("'数据-取费表'!c"&amp;$G$1)="住宅",INDIRECT("'数据-取费表'!k"&amp;$G$1),0))</f>
        <v>89.89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89.89</v>
      </c>
      <c r="E19" s="211">
        <f>'数据-取费表'!B31</f>
        <v>200</v>
      </c>
      <c r="F19" s="231"/>
      <c r="G19" s="1856" t="s">
        <v>3447</v>
      </c>
    </row>
    <row r="20" spans="1:7" s="214" customFormat="1" ht="13.5" customHeight="1">
      <c r="A20" s="255" t="s">
        <v>1574</v>
      </c>
      <c r="B20" s="210" t="s">
        <v>1575</v>
      </c>
      <c r="C20" s="232">
        <f ca="1">ROUND((C5+C19)*F20,0)</f>
        <v>26573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48980</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48495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271042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271042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1816366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345627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269670</v>
      </c>
      <c r="D34" s="217"/>
      <c r="E34" s="220"/>
      <c r="F34" s="257"/>
      <c r="G34" s="219"/>
    </row>
    <row r="35" spans="1:7" ht="13.5" customHeight="1">
      <c r="A35" s="780" t="s">
        <v>351</v>
      </c>
      <c r="B35" s="215" t="s">
        <v>1527</v>
      </c>
      <c r="C35" s="220">
        <f ca="1">ROUND(C34*F35,0)</f>
        <v>26967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26967</v>
      </c>
      <c r="D36" s="220"/>
      <c r="E36" s="220"/>
      <c r="F36" s="259">
        <f>'数据-取费表'!B34</f>
        <v>0.1</v>
      </c>
      <c r="G36" s="260" t="s">
        <v>1530</v>
      </c>
    </row>
    <row r="37" spans="1:7" s="258" customFormat="1" ht="13.5" customHeight="1">
      <c r="A37" s="780" t="s">
        <v>353</v>
      </c>
      <c r="B37" s="215" t="s">
        <v>1531</v>
      </c>
      <c r="C37" s="249">
        <f ca="1">ROUND(E37*D37,0)</f>
        <v>17978</v>
      </c>
      <c r="D37" s="217">
        <f ca="1">D19</f>
        <v>89.89</v>
      </c>
      <c r="E37" s="249">
        <f>'数据-取费表'!B35</f>
        <v>200</v>
      </c>
      <c r="F37" s="259"/>
      <c r="G37" s="261"/>
    </row>
    <row r="38" spans="1:7" ht="13.5" customHeight="1">
      <c r="A38" s="780" t="s">
        <v>354</v>
      </c>
      <c r="B38" s="215" t="s">
        <v>1533</v>
      </c>
      <c r="C38" s="220">
        <f ca="1">ROUND(C34*F38,0)</f>
        <v>4045</v>
      </c>
      <c r="D38" s="220"/>
      <c r="E38" s="220"/>
      <c r="F38" s="259">
        <f>'数据-取费表'!B36</f>
        <v>1.4999999999999999E-2</v>
      </c>
      <c r="G38" s="219" t="s">
        <v>1528</v>
      </c>
    </row>
    <row r="39" spans="1:7" s="214" customFormat="1" ht="13.5" customHeight="1">
      <c r="A39" s="255" t="s">
        <v>1534</v>
      </c>
      <c r="B39" s="210" t="s">
        <v>1535</v>
      </c>
      <c r="C39" s="232">
        <f ca="1">ROUND(C33*F20,0)</f>
        <v>6913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6434</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6308</v>
      </c>
      <c r="D42" s="238"/>
      <c r="E42" s="238"/>
      <c r="F42" s="239"/>
      <c r="G42" s="3672" t="s">
        <v>1591</v>
      </c>
    </row>
    <row r="43" spans="1:7" ht="13.5" customHeight="1">
      <c r="A43" s="780" t="s">
        <v>347</v>
      </c>
      <c r="B43" s="215" t="s">
        <v>1545</v>
      </c>
      <c r="C43" s="238">
        <f ca="1">ROUND(IF('数据-取费表'!B22&lt;=1,C39*F22*'数据-取费表'!B20/2,C39*(POWER((1+F22),'数据-取费表'!B20/2)-1)),0)</f>
        <v>126</v>
      </c>
      <c r="D43" s="238"/>
      <c r="E43" s="238"/>
      <c r="F43" s="239"/>
      <c r="G43" s="3673"/>
    </row>
    <row r="44" spans="1:7" ht="13.5" customHeight="1">
      <c r="A44" s="780" t="s">
        <v>348</v>
      </c>
      <c r="B44" s="215" t="s">
        <v>1546</v>
      </c>
      <c r="C44" s="238">
        <f ca="1">ROUND(IF('数据-取费表'!B22&lt;=1,C40*F22*'数据-取费表'!B20/2,C40*(POWER((1+F22),'数据-取费表'!B20/2)-1)),4)</f>
        <v>4.0000000000000002E-4</v>
      </c>
      <c r="D44" s="238"/>
      <c r="E44" s="238"/>
      <c r="F44" s="239"/>
      <c r="G44" s="3674"/>
    </row>
    <row r="45" spans="1:7" s="214" customFormat="1" ht="13.5" customHeight="1">
      <c r="A45" s="255" t="s">
        <v>1547</v>
      </c>
      <c r="B45" s="244" t="s">
        <v>1513</v>
      </c>
      <c r="C45" s="245">
        <f ca="1">C46</f>
        <v>70508</v>
      </c>
      <c r="D45" s="235">
        <f ca="1">C47</f>
        <v>4.0000000000000001E-3</v>
      </c>
      <c r="E45" s="236" t="s">
        <v>1539</v>
      </c>
      <c r="F45" s="246">
        <f ca="1">F27</f>
        <v>0.2</v>
      </c>
      <c r="G45" s="247" t="s">
        <v>1548</v>
      </c>
    </row>
    <row r="46" spans="1:7" s="214" customFormat="1" ht="13.5" customHeight="1">
      <c r="A46" s="780" t="s">
        <v>346</v>
      </c>
      <c r="B46" s="248" t="s">
        <v>1549</v>
      </c>
      <c r="C46" s="249">
        <f ca="1">ROUND((C33+C39)*F27,0)</f>
        <v>70508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465664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372531</v>
      </c>
      <c r="D51" s="232"/>
      <c r="E51" s="232"/>
      <c r="F51" s="264"/>
      <c r="G51" s="234" t="s">
        <v>1560</v>
      </c>
    </row>
    <row r="52" spans="1:7" s="208" customFormat="1" ht="16.8" thickBot="1">
      <c r="A52" s="265" t="s">
        <v>1561</v>
      </c>
      <c r="B52" s="266"/>
      <c r="C52" s="267">
        <f ca="1">C31+C51</f>
        <v>2188897</v>
      </c>
      <c r="D52" s="266"/>
      <c r="E52" s="266"/>
      <c r="F52" s="266"/>
      <c r="G52" s="268"/>
    </row>
    <row r="55" spans="1:7" ht="15">
      <c r="B55" s="270" t="s">
        <v>1562</v>
      </c>
      <c r="C55" s="271"/>
    </row>
    <row r="56" spans="1:7">
      <c r="B56" s="273" t="s">
        <v>802</v>
      </c>
      <c r="C56" s="275">
        <f ca="1">1-C57</f>
        <v>0.83</v>
      </c>
    </row>
    <row r="57" spans="1:7">
      <c r="B57" s="273" t="s">
        <v>803</v>
      </c>
      <c r="C57" s="274">
        <f ca="1">ROUND(C51/C52,3)</f>
        <v>0.17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89.89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89.89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0</v>
      </c>
      <c r="D6" s="155" t="s">
        <v>2108</v>
      </c>
      <c r="E6" s="302" t="s">
        <v>696</v>
      </c>
      <c r="F6" s="303">
        <f ca="1">INDIRECT("'数据-取费表'!u"&amp;$G$1)</f>
        <v>0</v>
      </c>
      <c r="G6" s="1384"/>
      <c r="H6" s="1069" t="s">
        <v>398</v>
      </c>
      <c r="I6" s="3696" t="s">
        <v>694</v>
      </c>
      <c r="J6" s="301">
        <f ca="1">ROUND(M6*M8*M7*(1-M9)/10000,0)</f>
        <v>0</v>
      </c>
      <c r="K6" s="155"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4" t="s">
        <v>837</v>
      </c>
      <c r="L53" s="369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6" t="s">
        <v>694</v>
      </c>
      <c r="C6" s="1074">
        <f ca="1">ROUND(F6*F8*F7*(1-F9),0)</f>
        <v>0</v>
      </c>
      <c r="D6" s="155" t="s">
        <v>2105</v>
      </c>
      <c r="E6" s="302" t="s">
        <v>696</v>
      </c>
      <c r="F6" s="303">
        <f ca="1">INDIRECT("'数据-取费表'!u"&amp;$G$1)</f>
        <v>0</v>
      </c>
      <c r="G6" s="1384"/>
      <c r="H6" s="1069" t="s">
        <v>398</v>
      </c>
      <c r="I6" s="3696" t="s">
        <v>694</v>
      </c>
      <c r="J6" s="301">
        <f ca="1">ROUND(M6*M8*M7*(1-M9),0)</f>
        <v>0</v>
      </c>
      <c r="K6" s="1376" t="s">
        <v>2106</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0</v>
      </c>
      <c r="G7" s="1384"/>
      <c r="H7" s="304"/>
      <c r="I7" s="3697"/>
      <c r="J7" s="306"/>
      <c r="K7" s="307"/>
      <c r="L7" s="302" t="s">
        <v>697</v>
      </c>
      <c r="M7" s="303">
        <f ca="1">F7</f>
        <v>0</v>
      </c>
    </row>
    <row r="8" spans="1:37" ht="18" customHeight="1">
      <c r="A8" s="304"/>
      <c r="B8" s="3697"/>
      <c r="C8" s="306"/>
      <c r="D8" s="307"/>
      <c r="E8" s="302" t="s">
        <v>698</v>
      </c>
      <c r="F8" s="303">
        <f ca="1">INDIRECT("'数据-取费表'!ai"&amp;$G$1)</f>
        <v>0</v>
      </c>
      <c r="G8" s="1384"/>
      <c r="H8" s="304"/>
      <c r="I8" s="3697"/>
      <c r="J8" s="306"/>
      <c r="K8" s="307"/>
      <c r="L8" s="302" t="s">
        <v>698</v>
      </c>
      <c r="M8" s="303">
        <f ca="1">INDIRECT("'数据-取费表'!ai"&amp;$G$1)</f>
        <v>0</v>
      </c>
    </row>
    <row r="9" spans="1:37" ht="18" customHeight="1">
      <c r="A9" s="304"/>
      <c r="B9" s="3698"/>
      <c r="C9" s="306"/>
      <c r="D9" s="307"/>
      <c r="E9" s="302" t="s">
        <v>699</v>
      </c>
      <c r="F9" s="312">
        <f ca="1">INDIRECT("'数据-取费表'!w"&amp;$G$1)</f>
        <v>0</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4" t="s">
        <v>837</v>
      </c>
      <c r="L53" s="369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99" t="s">
        <v>2317</v>
      </c>
      <c r="K2" s="370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1" t="s">
        <v>2327</v>
      </c>
      <c r="K3" s="370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1" t="s">
        <v>2329</v>
      </c>
      <c r="K4" s="370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3" t="s">
        <v>2333</v>
      </c>
      <c r="B6" s="3704"/>
      <c r="C6" s="3705"/>
      <c r="D6" s="2870"/>
      <c r="E6" s="2871"/>
      <c r="F6" s="2872"/>
      <c r="G6" s="2873"/>
      <c r="H6" s="2848"/>
      <c r="I6" s="2849"/>
      <c r="J6" s="3706">
        <v>1</v>
      </c>
      <c r="K6" s="370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6"/>
      <c r="K7" s="370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0" t="s">
        <v>2347</v>
      </c>
      <c r="C8" s="3711"/>
      <c r="D8" s="2889" t="s">
        <v>2348</v>
      </c>
      <c r="E8" s="2890" t="s">
        <v>2349</v>
      </c>
      <c r="F8" s="2891" t="s">
        <v>2350</v>
      </c>
      <c r="G8" s="2892"/>
      <c r="H8" s="2848"/>
      <c r="I8" s="2849"/>
      <c r="J8" s="3706"/>
      <c r="K8" s="370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0" t="s">
        <v>2353</v>
      </c>
      <c r="C9" s="3711"/>
      <c r="D9" s="2889">
        <f>ROUND(D6*E9,0)</f>
        <v>0</v>
      </c>
      <c r="E9" s="2893"/>
      <c r="F9" s="2894" t="s">
        <v>2354</v>
      </c>
      <c r="G9" s="2873"/>
      <c r="H9" s="2848"/>
      <c r="I9" s="2849"/>
      <c r="J9" s="3706"/>
      <c r="K9" s="3708"/>
      <c r="L9" s="2883" t="s">
        <v>2355</v>
      </c>
      <c r="M9" s="2884"/>
      <c r="N9" s="2860"/>
      <c r="O9" s="2885"/>
      <c r="P9" s="2885"/>
      <c r="Q9" s="2886">
        <v>365</v>
      </c>
      <c r="R9" s="2887">
        <f t="shared" si="0"/>
        <v>0</v>
      </c>
      <c r="S9" s="2841"/>
      <c r="T9" s="2841"/>
      <c r="U9" s="2841"/>
      <c r="V9" s="2849"/>
    </row>
    <row r="10" spans="1:22" s="2853" customFormat="1" ht="13.2" customHeight="1">
      <c r="A10" s="2888">
        <v>2</v>
      </c>
      <c r="B10" s="3710" t="s">
        <v>2356</v>
      </c>
      <c r="C10" s="3711"/>
      <c r="D10" s="2889">
        <f>ROUND(D6*E10,0)</f>
        <v>0</v>
      </c>
      <c r="E10" s="2893"/>
      <c r="F10" s="2894" t="s">
        <v>2357</v>
      </c>
      <c r="G10" s="2873"/>
      <c r="H10" s="2848"/>
      <c r="I10" s="2849"/>
      <c r="J10" s="3706"/>
      <c r="K10" s="3708"/>
      <c r="L10" s="2883" t="s">
        <v>2358</v>
      </c>
      <c r="M10" s="2884"/>
      <c r="N10" s="2860"/>
      <c r="O10" s="2885"/>
      <c r="P10" s="2885"/>
      <c r="Q10" s="2886">
        <v>365</v>
      </c>
      <c r="R10" s="2887">
        <f t="shared" si="0"/>
        <v>0</v>
      </c>
      <c r="S10" s="2841"/>
      <c r="T10" s="2841"/>
      <c r="U10" s="2841"/>
      <c r="V10" s="2849"/>
    </row>
    <row r="11" spans="1:22" s="2853" customFormat="1" ht="13.2" customHeight="1">
      <c r="A11" s="2888">
        <v>3</v>
      </c>
      <c r="B11" s="3710" t="s">
        <v>2359</v>
      </c>
      <c r="C11" s="3711"/>
      <c r="D11" s="2889">
        <f>D12+D14+D15+D16</f>
        <v>0</v>
      </c>
      <c r="E11" s="2895" t="e">
        <f>D11/D6</f>
        <v>#DIV/0!</v>
      </c>
      <c r="F11" s="2891"/>
      <c r="G11" s="2892"/>
      <c r="H11" s="2848"/>
      <c r="I11" s="2849"/>
      <c r="J11" s="3706"/>
      <c r="K11" s="370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2" t="s">
        <v>2362</v>
      </c>
      <c r="C12" s="3713"/>
      <c r="D12" s="2897">
        <f>ROUND(D13*1.2%*(1-30%),0)</f>
        <v>0</v>
      </c>
      <c r="E12" s="2898">
        <v>1.2E-2</v>
      </c>
      <c r="F12" s="2891" t="s">
        <v>2363</v>
      </c>
      <c r="G12" s="2892"/>
      <c r="H12" s="2848"/>
      <c r="I12" s="2849"/>
      <c r="J12" s="3706"/>
      <c r="K12" s="370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6"/>
      <c r="K13" s="370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2" t="s">
        <v>2368</v>
      </c>
      <c r="C14" s="3713"/>
      <c r="D14" s="2897">
        <f>ROUND(E14*B5/10000,0)</f>
        <v>0</v>
      </c>
      <c r="E14" s="2886"/>
      <c r="F14" s="2891" t="s">
        <v>2369</v>
      </c>
      <c r="G14" s="2892"/>
      <c r="H14" s="2848"/>
      <c r="I14" s="2849"/>
      <c r="J14" s="3706"/>
      <c r="K14" s="370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2" t="s">
        <v>2372</v>
      </c>
      <c r="C15" s="3713"/>
      <c r="D15" s="2897">
        <f>ROUND(D6*E15,0)</f>
        <v>0</v>
      </c>
      <c r="E15" s="2898">
        <v>5.5E-2</v>
      </c>
      <c r="F15" s="2891" t="s">
        <v>2373</v>
      </c>
      <c r="G15" s="2873"/>
      <c r="H15" s="2848"/>
      <c r="I15" s="2849"/>
      <c r="J15" s="3706">
        <v>2</v>
      </c>
      <c r="K15" s="370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2" t="s">
        <v>2381</v>
      </c>
      <c r="C16" s="3713"/>
      <c r="D16" s="2908">
        <f>D6*E16</f>
        <v>0</v>
      </c>
      <c r="E16" s="2909"/>
      <c r="F16" s="2894" t="s">
        <v>2382</v>
      </c>
      <c r="G16" s="2873"/>
      <c r="H16" s="2848"/>
      <c r="I16" s="2849"/>
      <c r="J16" s="3706"/>
      <c r="K16" s="370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4" t="s">
        <v>2384</v>
      </c>
      <c r="C17" s="3715"/>
      <c r="D17" s="2911">
        <f>ROUND(D6*E17,0)</f>
        <v>0</v>
      </c>
      <c r="E17" s="2912"/>
      <c r="F17" s="2913" t="s">
        <v>2385</v>
      </c>
      <c r="G17" s="2873"/>
      <c r="H17" s="2848"/>
      <c r="I17" s="2849"/>
      <c r="J17" s="3706"/>
      <c r="K17" s="370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6"/>
      <c r="K18" s="370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6"/>
      <c r="K19" s="370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6">
        <v>3</v>
      </c>
      <c r="K20" s="370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6"/>
      <c r="K21" s="370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6"/>
      <c r="K22" s="370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6"/>
      <c r="K23" s="370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6"/>
      <c r="K24" s="370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1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9" t="s">
        <v>2317</v>
      </c>
      <c r="K32" s="370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1" t="s">
        <v>2327</v>
      </c>
      <c r="K33" s="370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1" t="s">
        <v>2329</v>
      </c>
      <c r="K34" s="370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6">
        <v>1</v>
      </c>
      <c r="K36" s="370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6"/>
      <c r="K37" s="370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6"/>
      <c r="K38" s="370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6"/>
      <c r="K39" s="370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6"/>
      <c r="K40" s="370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1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8" t="s">
        <v>1654</v>
      </c>
      <c r="C5" s="371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E92" sqref="E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532.10389999999995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59195</v>
      </c>
      <c r="C3" s="354" t="s">
        <v>1665</v>
      </c>
      <c r="D3" s="353">
        <f>IF(D1="",'数据-汇总表'!E3,SUMIF('数据-汇总表'!$C19:$C33,D1,'数据-汇总表'!$E19:$E33))</f>
        <v>89.89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0" t="s">
        <v>1667</v>
      </c>
      <c r="D4" s="3741"/>
      <c r="E4" s="3742" t="s">
        <v>1668</v>
      </c>
      <c r="F4" s="3743"/>
      <c r="G4" s="3740" t="s">
        <v>1669</v>
      </c>
      <c r="H4" s="3741"/>
      <c r="I4" s="3740" t="s">
        <v>1670</v>
      </c>
      <c r="J4" s="3741"/>
      <c r="K4" s="1889" t="s">
        <v>1671</v>
      </c>
      <c r="L4" s="2715"/>
      <c r="M4" s="2716"/>
      <c r="N4" s="2716"/>
      <c r="O4" s="2716"/>
      <c r="P4" s="3744" t="s">
        <v>1672</v>
      </c>
      <c r="Q4" s="3745"/>
      <c r="R4" s="3725" t="s">
        <v>1668</v>
      </c>
      <c r="S4" s="3726"/>
      <c r="T4" s="3725" t="s">
        <v>1669</v>
      </c>
      <c r="U4" s="3726"/>
      <c r="V4" s="3752" t="s">
        <v>1670</v>
      </c>
      <c r="W4" s="3752"/>
      <c r="X4" s="1355"/>
      <c r="Y4" s="3725" t="s">
        <v>1672</v>
      </c>
      <c r="Z4" s="3726"/>
      <c r="AA4" s="3720" t="s">
        <v>1668</v>
      </c>
      <c r="AB4" s="3720" t="s">
        <v>1669</v>
      </c>
      <c r="AC4" s="3720" t="s">
        <v>1670</v>
      </c>
    </row>
    <row r="5" spans="1:29" ht="39.75" customHeight="1">
      <c r="A5" s="358"/>
      <c r="B5" s="359"/>
      <c r="C5" s="3731" t="s">
        <v>3468</v>
      </c>
      <c r="D5" s="3732"/>
      <c r="E5" s="3729" t="str">
        <f>Sheet1!F3</f>
        <v>昌平路395号院1号楼3层2单元302</v>
      </c>
      <c r="F5" s="3730"/>
      <c r="G5" s="3735" t="str">
        <f>Sheet1!F7</f>
        <v>龙兴园东区35号楼3层5单元301</v>
      </c>
      <c r="H5" s="3736"/>
      <c r="I5" s="3735" t="str">
        <f>Sheet1!F8</f>
        <v>龙兴园东区35号楼5层7单元501</v>
      </c>
      <c r="J5" s="3736"/>
      <c r="K5" s="1890"/>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33"/>
      <c r="D6" s="3734"/>
      <c r="E6" s="3737"/>
      <c r="F6" s="3738"/>
      <c r="G6" s="3733"/>
      <c r="H6" s="3734"/>
      <c r="I6" s="3733"/>
      <c r="J6" s="3734"/>
      <c r="K6" s="1890"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f>Sheet1!U3</f>
        <v>44821</v>
      </c>
      <c r="F7" s="367">
        <f>SUMIF(58:58,YEAR(E7)&amp;"-"&amp;MONTH(E7),59:59)</f>
        <v>101</v>
      </c>
      <c r="G7" s="366">
        <f>Sheet1!U7</f>
        <v>45003</v>
      </c>
      <c r="H7" s="365">
        <f>SUMIF(58:58,YEAR(G7)&amp;"-"&amp;MONTH(G7),59:59)</f>
        <v>100</v>
      </c>
      <c r="I7" s="366">
        <f>Sheet1!U8</f>
        <v>45001</v>
      </c>
      <c r="J7" s="365">
        <f>SUMIF(58:58,YEAR(I7)&amp;"-"&amp;MONTH(I7),59:59)</f>
        <v>100</v>
      </c>
      <c r="K7" s="1891"/>
      <c r="L7" s="2717"/>
      <c r="M7" s="2718"/>
      <c r="N7" s="2718"/>
      <c r="O7" s="2718"/>
      <c r="P7" s="3723" t="s">
        <v>1680</v>
      </c>
      <c r="Q7" s="3753"/>
      <c r="R7" s="701" t="s">
        <v>20</v>
      </c>
      <c r="S7" s="702">
        <f t="shared" ref="S7:S15" si="0">F7</f>
        <v>101</v>
      </c>
      <c r="T7" s="701" t="s">
        <v>20</v>
      </c>
      <c r="U7" s="702">
        <f t="shared" ref="U7:U15" si="1">H7</f>
        <v>100</v>
      </c>
      <c r="V7" s="701" t="s">
        <v>20</v>
      </c>
      <c r="W7" s="702">
        <f t="shared" ref="W7:W15" si="2">J7</f>
        <v>100</v>
      </c>
      <c r="X7" s="703"/>
      <c r="Y7" s="3723" t="s">
        <v>1680</v>
      </c>
      <c r="Z7" s="3724"/>
      <c r="AA7" s="704">
        <f>D7/F7</f>
        <v>0.99009900990099009</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9"/>
      <c r="Q11" s="1343" t="str">
        <f t="shared" si="6"/>
        <v>容积率</v>
      </c>
      <c r="R11" s="701" t="s">
        <v>18</v>
      </c>
      <c r="S11" s="702">
        <f t="shared" si="0"/>
        <v>100</v>
      </c>
      <c r="T11" s="701" t="s">
        <v>18</v>
      </c>
      <c r="U11" s="702">
        <f t="shared" si="1"/>
        <v>100</v>
      </c>
      <c r="V11" s="701" t="s">
        <v>18</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9"/>
      <c r="Q12" s="1343">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9"/>
      <c r="Q13" s="1343">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9"/>
      <c r="Q14" s="1343">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6" t="s">
        <v>1691</v>
      </c>
      <c r="Q15" s="1352" t="str">
        <f t="shared" si="6"/>
        <v>居住社区成熟度</v>
      </c>
      <c r="R15" s="705" t="s">
        <v>18</v>
      </c>
      <c r="S15" s="706">
        <f t="shared" si="0"/>
        <v>100</v>
      </c>
      <c r="T15" s="705" t="s">
        <v>18</v>
      </c>
      <c r="U15" s="706">
        <f t="shared" si="1"/>
        <v>100</v>
      </c>
      <c r="V15" s="705" t="s">
        <v>18</v>
      </c>
      <c r="W15" s="706">
        <f t="shared" si="2"/>
        <v>100</v>
      </c>
      <c r="X15" s="1355"/>
      <c r="Y15" s="375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7"/>
      <c r="Q16" s="1352"/>
      <c r="R16" s="705"/>
      <c r="S16" s="706"/>
      <c r="T16" s="705"/>
      <c r="U16" s="706"/>
      <c r="V16" s="705"/>
      <c r="W16" s="706"/>
      <c r="X16" s="1355"/>
      <c r="Y16" s="376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7"/>
      <c r="Q17" s="1352" t="str">
        <f>B17</f>
        <v>交通便捷度</v>
      </c>
      <c r="R17" s="705" t="s">
        <v>18</v>
      </c>
      <c r="S17" s="706">
        <f>F17</f>
        <v>100</v>
      </c>
      <c r="T17" s="705" t="s">
        <v>18</v>
      </c>
      <c r="U17" s="706">
        <f>H17</f>
        <v>100</v>
      </c>
      <c r="V17" s="705" t="s">
        <v>18</v>
      </c>
      <c r="W17" s="706">
        <f>J17</f>
        <v>100</v>
      </c>
      <c r="X17" s="1355"/>
      <c r="Y17" s="3760"/>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67"/>
      <c r="Q18" s="1352"/>
      <c r="R18" s="705"/>
      <c r="S18" s="706"/>
      <c r="T18" s="705"/>
      <c r="U18" s="706"/>
      <c r="V18" s="705"/>
      <c r="W18" s="706"/>
      <c r="X18" s="1355"/>
      <c r="Y18" s="376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7"/>
      <c r="Q19" s="1352" t="str">
        <f>B19</f>
        <v>公共配套设施</v>
      </c>
      <c r="R19" s="705" t="s">
        <v>18</v>
      </c>
      <c r="S19" s="706">
        <f>F19</f>
        <v>100</v>
      </c>
      <c r="T19" s="705" t="s">
        <v>18</v>
      </c>
      <c r="U19" s="706">
        <f>H19</f>
        <v>100</v>
      </c>
      <c r="V19" s="705" t="s">
        <v>18</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7"/>
      <c r="Q20" s="1352"/>
      <c r="R20" s="705"/>
      <c r="S20" s="706"/>
      <c r="T20" s="705"/>
      <c r="U20" s="706"/>
      <c r="V20" s="705"/>
      <c r="W20" s="706"/>
      <c r="X20" s="1355"/>
      <c r="Y20" s="376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7"/>
      <c r="Q22" s="1352"/>
      <c r="R22" s="705"/>
      <c r="S22" s="706"/>
      <c r="T22" s="705"/>
      <c r="U22" s="706"/>
      <c r="V22" s="705"/>
      <c r="W22" s="706"/>
      <c r="X22" s="1355"/>
      <c r="Y22" s="376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7"/>
      <c r="Q23" s="1352" t="str">
        <f>B23</f>
        <v>自然及人文环境</v>
      </c>
      <c r="R23" s="705" t="s">
        <v>18</v>
      </c>
      <c r="S23" s="706">
        <f>F23</f>
        <v>100</v>
      </c>
      <c r="T23" s="705" t="s">
        <v>18</v>
      </c>
      <c r="U23" s="706">
        <f>H23</f>
        <v>100</v>
      </c>
      <c r="V23" s="705" t="s">
        <v>18</v>
      </c>
      <c r="W23" s="706">
        <f>J23</f>
        <v>100</v>
      </c>
      <c r="X23" s="1355"/>
      <c r="Y23" s="3760"/>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67"/>
      <c r="Q24" s="1352"/>
      <c r="R24" s="705"/>
      <c r="S24" s="706"/>
      <c r="T24" s="705"/>
      <c r="U24" s="706"/>
      <c r="V24" s="705"/>
      <c r="W24" s="706"/>
      <c r="X24" s="1355"/>
      <c r="Y24" s="376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0"/>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3463</v>
      </c>
      <c r="D26" s="413">
        <v>100</v>
      </c>
      <c r="E26" s="416" t="s">
        <v>3463</v>
      </c>
      <c r="F26" s="413">
        <f>SUMIF(88:88,E26,89:89)-SUMIF(88:88,C26,89:89)+100</f>
        <v>100</v>
      </c>
      <c r="G26" s="414" t="s">
        <v>3448</v>
      </c>
      <c r="H26" s="413">
        <f>SUMIF(88:88,G26,89:89)-SUMIF(88:88,C26,89:89)+100</f>
        <v>101</v>
      </c>
      <c r="I26" s="414" t="s">
        <v>3448</v>
      </c>
      <c r="J26" s="413">
        <f>SUMIF(88:88,I26,89:89)-SUMIF(88:88,C26,89:89)+100</f>
        <v>101</v>
      </c>
      <c r="K26" s="3475">
        <v>1</v>
      </c>
      <c r="L26" s="3460"/>
      <c r="M26" s="3461"/>
      <c r="N26" s="3461"/>
      <c r="O26" s="3461"/>
      <c r="P26" s="3767"/>
      <c r="Q26" s="3462" t="str">
        <f t="shared" si="11"/>
        <v>朝向</v>
      </c>
      <c r="R26" s="3463" t="s">
        <v>18</v>
      </c>
      <c r="S26" s="3464">
        <f t="shared" si="12"/>
        <v>100</v>
      </c>
      <c r="T26" s="3463" t="s">
        <v>18</v>
      </c>
      <c r="U26" s="3464">
        <f t="shared" si="13"/>
        <v>101</v>
      </c>
      <c r="V26" s="3463" t="s">
        <v>18</v>
      </c>
      <c r="W26" s="3464">
        <f t="shared" si="14"/>
        <v>101</v>
      </c>
      <c r="X26" s="3465"/>
      <c r="Y26" s="3760"/>
      <c r="Z26" s="3466" t="str">
        <f>Q26</f>
        <v>朝向</v>
      </c>
      <c r="AA26" s="3467">
        <f t="shared" si="15"/>
        <v>1</v>
      </c>
      <c r="AB26" s="3467">
        <f t="shared" si="16"/>
        <v>0.99009900990099009</v>
      </c>
      <c r="AC26" s="3467">
        <f t="shared" si="17"/>
        <v>0.99009900990099009</v>
      </c>
    </row>
    <row r="27" spans="1:29" s="108" customFormat="1" ht="15">
      <c r="A27" s="382"/>
      <c r="B27" s="3450" t="s">
        <v>3397</v>
      </c>
      <c r="C27" s="416" t="s">
        <v>3531</v>
      </c>
      <c r="D27" s="413">
        <v>100</v>
      </c>
      <c r="E27" s="416" t="s">
        <v>3537</v>
      </c>
      <c r="F27" s="413">
        <f>SUMIF(90:90,E27,91:91)-SUMIF(90:90,C27,91:91)+100</f>
        <v>97</v>
      </c>
      <c r="G27" s="414" t="s">
        <v>3539</v>
      </c>
      <c r="H27" s="413">
        <f>SUMIF(90:90,G27,91:91)-SUMIF(90:90,C27,91:91)+100</f>
        <v>102</v>
      </c>
      <c r="I27" s="414" t="s">
        <v>3540</v>
      </c>
      <c r="J27" s="413">
        <f>SUMIF(90:90,I27,91:91)-SUMIF(90:90,C27,91:91)+100</f>
        <v>100</v>
      </c>
      <c r="K27" s="1894"/>
      <c r="L27" s="2717"/>
      <c r="M27" s="2718"/>
      <c r="N27" s="2718"/>
      <c r="O27" s="2718"/>
      <c r="P27" s="3767"/>
      <c r="Q27" s="1343" t="str">
        <f t="shared" si="11"/>
        <v>楼层</v>
      </c>
      <c r="R27" s="701" t="s">
        <v>18</v>
      </c>
      <c r="S27" s="702">
        <f t="shared" si="12"/>
        <v>97</v>
      </c>
      <c r="T27" s="701" t="s">
        <v>18</v>
      </c>
      <c r="U27" s="702">
        <f t="shared" si="13"/>
        <v>102</v>
      </c>
      <c r="V27" s="701" t="s">
        <v>18</v>
      </c>
      <c r="W27" s="702">
        <f t="shared" si="14"/>
        <v>100</v>
      </c>
      <c r="X27" s="703"/>
      <c r="Y27" s="3760"/>
      <c r="Z27" s="52" t="str">
        <f>Q27</f>
        <v>楼层</v>
      </c>
      <c r="AA27" s="1353">
        <f t="shared" si="15"/>
        <v>1.0309278350515463</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7"/>
      <c r="Q28" s="1352">
        <f t="shared" si="11"/>
        <v>111</v>
      </c>
      <c r="R28" s="705" t="s">
        <v>18</v>
      </c>
      <c r="S28" s="706">
        <f t="shared" si="12"/>
        <v>100</v>
      </c>
      <c r="T28" s="705" t="s">
        <v>18</v>
      </c>
      <c r="U28" s="706">
        <f t="shared" si="13"/>
        <v>100</v>
      </c>
      <c r="V28" s="705" t="s">
        <v>18</v>
      </c>
      <c r="W28" s="706">
        <f t="shared" si="14"/>
        <v>100</v>
      </c>
      <c r="X28" s="1355"/>
      <c r="Y28" s="37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7"/>
      <c r="Q29" s="1352">
        <f t="shared" si="11"/>
        <v>111</v>
      </c>
      <c r="R29" s="705" t="s">
        <v>18</v>
      </c>
      <c r="S29" s="706">
        <f t="shared" si="12"/>
        <v>100</v>
      </c>
      <c r="T29" s="705" t="s">
        <v>18</v>
      </c>
      <c r="U29" s="706">
        <f t="shared" si="13"/>
        <v>100</v>
      </c>
      <c r="V29" s="705" t="s">
        <v>18</v>
      </c>
      <c r="W29" s="706">
        <f t="shared" si="14"/>
        <v>100</v>
      </c>
      <c r="X29" s="1355"/>
      <c r="Y29" s="37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7"/>
      <c r="Q30" s="1352">
        <f t="shared" si="11"/>
        <v>111</v>
      </c>
      <c r="R30" s="705" t="s">
        <v>18</v>
      </c>
      <c r="S30" s="706">
        <f t="shared" si="12"/>
        <v>100</v>
      </c>
      <c r="T30" s="705" t="s">
        <v>18</v>
      </c>
      <c r="U30" s="706">
        <f t="shared" si="13"/>
        <v>100</v>
      </c>
      <c r="V30" s="705" t="s">
        <v>18</v>
      </c>
      <c r="W30" s="706">
        <f t="shared" si="14"/>
        <v>100</v>
      </c>
      <c r="X30" s="1355"/>
      <c r="Y30" s="376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7"/>
      <c r="Q31" s="1352">
        <f t="shared" si="11"/>
        <v>111</v>
      </c>
      <c r="R31" s="705" t="s">
        <v>18</v>
      </c>
      <c r="S31" s="706">
        <f t="shared" si="12"/>
        <v>100</v>
      </c>
      <c r="T31" s="705" t="s">
        <v>18</v>
      </c>
      <c r="U31" s="706">
        <f t="shared" si="13"/>
        <v>100</v>
      </c>
      <c r="V31" s="705" t="s">
        <v>18</v>
      </c>
      <c r="W31" s="706">
        <f t="shared" si="14"/>
        <v>100</v>
      </c>
      <c r="X31" s="1355"/>
      <c r="Y31" s="3760"/>
      <c r="Z31" s="1356">
        <f t="shared" si="18"/>
        <v>111</v>
      </c>
      <c r="AA31" s="1353">
        <f t="shared" si="15"/>
        <v>1</v>
      </c>
      <c r="AB31" s="1353">
        <f t="shared" si="16"/>
        <v>1</v>
      </c>
      <c r="AC31" s="1353">
        <f t="shared" si="17"/>
        <v>1</v>
      </c>
    </row>
    <row r="32" spans="1:29" ht="15">
      <c r="A32" s="391" t="s">
        <v>1693</v>
      </c>
      <c r="B32" s="63" t="s">
        <v>1694</v>
      </c>
      <c r="C32" s="1910" t="s">
        <v>3466</v>
      </c>
      <c r="D32" s="418">
        <v>100</v>
      </c>
      <c r="E32" s="1911" t="s">
        <v>3466</v>
      </c>
      <c r="F32" s="412">
        <f>SUMIF(100:100,E32,101:101)-SUMIF(100:100,C32,101:101)+100</f>
        <v>100</v>
      </c>
      <c r="G32" s="1910" t="s">
        <v>3532</v>
      </c>
      <c r="H32" s="418">
        <f>SUMIF(100:100,G32,101:101)-SUMIF(100:100,C32,101:101)+100</f>
        <v>101</v>
      </c>
      <c r="I32" s="1911" t="s">
        <v>3532</v>
      </c>
      <c r="J32" s="386">
        <f>SUMIF(100:100,I32,101:101)-SUMIF(100:100,C32,101:101)+100</f>
        <v>101</v>
      </c>
      <c r="K32" s="377">
        <v>1</v>
      </c>
      <c r="L32" s="2722"/>
      <c r="M32" s="2716"/>
      <c r="N32" s="2716"/>
      <c r="O32" s="2716"/>
      <c r="P32" s="3761" t="s">
        <v>1695</v>
      </c>
      <c r="Q32" s="1352" t="str">
        <f t="shared" si="11"/>
        <v>建筑类型</v>
      </c>
      <c r="R32" s="705" t="s">
        <v>18</v>
      </c>
      <c r="S32" s="706">
        <f t="shared" si="12"/>
        <v>100</v>
      </c>
      <c r="T32" s="705" t="s">
        <v>18</v>
      </c>
      <c r="U32" s="706">
        <f t="shared" si="13"/>
        <v>101</v>
      </c>
      <c r="V32" s="705" t="s">
        <v>18</v>
      </c>
      <c r="W32" s="706">
        <f t="shared" si="14"/>
        <v>101</v>
      </c>
      <c r="X32" s="1355"/>
      <c r="Y32" s="3764" t="s">
        <v>1695</v>
      </c>
      <c r="Z32" s="1356" t="str">
        <f t="shared" si="18"/>
        <v>建筑类型</v>
      </c>
      <c r="AA32" s="1353">
        <f t="shared" si="15"/>
        <v>1</v>
      </c>
      <c r="AB32" s="1353">
        <f t="shared" si="16"/>
        <v>0.99009900990099009</v>
      </c>
      <c r="AC32" s="1353">
        <f t="shared" si="17"/>
        <v>0.99009900990099009</v>
      </c>
    </row>
    <row r="33" spans="1:29" s="422" customFormat="1" ht="15">
      <c r="A33" s="419"/>
      <c r="B33" s="375" t="s">
        <v>1696</v>
      </c>
      <c r="C33" s="420">
        <f>'数据-汇总表'!F19</f>
        <v>89.89</v>
      </c>
      <c r="D33" s="127">
        <v>100</v>
      </c>
      <c r="E33" s="381">
        <f>Sheet1!J3</f>
        <v>62.24</v>
      </c>
      <c r="F33" s="376">
        <f>LOOKUP(E33,103:103,104:104)-LOOKUP(C33,103:103,104:104)+100</f>
        <v>102</v>
      </c>
      <c r="G33" s="380">
        <f>Sheet1!J7</f>
        <v>94.68</v>
      </c>
      <c r="H33" s="127">
        <f>LOOKUP(G33,103:103,104:104)-LOOKUP(C33,103:103,104:104)+100</f>
        <v>98</v>
      </c>
      <c r="I33" s="381">
        <f>Sheet1!J8</f>
        <v>94.68</v>
      </c>
      <c r="J33" s="386">
        <f>LOOKUP(I33,103:103,104:104)-LOOKUP(C33,103:103,104:104)+100</f>
        <v>98</v>
      </c>
      <c r="K33" s="1894"/>
      <c r="L33" s="2721"/>
      <c r="M33" s="2723"/>
      <c r="N33" s="2723"/>
      <c r="O33" s="2723"/>
      <c r="P33" s="3762"/>
      <c r="Q33" s="707" t="str">
        <f t="shared" si="11"/>
        <v>项目建筑规模</v>
      </c>
      <c r="R33" s="708" t="s">
        <v>18</v>
      </c>
      <c r="S33" s="709">
        <f t="shared" si="12"/>
        <v>102</v>
      </c>
      <c r="T33" s="708" t="s">
        <v>18</v>
      </c>
      <c r="U33" s="709">
        <f t="shared" si="13"/>
        <v>98</v>
      </c>
      <c r="V33" s="708" t="s">
        <v>18</v>
      </c>
      <c r="W33" s="709">
        <f t="shared" si="14"/>
        <v>98</v>
      </c>
      <c r="X33" s="710"/>
      <c r="Y33" s="3764"/>
      <c r="Z33" s="711" t="str">
        <f t="shared" si="18"/>
        <v>项目建筑规模</v>
      </c>
      <c r="AA33" s="1353">
        <f t="shared" si="15"/>
        <v>0.98039215686274506</v>
      </c>
      <c r="AB33" s="1353">
        <f t="shared" si="16"/>
        <v>1.0204081632653061</v>
      </c>
      <c r="AC33" s="1353">
        <f t="shared" si="17"/>
        <v>1.0204081632653061</v>
      </c>
    </row>
    <row r="34" spans="1:29" ht="15">
      <c r="A34" s="423"/>
      <c r="B34" s="375" t="s">
        <v>1697</v>
      </c>
      <c r="C34" s="1912" t="s">
        <v>3465</v>
      </c>
      <c r="D34" s="386">
        <v>100</v>
      </c>
      <c r="E34" s="1913" t="s">
        <v>3465</v>
      </c>
      <c r="F34" s="412">
        <f>SUMIF(105:105,E34,106:106)-SUMIF(105:105,C34,106:106)+100</f>
        <v>100</v>
      </c>
      <c r="G34" s="1912" t="s">
        <v>3533</v>
      </c>
      <c r="H34" s="386">
        <f>SUMIF(105:105,G34,106:106)-SUMIF(105:105,C34,106:106)+100</f>
        <v>96</v>
      </c>
      <c r="I34" s="1913" t="s">
        <v>3533</v>
      </c>
      <c r="J34" s="386">
        <f>SUMIF(105:105,I34,106:106)-SUMIF(105:105,C34,106:106)+100</f>
        <v>96</v>
      </c>
      <c r="K34" s="377">
        <v>4</v>
      </c>
      <c r="L34" s="2722"/>
      <c r="M34" s="2716"/>
      <c r="N34" s="2716"/>
      <c r="O34" s="2716"/>
      <c r="P34" s="3762"/>
      <c r="Q34" s="1352" t="str">
        <f t="shared" si="11"/>
        <v>建筑结构</v>
      </c>
      <c r="R34" s="705" t="s">
        <v>18</v>
      </c>
      <c r="S34" s="706">
        <f t="shared" si="12"/>
        <v>100</v>
      </c>
      <c r="T34" s="705" t="s">
        <v>18</v>
      </c>
      <c r="U34" s="706">
        <f t="shared" si="13"/>
        <v>96</v>
      </c>
      <c r="V34" s="705" t="s">
        <v>18</v>
      </c>
      <c r="W34" s="706">
        <f t="shared" si="14"/>
        <v>96</v>
      </c>
      <c r="X34" s="1355"/>
      <c r="Y34" s="3764"/>
      <c r="Z34" s="1356" t="str">
        <f t="shared" si="18"/>
        <v>建筑结构</v>
      </c>
      <c r="AA34" s="1353">
        <f t="shared" si="15"/>
        <v>1</v>
      </c>
      <c r="AB34" s="1353">
        <f t="shared" si="16"/>
        <v>1.0416666666666667</v>
      </c>
      <c r="AC34" s="1353">
        <f t="shared" si="17"/>
        <v>1.0416666666666667</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2"/>
      <c r="Q35" s="1352" t="str">
        <f t="shared" si="11"/>
        <v>建筑品质</v>
      </c>
      <c r="R35" s="705" t="s">
        <v>18</v>
      </c>
      <c r="S35" s="706">
        <f t="shared" si="12"/>
        <v>100</v>
      </c>
      <c r="T35" s="705" t="s">
        <v>18</v>
      </c>
      <c r="U35" s="706">
        <f t="shared" si="13"/>
        <v>100</v>
      </c>
      <c r="V35" s="705" t="s">
        <v>18</v>
      </c>
      <c r="W35" s="706">
        <f t="shared" si="14"/>
        <v>100</v>
      </c>
      <c r="X35" s="1355"/>
      <c r="Y35" s="3764"/>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62"/>
      <c r="Q36" s="1352" t="str">
        <f t="shared" si="11"/>
        <v>公共部分装修</v>
      </c>
      <c r="R36" s="705" t="s">
        <v>18</v>
      </c>
      <c r="S36" s="706">
        <f t="shared" si="12"/>
        <v>100</v>
      </c>
      <c r="T36" s="705" t="s">
        <v>18</v>
      </c>
      <c r="U36" s="706">
        <f t="shared" si="13"/>
        <v>100</v>
      </c>
      <c r="V36" s="705" t="s">
        <v>18</v>
      </c>
      <c r="W36" s="706">
        <f t="shared" si="14"/>
        <v>100</v>
      </c>
      <c r="X36" s="1355"/>
      <c r="Y36" s="3764"/>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62"/>
      <c r="Q37" s="1343" t="str">
        <f t="shared" si="11"/>
        <v>成新度</v>
      </c>
      <c r="R37" s="701" t="s">
        <v>18</v>
      </c>
      <c r="S37" s="702">
        <f t="shared" si="12"/>
        <v>100</v>
      </c>
      <c r="T37" s="701" t="s">
        <v>18</v>
      </c>
      <c r="U37" s="702">
        <f t="shared" si="13"/>
        <v>100</v>
      </c>
      <c r="V37" s="701" t="s">
        <v>18</v>
      </c>
      <c r="W37" s="702">
        <f t="shared" si="14"/>
        <v>100</v>
      </c>
      <c r="X37" s="703"/>
      <c r="Y37" s="3764"/>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62" t="s">
        <v>1695</v>
      </c>
      <c r="Q38" s="1352" t="str">
        <f t="shared" si="11"/>
        <v>物业管理</v>
      </c>
      <c r="R38" s="705" t="s">
        <v>18</v>
      </c>
      <c r="S38" s="706">
        <f t="shared" si="12"/>
        <v>100</v>
      </c>
      <c r="T38" s="705" t="s">
        <v>18</v>
      </c>
      <c r="U38" s="706">
        <f t="shared" si="13"/>
        <v>100</v>
      </c>
      <c r="V38" s="705" t="s">
        <v>18</v>
      </c>
      <c r="W38" s="706">
        <f t="shared" si="14"/>
        <v>100</v>
      </c>
      <c r="X38" s="1355"/>
      <c r="Y38" s="3764"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62"/>
      <c r="Q39" s="1352" t="str">
        <f t="shared" si="11"/>
        <v>市政基础设施</v>
      </c>
      <c r="R39" s="705" t="s">
        <v>18</v>
      </c>
      <c r="S39" s="706">
        <f t="shared" si="12"/>
        <v>100</v>
      </c>
      <c r="T39" s="705" t="s">
        <v>18</v>
      </c>
      <c r="U39" s="706">
        <f t="shared" si="13"/>
        <v>100</v>
      </c>
      <c r="V39" s="705" t="s">
        <v>18</v>
      </c>
      <c r="W39" s="706">
        <f t="shared" si="14"/>
        <v>100</v>
      </c>
      <c r="X39" s="1355"/>
      <c r="Y39" s="3764"/>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62"/>
      <c r="Q40" s="1352" t="str">
        <f t="shared" si="11"/>
        <v>房型</v>
      </c>
      <c r="R40" s="705" t="s">
        <v>18</v>
      </c>
      <c r="S40" s="706">
        <f t="shared" si="12"/>
        <v>100</v>
      </c>
      <c r="T40" s="705" t="s">
        <v>18</v>
      </c>
      <c r="U40" s="706">
        <f t="shared" si="13"/>
        <v>100</v>
      </c>
      <c r="V40" s="705" t="s">
        <v>18</v>
      </c>
      <c r="W40" s="706">
        <f t="shared" si="14"/>
        <v>100</v>
      </c>
      <c r="X40" s="1355"/>
      <c r="Y40" s="3764"/>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2"/>
      <c r="Q41" s="707" t="str">
        <f t="shared" si="11"/>
        <v>单套/主力户型建筑面积</v>
      </c>
      <c r="R41" s="708" t="s">
        <v>18</v>
      </c>
      <c r="S41" s="709">
        <f t="shared" si="12"/>
        <v>100</v>
      </c>
      <c r="T41" s="708" t="s">
        <v>18</v>
      </c>
      <c r="U41" s="709">
        <f t="shared" si="13"/>
        <v>100</v>
      </c>
      <c r="V41" s="708" t="s">
        <v>18</v>
      </c>
      <c r="W41" s="709">
        <f t="shared" si="14"/>
        <v>100</v>
      </c>
      <c r="X41" s="710"/>
      <c r="Y41" s="3764"/>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101</v>
      </c>
      <c r="G42" s="1906" t="s">
        <v>3401</v>
      </c>
      <c r="H42" s="386">
        <f>SUMIF(122:122,G42,123:123)-SUMIF(122:122,C42,123:123)+100</f>
        <v>101</v>
      </c>
      <c r="I42" s="1907" t="s">
        <v>3401</v>
      </c>
      <c r="J42" s="386">
        <f>SUMIF(122:122,I42,123:123)-SUMIF(122:122,C42,123:123)+100</f>
        <v>101</v>
      </c>
      <c r="K42" s="377">
        <v>0.5</v>
      </c>
      <c r="L42" s="2722"/>
      <c r="M42" s="2716"/>
      <c r="N42" s="2716"/>
      <c r="O42" s="2716"/>
      <c r="P42" s="3762"/>
      <c r="Q42" s="1352" t="str">
        <f t="shared" si="11"/>
        <v>内部装修</v>
      </c>
      <c r="R42" s="705" t="s">
        <v>18</v>
      </c>
      <c r="S42" s="706">
        <f t="shared" si="12"/>
        <v>101</v>
      </c>
      <c r="T42" s="705" t="s">
        <v>18</v>
      </c>
      <c r="U42" s="706">
        <f t="shared" si="13"/>
        <v>101</v>
      </c>
      <c r="V42" s="705" t="s">
        <v>18</v>
      </c>
      <c r="W42" s="706">
        <f t="shared" si="14"/>
        <v>101</v>
      </c>
      <c r="X42" s="1355"/>
      <c r="Y42" s="3764"/>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62"/>
      <c r="Q43" s="1352" t="str">
        <f t="shared" si="11"/>
        <v>内部装修维护情况</v>
      </c>
      <c r="R43" s="705" t="s">
        <v>18</v>
      </c>
      <c r="S43" s="706">
        <f t="shared" si="12"/>
        <v>100</v>
      </c>
      <c r="T43" s="705" t="s">
        <v>18</v>
      </c>
      <c r="U43" s="706">
        <f t="shared" si="13"/>
        <v>100</v>
      </c>
      <c r="V43" s="705" t="s">
        <v>18</v>
      </c>
      <c r="W43" s="706">
        <f t="shared" si="14"/>
        <v>100</v>
      </c>
      <c r="X43" s="1355"/>
      <c r="Y43" s="3764"/>
      <c r="Z43" s="1356" t="str">
        <f t="shared" si="18"/>
        <v>内部装修维护情况</v>
      </c>
      <c r="AA43" s="1353">
        <f t="shared" si="15"/>
        <v>1</v>
      </c>
      <c r="AB43" s="1353">
        <f t="shared" si="16"/>
        <v>1</v>
      </c>
      <c r="AC43" s="1353">
        <f t="shared" si="17"/>
        <v>1</v>
      </c>
    </row>
    <row r="44" spans="1:29" s="108" customFormat="1" ht="15">
      <c r="A44" s="424"/>
      <c r="B44" s="3450" t="s">
        <v>3534</v>
      </c>
      <c r="C44" s="3459" t="s">
        <v>3535</v>
      </c>
      <c r="D44" s="127">
        <v>100</v>
      </c>
      <c r="E44" s="3459" t="s">
        <v>3541</v>
      </c>
      <c r="F44" s="376">
        <f>SUMIF(126:126,E44,127:127)-SUMIF(126:126,C44,127:127)+100</f>
        <v>100</v>
      </c>
      <c r="G44" s="3459" t="s">
        <v>3545</v>
      </c>
      <c r="H44" s="127">
        <f>SUMIF(126:126,G44,127:127)-SUMIF(126:126,C44,127:127)+100</f>
        <v>98</v>
      </c>
      <c r="I44" s="3459" t="s">
        <v>3541</v>
      </c>
      <c r="J44" s="127">
        <f>SUMIF(126:126,I44,127:127)-SUMIF(126:126,C44,127:127)+100</f>
        <v>100</v>
      </c>
      <c r="K44" s="1894"/>
      <c r="L44" s="2717"/>
      <c r="M44" s="2718"/>
      <c r="N44" s="2718"/>
      <c r="O44" s="2718"/>
      <c r="P44" s="3762"/>
      <c r="Q44" s="1343" t="str">
        <f t="shared" si="11"/>
        <v>电梯</v>
      </c>
      <c r="R44" s="701" t="s">
        <v>18</v>
      </c>
      <c r="S44" s="702">
        <f t="shared" si="12"/>
        <v>100</v>
      </c>
      <c r="T44" s="701" t="s">
        <v>18</v>
      </c>
      <c r="U44" s="702">
        <f t="shared" si="13"/>
        <v>98</v>
      </c>
      <c r="V44" s="701" t="s">
        <v>18</v>
      </c>
      <c r="W44" s="702">
        <f t="shared" si="14"/>
        <v>100</v>
      </c>
      <c r="X44" s="703"/>
      <c r="Y44" s="3764"/>
      <c r="Z44" s="52" t="str">
        <f t="shared" si="18"/>
        <v>电梯</v>
      </c>
      <c r="AA44" s="704">
        <f t="shared" si="15"/>
        <v>1</v>
      </c>
      <c r="AB44" s="704">
        <f t="shared" si="16"/>
        <v>1.0204081632653061</v>
      </c>
      <c r="AC44" s="704">
        <f t="shared" si="17"/>
        <v>1</v>
      </c>
    </row>
    <row r="45" spans="1:29" ht="15">
      <c r="A45" s="423"/>
      <c r="B45" s="3450" t="s">
        <v>3543</v>
      </c>
      <c r="C45" s="385">
        <v>2010</v>
      </c>
      <c r="D45" s="386">
        <v>100</v>
      </c>
      <c r="E45" s="385">
        <v>2010</v>
      </c>
      <c r="F45" s="412">
        <f>SUMIF(128:128,E45,129:129)-SUMIF(128:128,C45,129:129)+100</f>
        <v>100</v>
      </c>
      <c r="G45" s="385">
        <v>2006</v>
      </c>
      <c r="H45" s="386">
        <f>SUMIF(128:128,G45,129:129)-SUMIF(128:128,C45,129:129)+100</f>
        <v>98</v>
      </c>
      <c r="I45" s="385">
        <f>G45</f>
        <v>2006</v>
      </c>
      <c r="J45" s="386">
        <f>SUMIF(128:128,I45,129:129)-SUMIF(128:128,C45,129:129)+100</f>
        <v>98</v>
      </c>
      <c r="K45" s="1894"/>
      <c r="L45" s="2722"/>
      <c r="M45" s="2716"/>
      <c r="N45" s="2716"/>
      <c r="O45" s="2716"/>
      <c r="P45" s="3762"/>
      <c r="Q45" s="1352" t="str">
        <f t="shared" si="11"/>
        <v>建成年代</v>
      </c>
      <c r="R45" s="705" t="s">
        <v>18</v>
      </c>
      <c r="S45" s="706">
        <f t="shared" si="12"/>
        <v>100</v>
      </c>
      <c r="T45" s="705" t="s">
        <v>18</v>
      </c>
      <c r="U45" s="706">
        <f t="shared" si="13"/>
        <v>98</v>
      </c>
      <c r="V45" s="705" t="s">
        <v>18</v>
      </c>
      <c r="W45" s="706">
        <f t="shared" si="14"/>
        <v>98</v>
      </c>
      <c r="X45" s="1355"/>
      <c r="Y45" s="3764"/>
      <c r="Z45" s="1356" t="str">
        <f t="shared" si="18"/>
        <v>建成年代</v>
      </c>
      <c r="AA45" s="1353">
        <f t="shared" si="15"/>
        <v>1</v>
      </c>
      <c r="AB45" s="1353">
        <f t="shared" si="16"/>
        <v>1.0204081632653061</v>
      </c>
      <c r="AC45" s="1353">
        <f t="shared" si="17"/>
        <v>1.0204081632653061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3"/>
      <c r="Q46" s="1352">
        <f t="shared" si="11"/>
        <v>111</v>
      </c>
      <c r="R46" s="705" t="s">
        <v>17</v>
      </c>
      <c r="S46" s="706">
        <f t="shared" si="12"/>
        <v>100</v>
      </c>
      <c r="T46" s="705" t="s">
        <v>17</v>
      </c>
      <c r="U46" s="706">
        <f t="shared" si="13"/>
        <v>100</v>
      </c>
      <c r="V46" s="705" t="s">
        <v>17</v>
      </c>
      <c r="W46" s="706">
        <f t="shared" si="14"/>
        <v>100</v>
      </c>
      <c r="X46" s="1355"/>
      <c r="Y46" s="3765"/>
      <c r="Z46" s="1356">
        <f t="shared" si="18"/>
        <v>111</v>
      </c>
      <c r="AA46" s="1353">
        <f t="shared" si="15"/>
        <v>1</v>
      </c>
      <c r="AB46" s="1353">
        <f t="shared" si="16"/>
        <v>1</v>
      </c>
      <c r="AC46" s="1353">
        <f t="shared" si="17"/>
        <v>1</v>
      </c>
    </row>
    <row r="47" spans="1:29" ht="14.4">
      <c r="A47" s="430" t="s">
        <v>1707</v>
      </c>
      <c r="B47" s="431"/>
      <c r="C47" s="1154" t="s">
        <v>16</v>
      </c>
      <c r="D47" s="1155"/>
      <c r="E47" s="1156">
        <f>Sheet1!R3</f>
        <v>63062</v>
      </c>
      <c r="F47" s="1157"/>
      <c r="G47" s="1158">
        <f>Sheet1!R7</f>
        <v>54605</v>
      </c>
      <c r="H47" s="1159"/>
      <c r="I47" s="3458">
        <f>Sheet1!R8</f>
        <v>54711</v>
      </c>
      <c r="J47" s="1159"/>
      <c r="K47" s="1914"/>
      <c r="L47" s="2724"/>
      <c r="M47" s="2725"/>
      <c r="N47" s="2716"/>
      <c r="O47" s="2725"/>
      <c r="P47" s="3757" t="str">
        <f>A47</f>
        <v>成交单价（元/平方米）</v>
      </c>
      <c r="Q47" s="3757"/>
      <c r="R47" s="3758">
        <f>E47</f>
        <v>63062</v>
      </c>
      <c r="S47" s="3758"/>
      <c r="T47" s="3758">
        <f>G47</f>
        <v>54605</v>
      </c>
      <c r="U47" s="3758"/>
      <c r="V47" s="3758">
        <f>I47</f>
        <v>54711</v>
      </c>
      <c r="W47" s="3758"/>
      <c r="X47" s="690"/>
      <c r="Y47" s="712"/>
      <c r="Z47" s="690"/>
      <c r="AA47" s="690"/>
      <c r="AB47" s="690"/>
      <c r="AC47" s="690"/>
    </row>
    <row r="48" spans="1:29" ht="15" thickBot="1">
      <c r="A48" s="437" t="s">
        <v>1708</v>
      </c>
      <c r="B48" s="438"/>
      <c r="C48" s="1160">
        <f>R49</f>
        <v>59195</v>
      </c>
      <c r="D48" s="2317" t="s">
        <v>2137</v>
      </c>
      <c r="E48" s="1161">
        <f>R48</f>
        <v>62482</v>
      </c>
      <c r="F48" s="2318"/>
      <c r="G48" s="1160">
        <f>T48</f>
        <v>57507</v>
      </c>
      <c r="H48" s="2318"/>
      <c r="I48" s="1161">
        <f>V48</f>
        <v>57595</v>
      </c>
      <c r="J48" s="2318"/>
      <c r="K48" s="2319">
        <f>F48+H48+J48</f>
        <v>0</v>
      </c>
      <c r="L48" s="2724"/>
      <c r="M48" s="2725"/>
      <c r="N48" s="2725"/>
      <c r="O48" s="2725"/>
      <c r="P48" s="3757" t="str">
        <f>A48</f>
        <v>比较价值（元/平方米）</v>
      </c>
      <c r="Q48" s="3757"/>
      <c r="R48" s="3758">
        <f>IF(F1="售价",ROUND(PRODUCT(R47,AA7:AA46),0),ROUND(PRODUCT(R47,AA7:AA46),1))</f>
        <v>62482</v>
      </c>
      <c r="S48" s="3758"/>
      <c r="T48" s="3758">
        <f>IF(F1="售价",ROUND(PRODUCT(T47,AB7:AB46),0),ROUND(PRODUCT(T47,AB7:AB46),1))</f>
        <v>57507</v>
      </c>
      <c r="U48" s="3758"/>
      <c r="V48" s="3758">
        <f>IF(F1="售价",ROUND(PRODUCT(V47,AC7:AC46),0),ROUND(PRODUCT(V47,AC7:AC46),1))</f>
        <v>57595</v>
      </c>
      <c r="W48" s="3758"/>
      <c r="X48" s="690"/>
      <c r="Y48" s="690"/>
      <c r="Z48" s="690"/>
      <c r="AA48" s="690"/>
      <c r="AB48" s="690"/>
      <c r="AC48" s="690"/>
    </row>
    <row r="49" spans="1:29" ht="15" thickBot="1">
      <c r="A49" s="441" t="s">
        <v>1709</v>
      </c>
      <c r="B49" s="442"/>
      <c r="C49" s="1162">
        <f>R49</f>
        <v>59195</v>
      </c>
      <c r="D49" s="1163"/>
      <c r="E49" s="1163"/>
      <c r="F49" s="1163"/>
      <c r="G49" s="1163"/>
      <c r="H49" s="1163"/>
      <c r="I49" s="1163"/>
      <c r="J49" s="1163"/>
      <c r="K49" s="1915"/>
      <c r="L49" s="2724"/>
      <c r="M49" s="2725"/>
      <c r="N49" s="2725"/>
      <c r="O49" s="2725"/>
      <c r="P49" s="3754" t="str">
        <f>A49</f>
        <v>估价对象XX用房的比较价值（楼面单价，元/平方米）</v>
      </c>
      <c r="Q49" s="3755"/>
      <c r="R49" s="3756">
        <f>IF(F1="售价",ROUND(IF(D48="简单平均",AVERAGE(R48:V48),R48*F48+T48*H48+V48*J48),0),ROUND(IF(D48="简单平均",AVERAGE(R48:V48),R48*F48+T48*H48+V48*J48),1))</f>
        <v>59195</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9.2826734099420438E-3</v>
      </c>
      <c r="F52" s="449" t="str">
        <f>IF(OR(E52&gt;=0.3,E52&lt;=-0.3),"超过30%","")</f>
        <v/>
      </c>
      <c r="G52" s="448">
        <f>IF(G47&lt;G48,G48/G47-1,G47/G48-1)</f>
        <v>5.3145316362970485E-2</v>
      </c>
      <c r="H52" s="449" t="str">
        <f>IF(OR(G52&gt;=0.3,G52&lt;=-0.3),"超过30%","")</f>
        <v/>
      </c>
      <c r="I52" s="448">
        <f>IF(I47&lt;I48,I48/I47-1,I47/I48-1)</f>
        <v>5.2713348321178577E-2</v>
      </c>
      <c r="J52" s="449" t="str">
        <f>IF(OR(I52&gt;=0.3,I52&lt;=-0.3),"超过30%","")</f>
        <v/>
      </c>
      <c r="K52" s="2730"/>
      <c r="L52" s="2726"/>
      <c r="M52" s="2725"/>
      <c r="N52" s="2725"/>
      <c r="O52" s="2725"/>
    </row>
    <row r="53" spans="1:29" ht="13.5" customHeight="1">
      <c r="A53" s="2725"/>
      <c r="B53" s="2725"/>
      <c r="C53" s="446" t="s">
        <v>1711</v>
      </c>
      <c r="D53" s="450"/>
      <c r="E53" s="448">
        <f>IF(E48&lt;G48,G48/E48-1,E48/G48-1)</f>
        <v>8.6511207331281481E-2</v>
      </c>
      <c r="F53" s="449" t="str">
        <f>IF(OR(E53&gt;=0.2,E53&lt;=-0.2),"超过20%","")</f>
        <v/>
      </c>
      <c r="G53" s="448">
        <f>IF(G48&lt;I48,I48/G48-1,G48/I48-1)</f>
        <v>1.5302484914880843E-3</v>
      </c>
      <c r="H53" s="449" t="str">
        <f>IF(OR(G53&gt;=0.2,G53&lt;=-0.2),"超过20%","")</f>
        <v/>
      </c>
      <c r="I53" s="448">
        <f>IF(I48&lt;E48,E48/I48-1,I48/E48-1)</f>
        <v>8.4851115548224776E-2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0.15487592711290166</v>
      </c>
      <c r="F54" s="449" t="str">
        <f>IF(OR(E54&gt;=0.3,E54&lt;=-0.3),"超过30%","")</f>
        <v/>
      </c>
      <c r="G54" s="448">
        <f>IF(G47&lt;I47,I47/G47-1,G47/I47-1)</f>
        <v>1.9412141745260847E-3</v>
      </c>
      <c r="H54" s="449" t="str">
        <f>IF(OR(G54&gt;=0.3,G54&lt;=-0.3),"超过30%","")</f>
        <v/>
      </c>
      <c r="I54" s="448">
        <f>IF(I47&lt;E47,E47/I47-1,I47/E47-1)</f>
        <v>0.15263840909506321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3464</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15/22（中层）</v>
      </c>
      <c r="D90" s="3456" t="str">
        <f>E27</f>
        <v>3/22（低层）</v>
      </c>
      <c r="E90" s="3456" t="str">
        <f>G27</f>
        <v>3/6</v>
      </c>
      <c r="F90" s="3456" t="str">
        <f>I27</f>
        <v>5/6</v>
      </c>
      <c r="G90" s="503"/>
      <c r="H90" s="504"/>
      <c r="I90" s="504"/>
      <c r="J90" s="504"/>
      <c r="K90" s="504"/>
      <c r="L90" s="505"/>
      <c r="M90" s="506"/>
      <c r="N90" s="935"/>
      <c r="O90" s="935"/>
      <c r="P90" s="1923"/>
      <c r="Q90" s="508"/>
    </row>
    <row r="91" spans="1:17" s="422" customFormat="1" ht="14.4" thickBot="1">
      <c r="A91" s="502"/>
      <c r="B91" s="492"/>
      <c r="C91" s="509">
        <v>100</v>
      </c>
      <c r="D91" s="509">
        <v>97</v>
      </c>
      <c r="E91" s="509">
        <v>102</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0(含)-65</v>
      </c>
      <c r="D102" s="527" t="str">
        <f t="shared" ref="D102:L102" si="26">D103&amp;"(含)"&amp;"-"&amp;E103</f>
        <v>65(含)-90</v>
      </c>
      <c r="E102" s="527" t="str">
        <f t="shared" si="26"/>
        <v>90(含)-115</v>
      </c>
      <c r="F102" s="527" t="str">
        <f t="shared" si="26"/>
        <v>115(含)-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65</v>
      </c>
      <c r="E103" s="544">
        <v>90</v>
      </c>
      <c r="F103" s="544">
        <v>115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3536</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workbookViewId="0">
      <selection activeCell="C7" sqref="C7"/>
    </sheetView>
  </sheetViews>
  <sheetFormatPr defaultRowHeight="14.4"/>
  <cols>
    <col min="21" max="21" width="12.21875" customWidth="1"/>
  </cols>
  <sheetData>
    <row r="1" spans="1:21">
      <c r="A1" s="3482" t="s">
        <v>3469</v>
      </c>
      <c r="B1" s="3482" t="s">
        <v>3470</v>
      </c>
      <c r="C1" s="3482" t="s">
        <v>3424</v>
      </c>
      <c r="D1" s="3482" t="s">
        <v>3425</v>
      </c>
      <c r="E1" s="3482" t="s">
        <v>3426</v>
      </c>
      <c r="F1" s="3482" t="s">
        <v>3427</v>
      </c>
      <c r="G1" s="3482" t="s">
        <v>3428</v>
      </c>
      <c r="H1" s="3482" t="s">
        <v>3429</v>
      </c>
      <c r="I1" s="3482" t="s">
        <v>3430</v>
      </c>
      <c r="J1" s="3482" t="s">
        <v>3431</v>
      </c>
      <c r="K1" s="3482" t="s">
        <v>3432</v>
      </c>
      <c r="L1" s="3482" t="s">
        <v>3433</v>
      </c>
      <c r="M1" s="3482" t="s">
        <v>3434</v>
      </c>
      <c r="N1" s="3482" t="s">
        <v>3435</v>
      </c>
      <c r="O1" s="3482" t="s">
        <v>3436</v>
      </c>
      <c r="P1" s="3482" t="s">
        <v>3437</v>
      </c>
      <c r="Q1" s="3482" t="s">
        <v>3438</v>
      </c>
      <c r="R1" s="3482" t="s">
        <v>3439</v>
      </c>
      <c r="S1" s="3482" t="s">
        <v>3440</v>
      </c>
      <c r="T1" s="3482" t="s">
        <v>3441</v>
      </c>
      <c r="U1" s="3482" t="s">
        <v>3442</v>
      </c>
    </row>
    <row r="2" spans="1:21" ht="34.799999999999997" thickBot="1">
      <c r="A2" s="3472">
        <v>8</v>
      </c>
      <c r="B2" s="3480" t="s">
        <v>3471</v>
      </c>
      <c r="C2" s="3472" t="s">
        <v>3475</v>
      </c>
      <c r="D2" s="3472" t="s">
        <v>3476</v>
      </c>
      <c r="E2" s="3472" t="s">
        <v>3460</v>
      </c>
      <c r="F2" s="3472" t="s">
        <v>3477</v>
      </c>
      <c r="G2" s="3472" t="s">
        <v>3472</v>
      </c>
      <c r="H2" s="3472" t="s">
        <v>3462</v>
      </c>
      <c r="I2" s="3472" t="s">
        <v>3443</v>
      </c>
      <c r="J2" s="3472">
        <v>83.83</v>
      </c>
      <c r="K2" s="3472" t="s">
        <v>3387</v>
      </c>
      <c r="L2" s="3472" t="s">
        <v>3473</v>
      </c>
      <c r="M2" s="3472">
        <v>20</v>
      </c>
      <c r="N2" s="3472">
        <v>2010</v>
      </c>
      <c r="O2" s="3472" t="s">
        <v>633</v>
      </c>
      <c r="P2" s="3472" t="s">
        <v>633</v>
      </c>
      <c r="Q2" s="3472" t="s">
        <v>633</v>
      </c>
      <c r="R2" s="3472">
        <v>56066</v>
      </c>
      <c r="S2" s="3472">
        <v>51330</v>
      </c>
      <c r="T2" s="3472">
        <v>4302994</v>
      </c>
      <c r="U2" s="3473">
        <v>45065</v>
      </c>
    </row>
    <row r="3" spans="1:21" ht="34.799999999999997" thickBot="1">
      <c r="A3" s="3486">
        <v>9</v>
      </c>
      <c r="B3" s="3487" t="s">
        <v>3471</v>
      </c>
      <c r="C3" s="3486" t="s">
        <v>3542</v>
      </c>
      <c r="D3" s="3486" t="s">
        <v>3478</v>
      </c>
      <c r="E3" s="3486" t="s">
        <v>3460</v>
      </c>
      <c r="F3" s="3486" t="s">
        <v>3479</v>
      </c>
      <c r="G3" s="3486" t="s">
        <v>3472</v>
      </c>
      <c r="H3" s="3486" t="s">
        <v>3462</v>
      </c>
      <c r="I3" s="3486" t="s">
        <v>3443</v>
      </c>
      <c r="J3" s="3486">
        <v>62.24</v>
      </c>
      <c r="K3" s="3486" t="s">
        <v>3387</v>
      </c>
      <c r="L3" s="3486" t="s">
        <v>3473</v>
      </c>
      <c r="M3" s="3486">
        <v>3</v>
      </c>
      <c r="N3" s="3486" t="s">
        <v>633</v>
      </c>
      <c r="O3" s="3486">
        <v>2010</v>
      </c>
      <c r="P3" s="3486" t="s">
        <v>633</v>
      </c>
      <c r="Q3" s="3486" t="s">
        <v>633</v>
      </c>
      <c r="R3" s="3486">
        <v>63062</v>
      </c>
      <c r="S3" s="3486">
        <v>60216</v>
      </c>
      <c r="T3" s="3486">
        <v>3747844</v>
      </c>
      <c r="U3" s="3488">
        <v>44821</v>
      </c>
    </row>
    <row r="4" spans="1:21" ht="34.799999999999997" thickBot="1">
      <c r="A4" s="3472">
        <v>10</v>
      </c>
      <c r="B4" s="3480" t="s">
        <v>3471</v>
      </c>
      <c r="C4" s="3472" t="s">
        <v>3480</v>
      </c>
      <c r="D4" s="3472" t="s">
        <v>3474</v>
      </c>
      <c r="E4" s="3472" t="s">
        <v>3460</v>
      </c>
      <c r="F4" s="3472" t="s">
        <v>3481</v>
      </c>
      <c r="G4" s="3472" t="s">
        <v>3472</v>
      </c>
      <c r="H4" s="3472" t="s">
        <v>3482</v>
      </c>
      <c r="I4" s="3472" t="s">
        <v>3443</v>
      </c>
      <c r="J4" s="3472">
        <v>62.24</v>
      </c>
      <c r="K4" s="3472" t="s">
        <v>3387</v>
      </c>
      <c r="L4" s="3472" t="s">
        <v>3473</v>
      </c>
      <c r="M4" s="3472">
        <v>4</v>
      </c>
      <c r="N4" s="3472" t="s">
        <v>633</v>
      </c>
      <c r="O4" s="3472">
        <v>2010</v>
      </c>
      <c r="P4" s="3472" t="s">
        <v>633</v>
      </c>
      <c r="Q4" s="3472" t="s">
        <v>633</v>
      </c>
      <c r="R4" s="3472">
        <v>0</v>
      </c>
      <c r="S4" s="3472">
        <v>60023</v>
      </c>
      <c r="T4" s="3472">
        <v>3735832</v>
      </c>
      <c r="U4" s="3473">
        <v>44779</v>
      </c>
    </row>
    <row r="5" spans="1:21" ht="34.799999999999997" thickBot="1">
      <c r="A5" s="3470">
        <v>11</v>
      </c>
      <c r="B5" s="3479" t="s">
        <v>3471</v>
      </c>
      <c r="C5" s="3470" t="s">
        <v>3483</v>
      </c>
      <c r="D5" s="3470" t="s">
        <v>3484</v>
      </c>
      <c r="E5" s="3470" t="s">
        <v>3460</v>
      </c>
      <c r="F5" s="3470" t="s">
        <v>3485</v>
      </c>
      <c r="G5" s="3470" t="s">
        <v>3472</v>
      </c>
      <c r="H5" s="3470" t="s">
        <v>3462</v>
      </c>
      <c r="I5" s="3470" t="s">
        <v>3443</v>
      </c>
      <c r="J5" s="3470">
        <v>58.77</v>
      </c>
      <c r="K5" s="3470" t="s">
        <v>3387</v>
      </c>
      <c r="L5" s="3470" t="s">
        <v>3473</v>
      </c>
      <c r="M5" s="3470">
        <v>19</v>
      </c>
      <c r="N5" s="3470" t="s">
        <v>633</v>
      </c>
      <c r="O5" s="3470">
        <v>2010</v>
      </c>
      <c r="P5" s="3470" t="s">
        <v>633</v>
      </c>
      <c r="Q5" s="3470" t="s">
        <v>633</v>
      </c>
      <c r="R5" s="3470">
        <v>57853</v>
      </c>
      <c r="S5" s="3470">
        <v>55271</v>
      </c>
      <c r="T5" s="3470">
        <v>3248277</v>
      </c>
      <c r="U5" s="3471">
        <v>44729</v>
      </c>
    </row>
    <row r="6" spans="1:21" ht="34.799999999999997" thickBot="1">
      <c r="A6" s="3476">
        <v>12</v>
      </c>
      <c r="B6" s="3481" t="s">
        <v>3471</v>
      </c>
      <c r="C6" s="3476" t="s">
        <v>3486</v>
      </c>
      <c r="D6" s="3476" t="s">
        <v>3487</v>
      </c>
      <c r="E6" s="3476" t="s">
        <v>3460</v>
      </c>
      <c r="F6" s="3476" t="s">
        <v>3488</v>
      </c>
      <c r="G6" s="3476" t="s">
        <v>3472</v>
      </c>
      <c r="H6" s="3476" t="s">
        <v>3462</v>
      </c>
      <c r="I6" s="3476" t="s">
        <v>3443</v>
      </c>
      <c r="J6" s="3476">
        <v>58.77</v>
      </c>
      <c r="K6" s="3476" t="s">
        <v>3387</v>
      </c>
      <c r="L6" s="3476" t="s">
        <v>3473</v>
      </c>
      <c r="M6" s="3476">
        <v>2</v>
      </c>
      <c r="N6" s="3476" t="s">
        <v>633</v>
      </c>
      <c r="O6" s="3476">
        <v>2010</v>
      </c>
      <c r="P6" s="3476" t="s">
        <v>633</v>
      </c>
      <c r="Q6" s="3476" t="s">
        <v>633</v>
      </c>
      <c r="R6" s="3476">
        <v>63808</v>
      </c>
      <c r="S6" s="3476">
        <v>60701</v>
      </c>
      <c r="T6" s="3476">
        <v>3567398</v>
      </c>
      <c r="U6" s="3477">
        <v>44720</v>
      </c>
    </row>
    <row r="7" spans="1:21" ht="34.799999999999997" thickBot="1">
      <c r="A7" s="3483">
        <v>63</v>
      </c>
      <c r="B7" s="3484" t="s">
        <v>3471</v>
      </c>
      <c r="C7" s="3483" t="s">
        <v>3544</v>
      </c>
      <c r="D7" s="3483" t="s">
        <v>3489</v>
      </c>
      <c r="E7" s="3483" t="s">
        <v>3460</v>
      </c>
      <c r="F7" s="3483" t="s">
        <v>3490</v>
      </c>
      <c r="G7" s="3483" t="s">
        <v>3491</v>
      </c>
      <c r="H7" s="3483" t="s">
        <v>3462</v>
      </c>
      <c r="I7" s="3483" t="s">
        <v>3443</v>
      </c>
      <c r="J7" s="3483">
        <v>94.68</v>
      </c>
      <c r="K7" s="3483" t="s">
        <v>3387</v>
      </c>
      <c r="L7" s="3483" t="s">
        <v>3492</v>
      </c>
      <c r="M7" s="3483">
        <v>3</v>
      </c>
      <c r="N7" s="3483">
        <v>2006</v>
      </c>
      <c r="O7" s="3483" t="s">
        <v>633</v>
      </c>
      <c r="P7" s="3483" t="s">
        <v>633</v>
      </c>
      <c r="Q7" s="3483" t="s">
        <v>633</v>
      </c>
      <c r="R7" s="3483">
        <v>54605</v>
      </c>
      <c r="S7" s="3483">
        <v>51605</v>
      </c>
      <c r="T7" s="3483">
        <v>4885961</v>
      </c>
      <c r="U7" s="3485">
        <v>45003</v>
      </c>
    </row>
    <row r="8" spans="1:21" ht="34.799999999999997" thickBot="1">
      <c r="A8" s="3486">
        <v>64</v>
      </c>
      <c r="B8" s="3487" t="s">
        <v>3471</v>
      </c>
      <c r="C8" s="3486" t="s">
        <v>3538</v>
      </c>
      <c r="D8" s="3486" t="s">
        <v>3493</v>
      </c>
      <c r="E8" s="3486" t="s">
        <v>3460</v>
      </c>
      <c r="F8" s="3486" t="s">
        <v>3494</v>
      </c>
      <c r="G8" s="3486" t="s">
        <v>3491</v>
      </c>
      <c r="H8" s="3486" t="s">
        <v>3462</v>
      </c>
      <c r="I8" s="3486" t="s">
        <v>3443</v>
      </c>
      <c r="J8" s="3486">
        <v>94.68</v>
      </c>
      <c r="K8" s="3486" t="s">
        <v>3387</v>
      </c>
      <c r="L8" s="3486">
        <v>6</v>
      </c>
      <c r="M8" s="3486">
        <v>5</v>
      </c>
      <c r="N8" s="3486">
        <v>2006</v>
      </c>
      <c r="O8" s="3486" t="s">
        <v>633</v>
      </c>
      <c r="P8" s="3486" t="s">
        <v>633</v>
      </c>
      <c r="Q8" s="3486" t="s">
        <v>633</v>
      </c>
      <c r="R8" s="3486">
        <v>54711</v>
      </c>
      <c r="S8" s="3486">
        <v>50942</v>
      </c>
      <c r="T8" s="3486">
        <v>4823189</v>
      </c>
      <c r="U8" s="3488">
        <v>45001</v>
      </c>
    </row>
    <row r="9" spans="1:21" ht="34.799999999999997" thickBot="1">
      <c r="A9" s="3470">
        <v>65</v>
      </c>
      <c r="B9" s="3479" t="s">
        <v>3471</v>
      </c>
      <c r="C9" s="3470" t="s">
        <v>3495</v>
      </c>
      <c r="D9" s="3470" t="s">
        <v>3496</v>
      </c>
      <c r="E9" s="3470" t="s">
        <v>3460</v>
      </c>
      <c r="F9" s="3470" t="s">
        <v>3497</v>
      </c>
      <c r="G9" s="3470" t="s">
        <v>3498</v>
      </c>
      <c r="H9" s="3470" t="s">
        <v>3462</v>
      </c>
      <c r="I9" s="3470" t="s">
        <v>3443</v>
      </c>
      <c r="J9" s="3470">
        <v>85.41</v>
      </c>
      <c r="K9" s="3470" t="s">
        <v>3387</v>
      </c>
      <c r="L9" s="3470">
        <v>6</v>
      </c>
      <c r="M9" s="3470">
        <v>2</v>
      </c>
      <c r="N9" s="3470" t="s">
        <v>633</v>
      </c>
      <c r="O9" s="3470">
        <v>2000</v>
      </c>
      <c r="P9" s="3470" t="s">
        <v>633</v>
      </c>
      <c r="Q9" s="3470" t="s">
        <v>633</v>
      </c>
      <c r="R9" s="3470">
        <v>52687</v>
      </c>
      <c r="S9" s="3470">
        <v>49129</v>
      </c>
      <c r="T9" s="3470">
        <v>4196108</v>
      </c>
      <c r="U9" s="3471">
        <v>44982</v>
      </c>
    </row>
    <row r="10" spans="1:21" ht="34.799999999999997" thickBot="1">
      <c r="A10" s="3472">
        <v>66</v>
      </c>
      <c r="B10" s="3480" t="s">
        <v>3471</v>
      </c>
      <c r="C10" s="3472" t="s">
        <v>3499</v>
      </c>
      <c r="D10" s="3472" t="s">
        <v>3500</v>
      </c>
      <c r="E10" s="3472" t="s">
        <v>3460</v>
      </c>
      <c r="F10" s="3472" t="s">
        <v>3501</v>
      </c>
      <c r="G10" s="3472" t="s">
        <v>3498</v>
      </c>
      <c r="H10" s="3472"/>
      <c r="I10" s="3472" t="s">
        <v>3443</v>
      </c>
      <c r="J10" s="3472">
        <v>104.89</v>
      </c>
      <c r="K10" s="3472" t="s">
        <v>3387</v>
      </c>
      <c r="L10" s="3472">
        <v>6</v>
      </c>
      <c r="M10" s="3472">
        <v>6</v>
      </c>
      <c r="N10" s="3472">
        <v>2000</v>
      </c>
      <c r="O10" s="3472" t="s">
        <v>43</v>
      </c>
      <c r="P10" s="3472"/>
      <c r="Q10" s="3472" t="s">
        <v>43</v>
      </c>
      <c r="R10" s="3472">
        <v>0</v>
      </c>
      <c r="S10" s="3472">
        <v>41495</v>
      </c>
      <c r="T10" s="3472">
        <v>4352411</v>
      </c>
      <c r="U10" s="3473">
        <v>45273</v>
      </c>
    </row>
    <row r="11" spans="1:21" ht="34.799999999999997" thickBot="1">
      <c r="A11" s="3476">
        <v>67</v>
      </c>
      <c r="B11" s="3481" t="s">
        <v>3471</v>
      </c>
      <c r="C11" s="3476" t="s">
        <v>3502</v>
      </c>
      <c r="D11" s="3476" t="s">
        <v>3503</v>
      </c>
      <c r="E11" s="3476" t="s">
        <v>3460</v>
      </c>
      <c r="F11" s="3476" t="s">
        <v>3504</v>
      </c>
      <c r="G11" s="3476" t="s">
        <v>3498</v>
      </c>
      <c r="H11" s="3476" t="s">
        <v>3462</v>
      </c>
      <c r="I11" s="3476" t="s">
        <v>3443</v>
      </c>
      <c r="J11" s="3476">
        <v>98.85</v>
      </c>
      <c r="K11" s="3476" t="s">
        <v>3387</v>
      </c>
      <c r="L11" s="3476">
        <v>6</v>
      </c>
      <c r="M11" s="3476">
        <v>2</v>
      </c>
      <c r="N11" s="3476">
        <v>2001</v>
      </c>
      <c r="O11" s="3476" t="s">
        <v>633</v>
      </c>
      <c r="P11" s="3476" t="s">
        <v>633</v>
      </c>
      <c r="Q11" s="3476" t="s">
        <v>633</v>
      </c>
      <c r="R11" s="3476">
        <v>47193</v>
      </c>
      <c r="S11" s="3476">
        <v>45676</v>
      </c>
      <c r="T11" s="3476">
        <v>4515073</v>
      </c>
      <c r="U11" s="3477">
        <v>44937</v>
      </c>
    </row>
    <row r="12" spans="1:21" ht="34.799999999999997" thickBot="1">
      <c r="A12" s="3472">
        <v>68</v>
      </c>
      <c r="B12" s="3480" t="s">
        <v>3471</v>
      </c>
      <c r="C12" s="3472" t="s">
        <v>3505</v>
      </c>
      <c r="D12" s="3472" t="s">
        <v>3506</v>
      </c>
      <c r="E12" s="3472" t="s">
        <v>3460</v>
      </c>
      <c r="F12" s="3472" t="s">
        <v>3507</v>
      </c>
      <c r="G12" s="3472" t="s">
        <v>3498</v>
      </c>
      <c r="H12" s="3472" t="s">
        <v>3462</v>
      </c>
      <c r="I12" s="3472" t="s">
        <v>3443</v>
      </c>
      <c r="J12" s="3472">
        <v>98.43</v>
      </c>
      <c r="K12" s="3472" t="s">
        <v>3387</v>
      </c>
      <c r="L12" s="3472">
        <v>6</v>
      </c>
      <c r="M12" s="3472">
        <v>4</v>
      </c>
      <c r="N12" s="3472">
        <v>2000</v>
      </c>
      <c r="O12" s="3472" t="s">
        <v>633</v>
      </c>
      <c r="P12" s="3472" t="s">
        <v>633</v>
      </c>
      <c r="Q12" s="3472" t="s">
        <v>633</v>
      </c>
      <c r="R12" s="3472">
        <v>46734</v>
      </c>
      <c r="S12" s="3472">
        <v>44742</v>
      </c>
      <c r="T12" s="3472">
        <v>4403955</v>
      </c>
      <c r="U12" s="3473">
        <v>44930</v>
      </c>
    </row>
    <row r="13" spans="1:21" ht="34.799999999999997" thickBot="1">
      <c r="A13" s="3470">
        <v>69</v>
      </c>
      <c r="B13" s="3479" t="s">
        <v>3471</v>
      </c>
      <c r="C13" s="3470" t="s">
        <v>3508</v>
      </c>
      <c r="D13" s="3470" t="s">
        <v>3509</v>
      </c>
      <c r="E13" s="3470" t="s">
        <v>3460</v>
      </c>
      <c r="F13" s="3470" t="s">
        <v>3510</v>
      </c>
      <c r="G13" s="3470" t="s">
        <v>3498</v>
      </c>
      <c r="H13" s="3470" t="s">
        <v>3462</v>
      </c>
      <c r="I13" s="3470" t="s">
        <v>3443</v>
      </c>
      <c r="J13" s="3470">
        <v>84.99</v>
      </c>
      <c r="K13" s="3470" t="s">
        <v>3387</v>
      </c>
      <c r="L13" s="3470">
        <v>6</v>
      </c>
      <c r="M13" s="3470">
        <v>6</v>
      </c>
      <c r="N13" s="3470">
        <v>2000</v>
      </c>
      <c r="O13" s="3470" t="s">
        <v>633</v>
      </c>
      <c r="P13" s="3470" t="s">
        <v>633</v>
      </c>
      <c r="Q13" s="3470" t="s">
        <v>633</v>
      </c>
      <c r="R13" s="3470">
        <v>46476</v>
      </c>
      <c r="S13" s="3470">
        <v>44187</v>
      </c>
      <c r="T13" s="3470">
        <v>3755453</v>
      </c>
      <c r="U13" s="3471">
        <v>44929</v>
      </c>
    </row>
    <row r="14" spans="1:21" ht="34.799999999999997" thickBot="1">
      <c r="A14" s="3472">
        <v>70</v>
      </c>
      <c r="B14" s="3480" t="s">
        <v>3471</v>
      </c>
      <c r="C14" s="3472" t="s">
        <v>3511</v>
      </c>
      <c r="D14" s="3472" t="s">
        <v>3512</v>
      </c>
      <c r="E14" s="3472" t="s">
        <v>3460</v>
      </c>
      <c r="F14" s="3472" t="s">
        <v>3513</v>
      </c>
      <c r="G14" s="3472" t="s">
        <v>3514</v>
      </c>
      <c r="H14" s="3472" t="s">
        <v>3462</v>
      </c>
      <c r="I14" s="3472" t="s">
        <v>3443</v>
      </c>
      <c r="J14" s="3472">
        <v>136.88999999999999</v>
      </c>
      <c r="K14" s="3472" t="s">
        <v>3387</v>
      </c>
      <c r="L14" s="3472">
        <v>6</v>
      </c>
      <c r="M14" s="3472">
        <v>4</v>
      </c>
      <c r="N14" s="3472">
        <v>1999</v>
      </c>
      <c r="O14" s="3472" t="s">
        <v>633</v>
      </c>
      <c r="P14" s="3472" t="s">
        <v>633</v>
      </c>
      <c r="Q14" s="3472" t="s">
        <v>633</v>
      </c>
      <c r="R14" s="3472">
        <v>47337</v>
      </c>
      <c r="S14" s="3472">
        <v>45175</v>
      </c>
      <c r="T14" s="3472">
        <v>6184006</v>
      </c>
      <c r="U14" s="3473">
        <v>44902</v>
      </c>
    </row>
    <row r="15" spans="1:21" ht="34.799999999999997" thickBot="1">
      <c r="A15" s="3470">
        <v>71</v>
      </c>
      <c r="B15" s="3479" t="s">
        <v>3471</v>
      </c>
      <c r="C15" s="3470" t="s">
        <v>3515</v>
      </c>
      <c r="D15" s="3470" t="s">
        <v>3516</v>
      </c>
      <c r="E15" s="3470" t="s">
        <v>3460</v>
      </c>
      <c r="F15" s="3470" t="s">
        <v>3517</v>
      </c>
      <c r="G15" s="3470" t="s">
        <v>3491</v>
      </c>
      <c r="H15" s="3470" t="s">
        <v>3462</v>
      </c>
      <c r="I15" s="3470" t="s">
        <v>3443</v>
      </c>
      <c r="J15" s="3470">
        <v>99.72</v>
      </c>
      <c r="K15" s="3470" t="s">
        <v>3387</v>
      </c>
      <c r="L15" s="3470" t="s">
        <v>3492</v>
      </c>
      <c r="M15" s="3470">
        <v>4</v>
      </c>
      <c r="N15" s="3470">
        <v>2006</v>
      </c>
      <c r="O15" s="3470" t="s">
        <v>633</v>
      </c>
      <c r="P15" s="3470" t="s">
        <v>633</v>
      </c>
      <c r="Q15" s="3470" t="s">
        <v>633</v>
      </c>
      <c r="R15" s="3470">
        <v>0</v>
      </c>
      <c r="S15" s="3470">
        <v>46000</v>
      </c>
      <c r="T15" s="3470">
        <v>4587120</v>
      </c>
      <c r="U15" s="3471">
        <v>44874</v>
      </c>
    </row>
    <row r="16" spans="1:21" ht="34.799999999999997" thickBot="1">
      <c r="A16" s="3472">
        <v>72</v>
      </c>
      <c r="B16" s="3480" t="s">
        <v>3471</v>
      </c>
      <c r="C16" s="3472" t="s">
        <v>3518</v>
      </c>
      <c r="D16" s="3472" t="s">
        <v>3519</v>
      </c>
      <c r="E16" s="3472" t="s">
        <v>3460</v>
      </c>
      <c r="F16" s="3472" t="s">
        <v>3520</v>
      </c>
      <c r="G16" s="3472" t="s">
        <v>3498</v>
      </c>
      <c r="H16" s="3472" t="s">
        <v>3462</v>
      </c>
      <c r="I16" s="3472" t="s">
        <v>3443</v>
      </c>
      <c r="J16" s="3472">
        <v>98.85</v>
      </c>
      <c r="K16" s="3472" t="s">
        <v>3387</v>
      </c>
      <c r="L16" s="3472">
        <v>6</v>
      </c>
      <c r="M16" s="3472">
        <v>1</v>
      </c>
      <c r="N16" s="3472" t="s">
        <v>633</v>
      </c>
      <c r="O16" s="3472">
        <v>2000</v>
      </c>
      <c r="P16" s="3472" t="s">
        <v>633</v>
      </c>
      <c r="Q16" s="3472" t="s">
        <v>633</v>
      </c>
      <c r="R16" s="3472">
        <v>50582</v>
      </c>
      <c r="S16" s="3472">
        <v>47495</v>
      </c>
      <c r="T16" s="3472">
        <v>4694881</v>
      </c>
      <c r="U16" s="3473">
        <v>44849</v>
      </c>
    </row>
    <row r="17" spans="1:21" ht="34.799999999999997" thickBot="1">
      <c r="A17" s="3470">
        <v>73</v>
      </c>
      <c r="B17" s="3479" t="s">
        <v>3471</v>
      </c>
      <c r="C17" s="3470" t="s">
        <v>3521</v>
      </c>
      <c r="D17" s="3470" t="s">
        <v>3522</v>
      </c>
      <c r="E17" s="3470" t="s">
        <v>3460</v>
      </c>
      <c r="F17" s="3470" t="s">
        <v>3523</v>
      </c>
      <c r="G17" s="3470" t="s">
        <v>3524</v>
      </c>
      <c r="H17" s="3470" t="s">
        <v>3462</v>
      </c>
      <c r="I17" s="3470" t="s">
        <v>3443</v>
      </c>
      <c r="J17" s="3470">
        <v>86.77</v>
      </c>
      <c r="K17" s="3470" t="s">
        <v>3387</v>
      </c>
      <c r="L17" s="3470">
        <v>6</v>
      </c>
      <c r="M17" s="3470">
        <v>2</v>
      </c>
      <c r="N17" s="3470">
        <v>2003</v>
      </c>
      <c r="O17" s="3470" t="s">
        <v>633</v>
      </c>
      <c r="P17" s="3470" t="s">
        <v>633</v>
      </c>
      <c r="Q17" s="3470" t="s">
        <v>633</v>
      </c>
      <c r="R17" s="3470">
        <v>51976</v>
      </c>
      <c r="S17" s="3470">
        <v>49927</v>
      </c>
      <c r="T17" s="3470">
        <v>4332166</v>
      </c>
      <c r="U17" s="3471">
        <v>44848</v>
      </c>
    </row>
    <row r="18" spans="1:21" ht="34.799999999999997" thickBot="1">
      <c r="A18" s="3472">
        <v>74</v>
      </c>
      <c r="B18" s="3480" t="s">
        <v>3471</v>
      </c>
      <c r="C18" s="3472" t="s">
        <v>3525</v>
      </c>
      <c r="D18" s="3472" t="s">
        <v>3526</v>
      </c>
      <c r="E18" s="3472" t="s">
        <v>3460</v>
      </c>
      <c r="F18" s="3472" t="s">
        <v>3527</v>
      </c>
      <c r="G18" s="3472" t="s">
        <v>3498</v>
      </c>
      <c r="H18" s="3472" t="s">
        <v>3461</v>
      </c>
      <c r="I18" s="3472" t="s">
        <v>3443</v>
      </c>
      <c r="J18" s="3472">
        <v>86.65</v>
      </c>
      <c r="K18" s="3472" t="s">
        <v>3387</v>
      </c>
      <c r="L18" s="3472">
        <v>6</v>
      </c>
      <c r="M18" s="3472">
        <v>5</v>
      </c>
      <c r="N18" s="3472">
        <v>2002</v>
      </c>
      <c r="O18" s="3472" t="s">
        <v>633</v>
      </c>
      <c r="P18" s="3472" t="s">
        <v>633</v>
      </c>
      <c r="Q18" s="3472" t="s">
        <v>633</v>
      </c>
      <c r="R18" s="3472">
        <v>48125</v>
      </c>
      <c r="S18" s="3472">
        <v>46903</v>
      </c>
      <c r="T18" s="3472">
        <v>4064145</v>
      </c>
      <c r="U18" s="3473">
        <v>44843</v>
      </c>
    </row>
    <row r="19" spans="1:21" ht="34.799999999999997" thickBot="1">
      <c r="A19" s="3470">
        <v>75</v>
      </c>
      <c r="B19" s="3479" t="s">
        <v>3471</v>
      </c>
      <c r="C19" s="3470" t="s">
        <v>3528</v>
      </c>
      <c r="D19" s="3470" t="s">
        <v>3529</v>
      </c>
      <c r="E19" s="3470" t="s">
        <v>3460</v>
      </c>
      <c r="F19" s="3470" t="s">
        <v>3530</v>
      </c>
      <c r="G19" s="3470" t="s">
        <v>3498</v>
      </c>
      <c r="H19" s="3470" t="s">
        <v>3462</v>
      </c>
      <c r="I19" s="3470" t="s">
        <v>3443</v>
      </c>
      <c r="J19" s="3470">
        <v>84.99</v>
      </c>
      <c r="K19" s="3470" t="s">
        <v>3387</v>
      </c>
      <c r="L19" s="3470">
        <v>6</v>
      </c>
      <c r="M19" s="3470">
        <v>6</v>
      </c>
      <c r="N19" s="3470">
        <v>2000</v>
      </c>
      <c r="O19" s="3470" t="s">
        <v>633</v>
      </c>
      <c r="P19" s="3470" t="s">
        <v>633</v>
      </c>
      <c r="Q19" s="3470" t="s">
        <v>633</v>
      </c>
      <c r="R19" s="3470">
        <v>47711</v>
      </c>
      <c r="S19" s="3470">
        <v>45267</v>
      </c>
      <c r="T19" s="3470">
        <v>3847242</v>
      </c>
      <c r="U19" s="3471">
        <v>44832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89.89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52"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52"/>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52"/>
      <c r="AC6" s="3722"/>
    </row>
    <row r="7" spans="1:29" s="108" customFormat="1" ht="15" thickBot="1">
      <c r="A7" s="362" t="s">
        <v>1679</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9"/>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9"/>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6" t="s">
        <v>1691</v>
      </c>
      <c r="Q15" s="1352" t="str">
        <f t="shared" si="6"/>
        <v>商业繁华度</v>
      </c>
      <c r="R15" s="705" t="s">
        <v>14</v>
      </c>
      <c r="S15" s="706">
        <f t="shared" si="0"/>
        <v>100</v>
      </c>
      <c r="T15" s="705" t="s">
        <v>14</v>
      </c>
      <c r="U15" s="706">
        <f t="shared" si="1"/>
        <v>100</v>
      </c>
      <c r="V15" s="705" t="s">
        <v>14</v>
      </c>
      <c r="W15" s="706">
        <f t="shared" si="2"/>
        <v>100</v>
      </c>
      <c r="X15" s="1355"/>
      <c r="Y15" s="375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7"/>
      <c r="Q16" s="1352"/>
      <c r="R16" s="705"/>
      <c r="S16" s="706"/>
      <c r="T16" s="705"/>
      <c r="U16" s="706"/>
      <c r="V16" s="705"/>
      <c r="W16" s="706"/>
      <c r="X16" s="1355"/>
      <c r="Y16" s="376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7"/>
      <c r="Q18" s="1352"/>
      <c r="R18" s="705"/>
      <c r="S18" s="706"/>
      <c r="T18" s="705"/>
      <c r="U18" s="706"/>
      <c r="V18" s="705"/>
      <c r="W18" s="706"/>
      <c r="X18" s="1355"/>
      <c r="Y18" s="3760"/>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7"/>
      <c r="Q20" s="1352"/>
      <c r="R20" s="705"/>
      <c r="S20" s="706"/>
      <c r="T20" s="705"/>
      <c r="U20" s="706"/>
      <c r="V20" s="705"/>
      <c r="W20" s="706"/>
      <c r="X20" s="1355"/>
      <c r="Y20" s="3760"/>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7"/>
      <c r="Q22" s="1352"/>
      <c r="R22" s="705"/>
      <c r="S22" s="706"/>
      <c r="T22" s="705"/>
      <c r="U22" s="706"/>
      <c r="V22" s="705"/>
      <c r="W22" s="706"/>
      <c r="X22" s="1355"/>
      <c r="Y22" s="376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7"/>
      <c r="Q23" s="1352" t="str">
        <f>B23</f>
        <v>自然及人文环境</v>
      </c>
      <c r="R23" s="705" t="s">
        <v>14</v>
      </c>
      <c r="S23" s="706">
        <f>F23</f>
        <v>100</v>
      </c>
      <c r="T23" s="705" t="s">
        <v>14</v>
      </c>
      <c r="U23" s="706">
        <f>H23</f>
        <v>100</v>
      </c>
      <c r="V23" s="705" t="s">
        <v>14</v>
      </c>
      <c r="W23" s="706">
        <f>J23</f>
        <v>100</v>
      </c>
      <c r="X23" s="1355"/>
      <c r="Y23" s="37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7"/>
      <c r="Q24" s="1352"/>
      <c r="R24" s="705"/>
      <c r="S24" s="706"/>
      <c r="T24" s="705"/>
      <c r="U24" s="706"/>
      <c r="V24" s="705"/>
      <c r="W24" s="706"/>
      <c r="X24" s="1355"/>
      <c r="Y24" s="376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7"/>
      <c r="Q25" s="1352" t="str">
        <f t="shared" ref="Q25:Q46" si="11">B25</f>
        <v>临街状况</v>
      </c>
      <c r="R25" s="705" t="s">
        <v>14</v>
      </c>
      <c r="S25" s="706">
        <f>F25</f>
        <v>100</v>
      </c>
      <c r="T25" s="705" t="s">
        <v>14</v>
      </c>
      <c r="U25" s="706">
        <f>H25</f>
        <v>100</v>
      </c>
      <c r="V25" s="705" t="s">
        <v>14</v>
      </c>
      <c r="W25" s="706">
        <f>J25</f>
        <v>100</v>
      </c>
      <c r="X25" s="1355"/>
      <c r="Y25" s="376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7"/>
      <c r="Q26" s="1352" t="str">
        <f t="shared" si="11"/>
        <v>平面位置/可视性</v>
      </c>
      <c r="R26" s="705" t="s">
        <v>14</v>
      </c>
      <c r="S26" s="706">
        <f>F26</f>
        <v>100</v>
      </c>
      <c r="T26" s="705" t="s">
        <v>14</v>
      </c>
      <c r="U26" s="706">
        <f>H26</f>
        <v>100</v>
      </c>
      <c r="V26" s="705" t="s">
        <v>14</v>
      </c>
      <c r="W26" s="706">
        <f>J26</f>
        <v>100</v>
      </c>
      <c r="X26" s="1355"/>
      <c r="Y26" s="376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7"/>
      <c r="Q27" s="1343" t="str">
        <f t="shared" si="11"/>
        <v>人流量</v>
      </c>
      <c r="R27" s="701" t="s">
        <v>14</v>
      </c>
      <c r="S27" s="702">
        <f>F27</f>
        <v>100</v>
      </c>
      <c r="T27" s="701" t="s">
        <v>14</v>
      </c>
      <c r="U27" s="702">
        <f>H27</f>
        <v>100</v>
      </c>
      <c r="V27" s="701" t="s">
        <v>14</v>
      </c>
      <c r="W27" s="702">
        <f>J27</f>
        <v>100</v>
      </c>
      <c r="X27" s="703"/>
      <c r="Y27" s="376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7"/>
      <c r="Q29" s="1352">
        <f t="shared" si="11"/>
        <v>111</v>
      </c>
      <c r="R29" s="705" t="s">
        <v>14</v>
      </c>
      <c r="S29" s="706">
        <f t="shared" si="12"/>
        <v>100</v>
      </c>
      <c r="T29" s="705" t="s">
        <v>14</v>
      </c>
      <c r="U29" s="706">
        <f t="shared" si="13"/>
        <v>100</v>
      </c>
      <c r="V29" s="705" t="s">
        <v>14</v>
      </c>
      <c r="W29" s="706">
        <f t="shared" si="14"/>
        <v>100</v>
      </c>
      <c r="X29" s="1355"/>
      <c r="Y29" s="37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6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6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1" t="s">
        <v>1695</v>
      </c>
      <c r="Q32" s="1352" t="str">
        <f t="shared" si="11"/>
        <v>商业类型</v>
      </c>
      <c r="R32" s="705" t="s">
        <v>14</v>
      </c>
      <c r="S32" s="706">
        <f t="shared" si="12"/>
        <v>100</v>
      </c>
      <c r="T32" s="705" t="s">
        <v>14</v>
      </c>
      <c r="U32" s="706">
        <f t="shared" si="13"/>
        <v>100</v>
      </c>
      <c r="V32" s="705" t="s">
        <v>14</v>
      </c>
      <c r="W32" s="706">
        <f t="shared" si="14"/>
        <v>100</v>
      </c>
      <c r="X32" s="1355"/>
      <c r="Y32" s="376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2"/>
      <c r="Q33" s="707" t="str">
        <f t="shared" si="11"/>
        <v>项目建筑规模</v>
      </c>
      <c r="R33" s="708" t="s">
        <v>14</v>
      </c>
      <c r="S33" s="709" t="e">
        <f t="shared" si="12"/>
        <v>#N/A</v>
      </c>
      <c r="T33" s="708" t="s">
        <v>14</v>
      </c>
      <c r="U33" s="709" t="e">
        <f t="shared" si="13"/>
        <v>#N/A</v>
      </c>
      <c r="V33" s="708" t="s">
        <v>14</v>
      </c>
      <c r="W33" s="709" t="e">
        <f t="shared" si="14"/>
        <v>#N/A</v>
      </c>
      <c r="X33" s="710"/>
      <c r="Y33" s="3764"/>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2"/>
      <c r="Q34" s="1352" t="str">
        <f t="shared" si="11"/>
        <v>建筑结构</v>
      </c>
      <c r="R34" s="705" t="s">
        <v>14</v>
      </c>
      <c r="S34" s="706">
        <f t="shared" si="12"/>
        <v>100</v>
      </c>
      <c r="T34" s="705" t="s">
        <v>14</v>
      </c>
      <c r="U34" s="706">
        <f t="shared" si="13"/>
        <v>100</v>
      </c>
      <c r="V34" s="705" t="s">
        <v>14</v>
      </c>
      <c r="W34" s="706">
        <f t="shared" si="14"/>
        <v>100</v>
      </c>
      <c r="X34" s="1355"/>
      <c r="Y34" s="376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2"/>
      <c r="Q35" s="1352" t="str">
        <f t="shared" si="11"/>
        <v>公共部分装修</v>
      </c>
      <c r="R35" s="705" t="s">
        <v>14</v>
      </c>
      <c r="S35" s="706">
        <f t="shared" si="12"/>
        <v>100</v>
      </c>
      <c r="T35" s="705" t="s">
        <v>14</v>
      </c>
      <c r="U35" s="706">
        <f t="shared" si="13"/>
        <v>100</v>
      </c>
      <c r="V35" s="705" t="s">
        <v>14</v>
      </c>
      <c r="W35" s="706">
        <f t="shared" si="14"/>
        <v>100</v>
      </c>
      <c r="X35" s="1355"/>
      <c r="Y35" s="376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2"/>
      <c r="Q36" s="1352" t="str">
        <f t="shared" si="11"/>
        <v>成新度</v>
      </c>
      <c r="R36" s="705" t="s">
        <v>14</v>
      </c>
      <c r="S36" s="706" t="e">
        <f t="shared" si="12"/>
        <v>#N/A</v>
      </c>
      <c r="T36" s="705" t="s">
        <v>14</v>
      </c>
      <c r="U36" s="706" t="e">
        <f t="shared" si="13"/>
        <v>#N/A</v>
      </c>
      <c r="V36" s="705" t="s">
        <v>14</v>
      </c>
      <c r="W36" s="706" t="e">
        <f t="shared" si="14"/>
        <v>#N/A</v>
      </c>
      <c r="X36" s="1355"/>
      <c r="Y36" s="376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2"/>
      <c r="Q37" s="1343" t="str">
        <f t="shared" si="11"/>
        <v>市政基础设施</v>
      </c>
      <c r="R37" s="701" t="s">
        <v>14</v>
      </c>
      <c r="S37" s="702">
        <f t="shared" si="12"/>
        <v>100</v>
      </c>
      <c r="T37" s="701" t="s">
        <v>14</v>
      </c>
      <c r="U37" s="702">
        <f t="shared" si="13"/>
        <v>100</v>
      </c>
      <c r="V37" s="701" t="s">
        <v>14</v>
      </c>
      <c r="W37" s="702">
        <f t="shared" si="14"/>
        <v>100</v>
      </c>
      <c r="X37" s="703"/>
      <c r="Y37" s="376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2" t="s">
        <v>1695</v>
      </c>
      <c r="Q38" s="1352" t="str">
        <f t="shared" si="11"/>
        <v>业态</v>
      </c>
      <c r="R38" s="705" t="s">
        <v>14</v>
      </c>
      <c r="S38" s="706">
        <f t="shared" si="12"/>
        <v>100</v>
      </c>
      <c r="T38" s="705" t="s">
        <v>14</v>
      </c>
      <c r="U38" s="706">
        <f t="shared" si="13"/>
        <v>100</v>
      </c>
      <c r="V38" s="705" t="s">
        <v>14</v>
      </c>
      <c r="W38" s="706">
        <f t="shared" si="14"/>
        <v>100</v>
      </c>
      <c r="X38" s="1355"/>
      <c r="Y38" s="376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2"/>
      <c r="Q39" s="1352" t="str">
        <f t="shared" si="11"/>
        <v>层高</v>
      </c>
      <c r="R39" s="705" t="s">
        <v>14</v>
      </c>
      <c r="S39" s="706">
        <f t="shared" si="12"/>
        <v>100</v>
      </c>
      <c r="T39" s="705" t="s">
        <v>14</v>
      </c>
      <c r="U39" s="706">
        <f t="shared" si="13"/>
        <v>100</v>
      </c>
      <c r="V39" s="705" t="s">
        <v>14</v>
      </c>
      <c r="W39" s="706">
        <f t="shared" si="14"/>
        <v>100</v>
      </c>
      <c r="X39" s="1355"/>
      <c r="Y39" s="376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2"/>
      <c r="Q40" s="1352" t="str">
        <f t="shared" si="11"/>
        <v>单套建筑面积</v>
      </c>
      <c r="R40" s="705" t="s">
        <v>14</v>
      </c>
      <c r="S40" s="706">
        <f t="shared" si="12"/>
        <v>100</v>
      </c>
      <c r="T40" s="705" t="s">
        <v>14</v>
      </c>
      <c r="U40" s="706">
        <f t="shared" si="13"/>
        <v>100</v>
      </c>
      <c r="V40" s="705" t="s">
        <v>14</v>
      </c>
      <c r="W40" s="706">
        <f t="shared" si="14"/>
        <v>100</v>
      </c>
      <c r="X40" s="1355"/>
      <c r="Y40" s="376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2"/>
      <c r="Q41" s="707" t="str">
        <f t="shared" si="11"/>
        <v>进深比</v>
      </c>
      <c r="R41" s="708" t="s">
        <v>14</v>
      </c>
      <c r="S41" s="709">
        <f t="shared" si="12"/>
        <v>100</v>
      </c>
      <c r="T41" s="708" t="s">
        <v>14</v>
      </c>
      <c r="U41" s="709">
        <f t="shared" si="13"/>
        <v>100</v>
      </c>
      <c r="V41" s="708" t="s">
        <v>14</v>
      </c>
      <c r="W41" s="709">
        <f t="shared" si="14"/>
        <v>100</v>
      </c>
      <c r="X41" s="710"/>
      <c r="Y41" s="376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2"/>
      <c r="Q42" s="1352" t="str">
        <f t="shared" si="11"/>
        <v>内部装修</v>
      </c>
      <c r="R42" s="705" t="s">
        <v>14</v>
      </c>
      <c r="S42" s="706">
        <f t="shared" si="12"/>
        <v>100</v>
      </c>
      <c r="T42" s="705" t="s">
        <v>14</v>
      </c>
      <c r="U42" s="706">
        <f t="shared" si="13"/>
        <v>100</v>
      </c>
      <c r="V42" s="705" t="s">
        <v>14</v>
      </c>
      <c r="W42" s="706">
        <f t="shared" si="14"/>
        <v>100</v>
      </c>
      <c r="X42" s="1355"/>
      <c r="Y42" s="3764"/>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2"/>
      <c r="Q43" s="1352" t="str">
        <f t="shared" si="11"/>
        <v>内部装修维护情况</v>
      </c>
      <c r="R43" s="705" t="s">
        <v>14</v>
      </c>
      <c r="S43" s="706">
        <f t="shared" si="12"/>
        <v>100</v>
      </c>
      <c r="T43" s="705" t="s">
        <v>14</v>
      </c>
      <c r="U43" s="706">
        <f t="shared" si="13"/>
        <v>100</v>
      </c>
      <c r="V43" s="705" t="s">
        <v>14</v>
      </c>
      <c r="W43" s="706">
        <f t="shared" si="14"/>
        <v>100</v>
      </c>
      <c r="X43" s="1355"/>
      <c r="Y43" s="37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2"/>
      <c r="Q44" s="1343">
        <f t="shared" si="11"/>
        <v>111</v>
      </c>
      <c r="R44" s="701" t="s">
        <v>14</v>
      </c>
      <c r="S44" s="702">
        <f t="shared" si="12"/>
        <v>100</v>
      </c>
      <c r="T44" s="701" t="s">
        <v>14</v>
      </c>
      <c r="U44" s="702">
        <f t="shared" si="13"/>
        <v>100</v>
      </c>
      <c r="V44" s="701" t="s">
        <v>14</v>
      </c>
      <c r="W44" s="702">
        <f t="shared" si="14"/>
        <v>100</v>
      </c>
      <c r="X44" s="703"/>
      <c r="Y44" s="37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2"/>
      <c r="Q45" s="1352">
        <f t="shared" si="11"/>
        <v>111</v>
      </c>
      <c r="R45" s="705" t="s">
        <v>14</v>
      </c>
      <c r="S45" s="706">
        <f t="shared" si="12"/>
        <v>100</v>
      </c>
      <c r="T45" s="705" t="s">
        <v>14</v>
      </c>
      <c r="U45" s="706">
        <f t="shared" si="13"/>
        <v>100</v>
      </c>
      <c r="V45" s="705" t="s">
        <v>14</v>
      </c>
      <c r="W45" s="706">
        <f t="shared" si="14"/>
        <v>100</v>
      </c>
      <c r="X45" s="1355"/>
      <c r="Y45" s="376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3"/>
      <c r="Q46" s="1352">
        <f t="shared" si="11"/>
        <v>111</v>
      </c>
      <c r="R46" s="705" t="s">
        <v>14</v>
      </c>
      <c r="S46" s="706">
        <f t="shared" si="12"/>
        <v>100</v>
      </c>
      <c r="T46" s="705" t="s">
        <v>14</v>
      </c>
      <c r="U46" s="706">
        <f t="shared" si="13"/>
        <v>100</v>
      </c>
      <c r="V46" s="705" t="s">
        <v>14</v>
      </c>
      <c r="W46" s="706">
        <f t="shared" si="14"/>
        <v>100</v>
      </c>
      <c r="X46" s="1355"/>
      <c r="Y46" s="3765"/>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7" t="str">
        <f>A47</f>
        <v>成交单价（元/平方米）</v>
      </c>
      <c r="Q47" s="3757"/>
      <c r="R47" s="3752">
        <f>E47</f>
        <v>0</v>
      </c>
      <c r="S47" s="3752"/>
      <c r="T47" s="3752">
        <f>G47</f>
        <v>0</v>
      </c>
      <c r="U47" s="3752"/>
      <c r="V47" s="3752">
        <f>I47</f>
        <v>0</v>
      </c>
      <c r="W47" s="3752"/>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估价对象为北京市房地产，为所有。根据《国有土地使用证》[]，估价对象（分摊）出让国有建设用地使用权面积为0平方米，建筑面积为89.89平方米。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估价对象为北京市房地产,属开发建设的，该项目尚在开发建设中。根据《国有土地使用证》[]，估价对象（分摊）出让国有建设用地使用权面积为0平方米，规划建筑面积为89.89平方米。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2023年3月21日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89.89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79" t="s">
        <v>1774</v>
      </c>
      <c r="Q4" s="3780"/>
      <c r="R4" s="3774" t="s">
        <v>1770</v>
      </c>
      <c r="S4" s="3775"/>
      <c r="T4" s="3774" t="s">
        <v>1771</v>
      </c>
      <c r="U4" s="3775"/>
      <c r="V4" s="3783" t="s">
        <v>1772</v>
      </c>
      <c r="W4" s="3783"/>
      <c r="X4" s="1958"/>
      <c r="Y4" s="3774" t="s">
        <v>1774</v>
      </c>
      <c r="Z4" s="3775"/>
      <c r="AA4" s="3773" t="s">
        <v>1770</v>
      </c>
      <c r="AB4" s="3773" t="s">
        <v>1771</v>
      </c>
      <c r="AC4" s="3776" t="s">
        <v>1772</v>
      </c>
    </row>
    <row r="5" spans="1:29">
      <c r="A5" s="358"/>
      <c r="B5" s="359"/>
      <c r="C5" s="3770" t="s">
        <v>1673</v>
      </c>
      <c r="D5" s="3732"/>
      <c r="E5" s="3768" t="s">
        <v>1674</v>
      </c>
      <c r="F5" s="3769"/>
      <c r="G5" s="3770" t="s">
        <v>1675</v>
      </c>
      <c r="H5" s="3732"/>
      <c r="I5" s="3770" t="s">
        <v>1676</v>
      </c>
      <c r="J5" s="3732"/>
      <c r="K5" s="559"/>
      <c r="L5" s="2715"/>
      <c r="M5" s="2716"/>
      <c r="N5" s="2716"/>
      <c r="O5" s="2716"/>
      <c r="P5" s="3781"/>
      <c r="Q5" s="3747"/>
      <c r="R5" s="3727"/>
      <c r="S5" s="3728"/>
      <c r="T5" s="3727"/>
      <c r="U5" s="3728"/>
      <c r="V5" s="3752"/>
      <c r="W5" s="3752"/>
      <c r="X5" s="1355"/>
      <c r="Y5" s="3727"/>
      <c r="Z5" s="3728"/>
      <c r="AA5" s="3721"/>
      <c r="AB5" s="3721"/>
      <c r="AC5" s="3777"/>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82"/>
      <c r="Q6" s="3749"/>
      <c r="R6" s="3727"/>
      <c r="S6" s="3728"/>
      <c r="T6" s="3750"/>
      <c r="U6" s="3751"/>
      <c r="V6" s="3752"/>
      <c r="W6" s="3752"/>
      <c r="X6" s="1355"/>
      <c r="Y6" s="3750"/>
      <c r="Z6" s="3751"/>
      <c r="AA6" s="3722"/>
      <c r="AB6" s="3722"/>
      <c r="AC6" s="3778"/>
    </row>
    <row r="7" spans="1:29" s="108" customFormat="1" ht="15" thickBot="1">
      <c r="A7" s="362" t="s">
        <v>1679</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4"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4"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9"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9"/>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9"/>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6" t="s">
        <v>1691</v>
      </c>
      <c r="Q15" s="1352" t="str">
        <f t="shared" si="6"/>
        <v>办公集聚程度</v>
      </c>
      <c r="R15" s="705" t="s">
        <v>14</v>
      </c>
      <c r="S15" s="706">
        <f t="shared" si="0"/>
        <v>100</v>
      </c>
      <c r="T15" s="705" t="s">
        <v>14</v>
      </c>
      <c r="U15" s="706">
        <f t="shared" si="1"/>
        <v>100</v>
      </c>
      <c r="V15" s="705" t="s">
        <v>14</v>
      </c>
      <c r="W15" s="706">
        <f t="shared" si="2"/>
        <v>100</v>
      </c>
      <c r="X15" s="1355"/>
      <c r="Y15" s="375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7"/>
      <c r="Q16" s="1352"/>
      <c r="R16" s="705"/>
      <c r="S16" s="706"/>
      <c r="T16" s="705"/>
      <c r="U16" s="706"/>
      <c r="V16" s="705"/>
      <c r="W16" s="706"/>
      <c r="X16" s="1355"/>
      <c r="Y16" s="376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7"/>
      <c r="Q18" s="1352"/>
      <c r="R18" s="705"/>
      <c r="S18" s="706"/>
      <c r="T18" s="705"/>
      <c r="U18" s="706"/>
      <c r="V18" s="705"/>
      <c r="W18" s="706"/>
      <c r="X18" s="1355"/>
      <c r="Y18" s="3760"/>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7"/>
      <c r="Q20" s="1352"/>
      <c r="R20" s="705"/>
      <c r="S20" s="706"/>
      <c r="T20" s="705"/>
      <c r="U20" s="706"/>
      <c r="V20" s="705"/>
      <c r="W20" s="706"/>
      <c r="X20" s="1355"/>
      <c r="Y20" s="3760"/>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7"/>
      <c r="Q22" s="1352"/>
      <c r="R22" s="705"/>
      <c r="S22" s="706"/>
      <c r="T22" s="705"/>
      <c r="U22" s="706"/>
      <c r="V22" s="705"/>
      <c r="W22" s="706"/>
      <c r="X22" s="1355"/>
      <c r="Y22" s="3760"/>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7"/>
      <c r="Q23" s="1352" t="str">
        <f>B23</f>
        <v>环境质量</v>
      </c>
      <c r="R23" s="705" t="s">
        <v>14</v>
      </c>
      <c r="S23" s="706">
        <f>F23</f>
        <v>100</v>
      </c>
      <c r="T23" s="705" t="s">
        <v>14</v>
      </c>
      <c r="U23" s="706">
        <f>H23</f>
        <v>100</v>
      </c>
      <c r="V23" s="705" t="s">
        <v>14</v>
      </c>
      <c r="W23" s="706">
        <f>J23</f>
        <v>100</v>
      </c>
      <c r="X23" s="1355"/>
      <c r="Y23" s="376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7"/>
      <c r="Q24" s="1352"/>
      <c r="R24" s="705"/>
      <c r="S24" s="706"/>
      <c r="T24" s="705"/>
      <c r="U24" s="706"/>
      <c r="V24" s="705"/>
      <c r="W24" s="706"/>
      <c r="X24" s="1355"/>
      <c r="Y24" s="3760"/>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7"/>
      <c r="Q25" s="1352" t="str">
        <f>B25</f>
        <v>毗邻道路的类型与等级</v>
      </c>
      <c r="R25" s="705" t="s">
        <v>14</v>
      </c>
      <c r="S25" s="706">
        <f>F25</f>
        <v>100</v>
      </c>
      <c r="T25" s="705" t="s">
        <v>14</v>
      </c>
      <c r="U25" s="706">
        <f>H25</f>
        <v>100</v>
      </c>
      <c r="V25" s="705" t="s">
        <v>14</v>
      </c>
      <c r="W25" s="706">
        <f>J25</f>
        <v>100</v>
      </c>
      <c r="X25" s="1355"/>
      <c r="Y25" s="37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7"/>
      <c r="Q26" s="1352"/>
      <c r="R26" s="705"/>
      <c r="S26" s="706"/>
      <c r="T26" s="705"/>
      <c r="U26" s="706"/>
      <c r="V26" s="705"/>
      <c r="W26" s="706"/>
      <c r="X26" s="1355"/>
      <c r="Y26" s="376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7"/>
      <c r="Q27" s="1352" t="str">
        <f t="shared" ref="Q27:Q47" si="11">B27</f>
        <v>楼层</v>
      </c>
      <c r="R27" s="705" t="s">
        <v>14</v>
      </c>
      <c r="S27" s="706">
        <f>F27</f>
        <v>100</v>
      </c>
      <c r="T27" s="705" t="s">
        <v>14</v>
      </c>
      <c r="U27" s="706">
        <f>H27</f>
        <v>100</v>
      </c>
      <c r="V27" s="705" t="s">
        <v>14</v>
      </c>
      <c r="W27" s="706">
        <f>J27</f>
        <v>100</v>
      </c>
      <c r="X27" s="1355"/>
      <c r="Y27" s="376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7"/>
      <c r="Q28" s="1343" t="str">
        <f t="shared" si="11"/>
        <v>朝向</v>
      </c>
      <c r="R28" s="701" t="s">
        <v>14</v>
      </c>
      <c r="S28" s="702">
        <f>F28</f>
        <v>100</v>
      </c>
      <c r="T28" s="701" t="s">
        <v>14</v>
      </c>
      <c r="U28" s="702">
        <f>H28</f>
        <v>100</v>
      </c>
      <c r="V28" s="701" t="s">
        <v>14</v>
      </c>
      <c r="W28" s="702">
        <f>J28</f>
        <v>100</v>
      </c>
      <c r="X28" s="703"/>
      <c r="Y28" s="376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7"/>
      <c r="Q29" s="1352">
        <f t="shared" si="11"/>
        <v>111</v>
      </c>
      <c r="R29" s="705" t="s">
        <v>14</v>
      </c>
      <c r="S29" s="706">
        <f t="shared" ref="S29:S47" si="12">F29</f>
        <v>100</v>
      </c>
      <c r="T29" s="705" t="s">
        <v>14</v>
      </c>
      <c r="U29" s="706">
        <f t="shared" ref="U29:U47" si="13">H29</f>
        <v>100</v>
      </c>
      <c r="V29" s="705" t="s">
        <v>14</v>
      </c>
      <c r="W29" s="706">
        <f t="shared" ref="W29:W47" si="14">J29</f>
        <v>100</v>
      </c>
      <c r="X29" s="1355"/>
      <c r="Y29" s="376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6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6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7"/>
      <c r="Q32" s="1352">
        <f t="shared" si="11"/>
        <v>111</v>
      </c>
      <c r="R32" s="705" t="s">
        <v>14</v>
      </c>
      <c r="S32" s="706">
        <f t="shared" si="12"/>
        <v>100</v>
      </c>
      <c r="T32" s="705" t="s">
        <v>14</v>
      </c>
      <c r="U32" s="706">
        <f t="shared" si="13"/>
        <v>100</v>
      </c>
      <c r="V32" s="705" t="s">
        <v>14</v>
      </c>
      <c r="W32" s="706">
        <f t="shared" si="14"/>
        <v>100</v>
      </c>
      <c r="X32" s="1355"/>
      <c r="Y32" s="376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1" t="s">
        <v>1695</v>
      </c>
      <c r="Q33" s="1352" t="str">
        <f t="shared" si="11"/>
        <v>建筑类型</v>
      </c>
      <c r="R33" s="705" t="s">
        <v>14</v>
      </c>
      <c r="S33" s="706">
        <f t="shared" si="12"/>
        <v>100</v>
      </c>
      <c r="T33" s="705" t="s">
        <v>14</v>
      </c>
      <c r="U33" s="706">
        <f t="shared" si="13"/>
        <v>100</v>
      </c>
      <c r="V33" s="705" t="s">
        <v>14</v>
      </c>
      <c r="W33" s="706">
        <f t="shared" si="14"/>
        <v>100</v>
      </c>
      <c r="X33" s="1355"/>
      <c r="Y33" s="376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2"/>
      <c r="Q34" s="707" t="str">
        <f t="shared" si="11"/>
        <v>项目建筑规模</v>
      </c>
      <c r="R34" s="708" t="s">
        <v>14</v>
      </c>
      <c r="S34" s="709" t="e">
        <f t="shared" si="12"/>
        <v>#N/A</v>
      </c>
      <c r="T34" s="708" t="s">
        <v>14</v>
      </c>
      <c r="U34" s="709" t="e">
        <f t="shared" si="13"/>
        <v>#N/A</v>
      </c>
      <c r="V34" s="708" t="s">
        <v>14</v>
      </c>
      <c r="W34" s="709" t="e">
        <f t="shared" si="14"/>
        <v>#N/A</v>
      </c>
      <c r="X34" s="710"/>
      <c r="Y34" s="376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2"/>
      <c r="Q35" s="1352" t="str">
        <f t="shared" si="11"/>
        <v>建筑结构</v>
      </c>
      <c r="R35" s="705" t="s">
        <v>14</v>
      </c>
      <c r="S35" s="706">
        <f t="shared" si="12"/>
        <v>100</v>
      </c>
      <c r="T35" s="705" t="s">
        <v>14</v>
      </c>
      <c r="U35" s="706">
        <f t="shared" si="13"/>
        <v>100</v>
      </c>
      <c r="V35" s="705" t="s">
        <v>14</v>
      </c>
      <c r="W35" s="706">
        <f t="shared" si="14"/>
        <v>100</v>
      </c>
      <c r="X35" s="1355"/>
      <c r="Y35" s="376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2"/>
      <c r="Q36" s="1352" t="str">
        <f t="shared" si="11"/>
        <v>公共部分装修</v>
      </c>
      <c r="R36" s="705" t="s">
        <v>14</v>
      </c>
      <c r="S36" s="706">
        <f t="shared" si="12"/>
        <v>100</v>
      </c>
      <c r="T36" s="705" t="s">
        <v>14</v>
      </c>
      <c r="U36" s="706">
        <f t="shared" si="13"/>
        <v>100</v>
      </c>
      <c r="V36" s="705" t="s">
        <v>14</v>
      </c>
      <c r="W36" s="706">
        <f t="shared" si="14"/>
        <v>100</v>
      </c>
      <c r="X36" s="1355"/>
      <c r="Y36" s="376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2"/>
      <c r="Q37" s="1352" t="str">
        <f t="shared" si="11"/>
        <v>成新度</v>
      </c>
      <c r="R37" s="705" t="s">
        <v>14</v>
      </c>
      <c r="S37" s="706" t="e">
        <f t="shared" si="12"/>
        <v>#N/A</v>
      </c>
      <c r="T37" s="705" t="s">
        <v>14</v>
      </c>
      <c r="U37" s="706" t="e">
        <f t="shared" si="13"/>
        <v>#N/A</v>
      </c>
      <c r="V37" s="705" t="s">
        <v>14</v>
      </c>
      <c r="W37" s="706" t="e">
        <f t="shared" si="14"/>
        <v>#N/A</v>
      </c>
      <c r="X37" s="1355"/>
      <c r="Y37" s="376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2"/>
      <c r="Q38" s="1343" t="str">
        <f t="shared" si="11"/>
        <v>写字楼等级</v>
      </c>
      <c r="R38" s="701" t="s">
        <v>14</v>
      </c>
      <c r="S38" s="702">
        <f t="shared" si="12"/>
        <v>100</v>
      </c>
      <c r="T38" s="701" t="s">
        <v>14</v>
      </c>
      <c r="U38" s="702">
        <f t="shared" si="13"/>
        <v>100</v>
      </c>
      <c r="V38" s="701" t="s">
        <v>14</v>
      </c>
      <c r="W38" s="702">
        <f t="shared" si="14"/>
        <v>100</v>
      </c>
      <c r="X38" s="703"/>
      <c r="Y38" s="376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2" t="s">
        <v>1695</v>
      </c>
      <c r="Q39" s="1352" t="str">
        <f t="shared" si="11"/>
        <v>物业管理</v>
      </c>
      <c r="R39" s="705" t="s">
        <v>14</v>
      </c>
      <c r="S39" s="706">
        <f t="shared" si="12"/>
        <v>100</v>
      </c>
      <c r="T39" s="705" t="s">
        <v>14</v>
      </c>
      <c r="U39" s="706">
        <f t="shared" si="13"/>
        <v>100</v>
      </c>
      <c r="V39" s="705" t="s">
        <v>14</v>
      </c>
      <c r="W39" s="706">
        <f t="shared" si="14"/>
        <v>100</v>
      </c>
      <c r="X39" s="1355"/>
      <c r="Y39" s="376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2"/>
      <c r="Q40" s="1352" t="str">
        <f t="shared" si="11"/>
        <v>市政基础设施</v>
      </c>
      <c r="R40" s="705" t="s">
        <v>14</v>
      </c>
      <c r="S40" s="706">
        <f t="shared" si="12"/>
        <v>100</v>
      </c>
      <c r="T40" s="705" t="s">
        <v>14</v>
      </c>
      <c r="U40" s="706">
        <f t="shared" si="13"/>
        <v>100</v>
      </c>
      <c r="V40" s="705" t="s">
        <v>14</v>
      </c>
      <c r="W40" s="706">
        <f t="shared" si="14"/>
        <v>100</v>
      </c>
      <c r="X40" s="1355"/>
      <c r="Y40" s="376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2"/>
      <c r="Q41" s="1352" t="str">
        <f t="shared" si="11"/>
        <v>层高</v>
      </c>
      <c r="R41" s="705" t="s">
        <v>14</v>
      </c>
      <c r="S41" s="706">
        <f t="shared" si="12"/>
        <v>100</v>
      </c>
      <c r="T41" s="705" t="s">
        <v>14</v>
      </c>
      <c r="U41" s="706">
        <f t="shared" si="13"/>
        <v>100</v>
      </c>
      <c r="V41" s="705" t="s">
        <v>14</v>
      </c>
      <c r="W41" s="706">
        <f t="shared" si="14"/>
        <v>100</v>
      </c>
      <c r="X41" s="1355"/>
      <c r="Y41" s="376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2"/>
      <c r="Q42" s="707" t="str">
        <f t="shared" si="11"/>
        <v>单套建筑面积</v>
      </c>
      <c r="R42" s="708" t="s">
        <v>14</v>
      </c>
      <c r="S42" s="709">
        <f t="shared" si="12"/>
        <v>100</v>
      </c>
      <c r="T42" s="708" t="s">
        <v>14</v>
      </c>
      <c r="U42" s="709">
        <f t="shared" si="13"/>
        <v>100</v>
      </c>
      <c r="V42" s="708" t="s">
        <v>14</v>
      </c>
      <c r="W42" s="709">
        <f t="shared" si="14"/>
        <v>100</v>
      </c>
      <c r="X42" s="710"/>
      <c r="Y42" s="376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2"/>
      <c r="Q43" s="1352" t="str">
        <f t="shared" si="11"/>
        <v>内部装修</v>
      </c>
      <c r="R43" s="705" t="s">
        <v>14</v>
      </c>
      <c r="S43" s="706">
        <f t="shared" si="12"/>
        <v>100</v>
      </c>
      <c r="T43" s="705" t="s">
        <v>14</v>
      </c>
      <c r="U43" s="706">
        <f t="shared" si="13"/>
        <v>100</v>
      </c>
      <c r="V43" s="705" t="s">
        <v>14</v>
      </c>
      <c r="W43" s="706">
        <f t="shared" si="14"/>
        <v>100</v>
      </c>
      <c r="X43" s="1355"/>
      <c r="Y43" s="3764"/>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2"/>
      <c r="Q44" s="1352" t="str">
        <f t="shared" si="11"/>
        <v>内部装修维护情况</v>
      </c>
      <c r="R44" s="705" t="s">
        <v>14</v>
      </c>
      <c r="S44" s="706">
        <f t="shared" si="12"/>
        <v>100</v>
      </c>
      <c r="T44" s="705" t="s">
        <v>14</v>
      </c>
      <c r="U44" s="706">
        <f t="shared" si="13"/>
        <v>100</v>
      </c>
      <c r="V44" s="705" t="s">
        <v>14</v>
      </c>
      <c r="W44" s="706">
        <f t="shared" si="14"/>
        <v>100</v>
      </c>
      <c r="X44" s="1355"/>
      <c r="Y44" s="37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2"/>
      <c r="Q45" s="1343">
        <f t="shared" si="11"/>
        <v>111</v>
      </c>
      <c r="R45" s="701" t="s">
        <v>14</v>
      </c>
      <c r="S45" s="702">
        <f t="shared" si="12"/>
        <v>100</v>
      </c>
      <c r="T45" s="701" t="s">
        <v>14</v>
      </c>
      <c r="U45" s="702">
        <f t="shared" si="13"/>
        <v>100</v>
      </c>
      <c r="V45" s="701" t="s">
        <v>14</v>
      </c>
      <c r="W45" s="702">
        <f t="shared" si="14"/>
        <v>100</v>
      </c>
      <c r="X45" s="703"/>
      <c r="Y45" s="37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2"/>
      <c r="Q46" s="1352">
        <f t="shared" si="11"/>
        <v>111</v>
      </c>
      <c r="R46" s="705" t="s">
        <v>14</v>
      </c>
      <c r="S46" s="706">
        <f t="shared" si="12"/>
        <v>100</v>
      </c>
      <c r="T46" s="705" t="s">
        <v>14</v>
      </c>
      <c r="U46" s="706">
        <f t="shared" si="13"/>
        <v>100</v>
      </c>
      <c r="V46" s="705" t="s">
        <v>14</v>
      </c>
      <c r="W46" s="706">
        <f t="shared" si="14"/>
        <v>100</v>
      </c>
      <c r="X46" s="1355"/>
      <c r="Y46" s="376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3"/>
      <c r="Q47" s="1352">
        <f t="shared" si="11"/>
        <v>111</v>
      </c>
      <c r="R47" s="705" t="s">
        <v>14</v>
      </c>
      <c r="S47" s="706">
        <f t="shared" si="12"/>
        <v>100</v>
      </c>
      <c r="T47" s="705" t="s">
        <v>14</v>
      </c>
      <c r="U47" s="706">
        <f t="shared" si="13"/>
        <v>100</v>
      </c>
      <c r="V47" s="705" t="s">
        <v>14</v>
      </c>
      <c r="W47" s="706">
        <f t="shared" si="14"/>
        <v>100</v>
      </c>
      <c r="X47" s="1355"/>
      <c r="Y47" s="3765"/>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9" t="str">
        <f>A48</f>
        <v>成交单价（元/平方米）</v>
      </c>
      <c r="Q48" s="3757"/>
      <c r="R48" s="3758">
        <f>E48</f>
        <v>0</v>
      </c>
      <c r="S48" s="3758"/>
      <c r="T48" s="3758">
        <f>G48</f>
        <v>0</v>
      </c>
      <c r="U48" s="3758"/>
      <c r="V48" s="3758">
        <f>I48</f>
        <v>0</v>
      </c>
      <c r="W48" s="3758"/>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9" t="str">
        <f>A49</f>
        <v>比较价值（元/平方米）</v>
      </c>
      <c r="Q49" s="3757"/>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85" t="str">
        <f>A50</f>
        <v>估价对象XX用房的比较价值（楼面单价，元/平方米）</v>
      </c>
      <c r="Q50" s="3786"/>
      <c r="R50" s="3787" t="e">
        <f>IF(F1="售价",ROUND(IF(D49="简单平均",AVERAGE(R49:V49),R49*F49+T49*H49+V49*J49),0),ROUND(IF(D49="简单平均",AVERAGE(R49:V49),R49*F49+T49*H49+V49*J49),1))</f>
        <v>#DIV/0!</v>
      </c>
      <c r="S50" s="3787"/>
      <c r="T50" s="3787"/>
      <c r="U50" s="3787"/>
      <c r="V50" s="3787"/>
      <c r="W50" s="378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913"/>
      <c r="M4" s="914"/>
      <c r="N4" s="914"/>
      <c r="O4" s="914"/>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913"/>
      <c r="M5" s="914"/>
      <c r="N5" s="914"/>
      <c r="O5" s="914"/>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913"/>
      <c r="M6" s="914"/>
      <c r="N6" s="914"/>
      <c r="O6" s="914"/>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7"/>
      <c r="Q11" s="1343"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9" t="s">
        <v>1691</v>
      </c>
      <c r="Q15" s="1352" t="str">
        <f t="shared" si="6"/>
        <v>产业集聚程度</v>
      </c>
      <c r="R15" s="705" t="s">
        <v>14</v>
      </c>
      <c r="S15" s="706">
        <f t="shared" si="0"/>
        <v>100</v>
      </c>
      <c r="T15" s="705" t="s">
        <v>14</v>
      </c>
      <c r="U15" s="706">
        <f t="shared" si="1"/>
        <v>100</v>
      </c>
      <c r="V15" s="705" t="s">
        <v>14</v>
      </c>
      <c r="W15" s="706">
        <f t="shared" si="2"/>
        <v>100</v>
      </c>
      <c r="X15" s="1355"/>
      <c r="Y15" s="375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0"/>
      <c r="Q16" s="1352"/>
      <c r="R16" s="705"/>
      <c r="S16" s="706"/>
      <c r="T16" s="705"/>
      <c r="U16" s="706"/>
      <c r="V16" s="705"/>
      <c r="W16" s="706"/>
      <c r="X16" s="1355"/>
      <c r="Y16" s="376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0"/>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0"/>
      <c r="Q18" s="1352"/>
      <c r="R18" s="705"/>
      <c r="S18" s="706"/>
      <c r="T18" s="705"/>
      <c r="U18" s="706"/>
      <c r="V18" s="705"/>
      <c r="W18" s="706"/>
      <c r="X18" s="1355"/>
      <c r="Y18" s="3760"/>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0"/>
      <c r="Q19" s="1352" t="str">
        <f>B19</f>
        <v>公共配套设施</v>
      </c>
      <c r="R19" s="705" t="s">
        <v>14</v>
      </c>
      <c r="S19" s="706">
        <f>F19</f>
        <v>100</v>
      </c>
      <c r="T19" s="705" t="s">
        <v>14</v>
      </c>
      <c r="U19" s="706">
        <f>H19</f>
        <v>100</v>
      </c>
      <c r="V19" s="705" t="s">
        <v>14</v>
      </c>
      <c r="W19" s="706">
        <f>J19</f>
        <v>100</v>
      </c>
      <c r="X19" s="1355"/>
      <c r="Y19" s="37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0"/>
      <c r="Q20" s="1352"/>
      <c r="R20" s="705"/>
      <c r="S20" s="706"/>
      <c r="T20" s="705"/>
      <c r="U20" s="706"/>
      <c r="V20" s="705"/>
      <c r="W20" s="706"/>
      <c r="X20" s="1355"/>
      <c r="Y20" s="3760"/>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0"/>
      <c r="Q21" s="1352" t="str">
        <f>B21</f>
        <v>基础设施水平</v>
      </c>
      <c r="R21" s="705" t="s">
        <v>14</v>
      </c>
      <c r="S21" s="706">
        <f>F21</f>
        <v>100</v>
      </c>
      <c r="T21" s="705" t="s">
        <v>14</v>
      </c>
      <c r="U21" s="706">
        <f>H21</f>
        <v>100</v>
      </c>
      <c r="V21" s="705" t="s">
        <v>14</v>
      </c>
      <c r="W21" s="706">
        <f>J21</f>
        <v>100</v>
      </c>
      <c r="X21" s="1355"/>
      <c r="Y21" s="37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0"/>
      <c r="Q22" s="1352"/>
      <c r="R22" s="705"/>
      <c r="S22" s="706"/>
      <c r="T22" s="705"/>
      <c r="U22" s="706"/>
      <c r="V22" s="705"/>
      <c r="W22" s="706"/>
      <c r="X22" s="1355"/>
      <c r="Y22" s="3760"/>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0"/>
      <c r="Q23" s="1352" t="str">
        <f>B23</f>
        <v>环境质量</v>
      </c>
      <c r="R23" s="705" t="s">
        <v>14</v>
      </c>
      <c r="S23" s="706">
        <f>F23</f>
        <v>100</v>
      </c>
      <c r="T23" s="705" t="s">
        <v>14</v>
      </c>
      <c r="U23" s="706">
        <f>H23</f>
        <v>100</v>
      </c>
      <c r="V23" s="705" t="s">
        <v>14</v>
      </c>
      <c r="W23" s="706">
        <f>J23</f>
        <v>100</v>
      </c>
      <c r="X23" s="1355"/>
      <c r="Y23" s="37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0"/>
      <c r="Q24" s="1352"/>
      <c r="R24" s="705"/>
      <c r="S24" s="706"/>
      <c r="T24" s="705"/>
      <c r="U24" s="706"/>
      <c r="V24" s="705"/>
      <c r="W24" s="706"/>
      <c r="X24" s="1355"/>
      <c r="Y24" s="37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0"/>
      <c r="Q25" s="1352">
        <f>B25</f>
        <v>111</v>
      </c>
      <c r="R25" s="705" t="s">
        <v>14</v>
      </c>
      <c r="S25" s="706">
        <f>F25</f>
        <v>100</v>
      </c>
      <c r="T25" s="705" t="s">
        <v>14</v>
      </c>
      <c r="U25" s="706">
        <f>H25</f>
        <v>100</v>
      </c>
      <c r="V25" s="705" t="s">
        <v>14</v>
      </c>
      <c r="W25" s="706">
        <f>J25</f>
        <v>100</v>
      </c>
      <c r="X25" s="1355"/>
      <c r="Y25" s="37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0"/>
      <c r="Q26" s="1352">
        <f t="shared" ref="Q26:Q40" si="11">B26</f>
        <v>111</v>
      </c>
      <c r="R26" s="705" t="s">
        <v>14</v>
      </c>
      <c r="S26" s="706">
        <f>F26</f>
        <v>100</v>
      </c>
      <c r="T26" s="705" t="s">
        <v>14</v>
      </c>
      <c r="U26" s="706">
        <f>H26</f>
        <v>100</v>
      </c>
      <c r="V26" s="705" t="s">
        <v>14</v>
      </c>
      <c r="W26" s="706">
        <f>J26</f>
        <v>100</v>
      </c>
      <c r="X26" s="1355"/>
      <c r="Y26" s="37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0"/>
      <c r="Q27" s="1343">
        <f t="shared" si="11"/>
        <v>111</v>
      </c>
      <c r="R27" s="701" t="s">
        <v>14</v>
      </c>
      <c r="S27" s="702">
        <f>F27</f>
        <v>100</v>
      </c>
      <c r="T27" s="701" t="s">
        <v>14</v>
      </c>
      <c r="U27" s="702">
        <f>H27</f>
        <v>100</v>
      </c>
      <c r="V27" s="701" t="s">
        <v>14</v>
      </c>
      <c r="W27" s="702">
        <f>J27</f>
        <v>100</v>
      </c>
      <c r="X27" s="703"/>
      <c r="Y27" s="376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0"/>
      <c r="Q28" s="1352">
        <f t="shared" si="11"/>
        <v>111</v>
      </c>
      <c r="R28" s="705" t="s">
        <v>14</v>
      </c>
      <c r="S28" s="706">
        <f t="shared" ref="S28:S40" si="12">F28</f>
        <v>100</v>
      </c>
      <c r="T28" s="705" t="s">
        <v>14</v>
      </c>
      <c r="U28" s="706">
        <f t="shared" ref="U28:U40" si="13">H28</f>
        <v>100</v>
      </c>
      <c r="V28" s="705" t="s">
        <v>14</v>
      </c>
      <c r="W28" s="706">
        <f t="shared" ref="W28:W40" si="14">J28</f>
        <v>100</v>
      </c>
      <c r="X28" s="1355"/>
      <c r="Y28" s="3760"/>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8" t="s">
        <v>1695</v>
      </c>
      <c r="Q29" s="1352" t="str">
        <f t="shared" si="11"/>
        <v>建筑类型</v>
      </c>
      <c r="R29" s="705" t="s">
        <v>14</v>
      </c>
      <c r="S29" s="706">
        <f t="shared" si="12"/>
        <v>100</v>
      </c>
      <c r="T29" s="705" t="s">
        <v>14</v>
      </c>
      <c r="U29" s="706">
        <f t="shared" si="13"/>
        <v>100</v>
      </c>
      <c r="V29" s="705" t="s">
        <v>14</v>
      </c>
      <c r="W29" s="706">
        <f t="shared" si="14"/>
        <v>100</v>
      </c>
      <c r="X29" s="1355"/>
      <c r="Y29" s="376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4"/>
      <c r="Q30" s="707" t="str">
        <f t="shared" si="11"/>
        <v>项目建筑规模</v>
      </c>
      <c r="R30" s="708" t="s">
        <v>14</v>
      </c>
      <c r="S30" s="709" t="e">
        <f t="shared" si="12"/>
        <v>#N/A</v>
      </c>
      <c r="T30" s="708" t="s">
        <v>14</v>
      </c>
      <c r="U30" s="709" t="e">
        <f t="shared" si="13"/>
        <v>#N/A</v>
      </c>
      <c r="V30" s="708" t="s">
        <v>14</v>
      </c>
      <c r="W30" s="709" t="e">
        <f t="shared" si="14"/>
        <v>#N/A</v>
      </c>
      <c r="X30" s="710"/>
      <c r="Y30" s="376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4"/>
      <c r="Q31" s="1352" t="str">
        <f t="shared" si="11"/>
        <v>建筑结构</v>
      </c>
      <c r="R31" s="705" t="s">
        <v>14</v>
      </c>
      <c r="S31" s="706">
        <f t="shared" si="12"/>
        <v>100</v>
      </c>
      <c r="T31" s="705" t="s">
        <v>14</v>
      </c>
      <c r="U31" s="706">
        <f t="shared" si="13"/>
        <v>100</v>
      </c>
      <c r="V31" s="705" t="s">
        <v>14</v>
      </c>
      <c r="W31" s="706">
        <f t="shared" si="14"/>
        <v>100</v>
      </c>
      <c r="X31" s="1355"/>
      <c r="Y31" s="376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4"/>
      <c r="Q32" s="1352" t="str">
        <f t="shared" si="11"/>
        <v>公共部分装修</v>
      </c>
      <c r="R32" s="705" t="s">
        <v>14</v>
      </c>
      <c r="S32" s="706">
        <f t="shared" si="12"/>
        <v>100</v>
      </c>
      <c r="T32" s="705" t="s">
        <v>14</v>
      </c>
      <c r="U32" s="706">
        <f t="shared" si="13"/>
        <v>100</v>
      </c>
      <c r="V32" s="705" t="s">
        <v>14</v>
      </c>
      <c r="W32" s="706">
        <f t="shared" si="14"/>
        <v>100</v>
      </c>
      <c r="X32" s="1355"/>
      <c r="Y32" s="376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4"/>
      <c r="Q33" s="1352" t="str">
        <f t="shared" si="11"/>
        <v>成新度</v>
      </c>
      <c r="R33" s="705" t="s">
        <v>14</v>
      </c>
      <c r="S33" s="706" t="e">
        <f t="shared" si="12"/>
        <v>#N/A</v>
      </c>
      <c r="T33" s="705" t="s">
        <v>14</v>
      </c>
      <c r="U33" s="706" t="e">
        <f t="shared" si="13"/>
        <v>#N/A</v>
      </c>
      <c r="V33" s="705" t="s">
        <v>14</v>
      </c>
      <c r="W33" s="706" t="e">
        <f t="shared" si="14"/>
        <v>#N/A</v>
      </c>
      <c r="X33" s="1355"/>
      <c r="Y33" s="376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4"/>
      <c r="Q34" s="1343" t="str">
        <f t="shared" si="11"/>
        <v>物业管理</v>
      </c>
      <c r="R34" s="701" t="s">
        <v>14</v>
      </c>
      <c r="S34" s="702">
        <f t="shared" si="12"/>
        <v>100</v>
      </c>
      <c r="T34" s="701" t="s">
        <v>14</v>
      </c>
      <c r="U34" s="702">
        <f t="shared" si="13"/>
        <v>100</v>
      </c>
      <c r="V34" s="701" t="s">
        <v>14</v>
      </c>
      <c r="W34" s="702">
        <f t="shared" si="14"/>
        <v>100</v>
      </c>
      <c r="X34" s="703"/>
      <c r="Y34" s="376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4" t="s">
        <v>1695</v>
      </c>
      <c r="Q35" s="1352" t="str">
        <f t="shared" si="11"/>
        <v>市政基础设施</v>
      </c>
      <c r="R35" s="705" t="s">
        <v>14</v>
      </c>
      <c r="S35" s="706">
        <f t="shared" si="12"/>
        <v>100</v>
      </c>
      <c r="T35" s="705" t="s">
        <v>14</v>
      </c>
      <c r="U35" s="706">
        <f t="shared" si="13"/>
        <v>100</v>
      </c>
      <c r="V35" s="705" t="s">
        <v>14</v>
      </c>
      <c r="W35" s="706">
        <f t="shared" si="14"/>
        <v>100</v>
      </c>
      <c r="X35" s="1355"/>
      <c r="Y35" s="376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4"/>
      <c r="Q36" s="1352" t="str">
        <f t="shared" si="11"/>
        <v>内部装修</v>
      </c>
      <c r="R36" s="705" t="s">
        <v>14</v>
      </c>
      <c r="S36" s="706">
        <f t="shared" si="12"/>
        <v>100</v>
      </c>
      <c r="T36" s="705" t="s">
        <v>14</v>
      </c>
      <c r="U36" s="706">
        <f t="shared" si="13"/>
        <v>100</v>
      </c>
      <c r="V36" s="705" t="s">
        <v>14</v>
      </c>
      <c r="W36" s="706">
        <f t="shared" si="14"/>
        <v>100</v>
      </c>
      <c r="X36" s="1355"/>
      <c r="Y36" s="376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4"/>
      <c r="Q37" s="1352" t="str">
        <f t="shared" si="11"/>
        <v>内部装修状况</v>
      </c>
      <c r="R37" s="705" t="s">
        <v>14</v>
      </c>
      <c r="S37" s="706">
        <f t="shared" si="12"/>
        <v>100</v>
      </c>
      <c r="T37" s="705" t="s">
        <v>14</v>
      </c>
      <c r="U37" s="706">
        <f t="shared" si="13"/>
        <v>100</v>
      </c>
      <c r="V37" s="705" t="s">
        <v>14</v>
      </c>
      <c r="W37" s="706">
        <f t="shared" si="14"/>
        <v>100</v>
      </c>
      <c r="X37" s="1355"/>
      <c r="Y37" s="37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4"/>
      <c r="Q38" s="707">
        <f t="shared" si="11"/>
        <v>111</v>
      </c>
      <c r="R38" s="708" t="s">
        <v>14</v>
      </c>
      <c r="S38" s="709">
        <f t="shared" si="12"/>
        <v>100</v>
      </c>
      <c r="T38" s="708" t="s">
        <v>14</v>
      </c>
      <c r="U38" s="709">
        <f t="shared" si="13"/>
        <v>100</v>
      </c>
      <c r="V38" s="708" t="s">
        <v>14</v>
      </c>
      <c r="W38" s="709">
        <f t="shared" si="14"/>
        <v>100</v>
      </c>
      <c r="X38" s="710"/>
      <c r="Y38" s="37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4"/>
      <c r="Q39" s="1352">
        <f t="shared" si="11"/>
        <v>111</v>
      </c>
      <c r="R39" s="705" t="s">
        <v>14</v>
      </c>
      <c r="S39" s="706">
        <f t="shared" si="12"/>
        <v>100</v>
      </c>
      <c r="T39" s="705" t="s">
        <v>14</v>
      </c>
      <c r="U39" s="706">
        <f t="shared" si="13"/>
        <v>100</v>
      </c>
      <c r="V39" s="705" t="s">
        <v>14</v>
      </c>
      <c r="W39" s="706">
        <f t="shared" si="14"/>
        <v>100</v>
      </c>
      <c r="X39" s="1355"/>
      <c r="Y39" s="376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5"/>
      <c r="Q40" s="1352">
        <f t="shared" si="11"/>
        <v>111</v>
      </c>
      <c r="R40" s="705" t="s">
        <v>14</v>
      </c>
      <c r="S40" s="706">
        <f t="shared" si="12"/>
        <v>100</v>
      </c>
      <c r="T40" s="705" t="s">
        <v>14</v>
      </c>
      <c r="U40" s="706">
        <f t="shared" si="13"/>
        <v>100</v>
      </c>
      <c r="V40" s="705" t="s">
        <v>14</v>
      </c>
      <c r="W40" s="706">
        <f t="shared" si="14"/>
        <v>100</v>
      </c>
      <c r="X40" s="1355"/>
      <c r="Y40" s="3765"/>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7" t="str">
        <f>A41</f>
        <v>成交单价（元/平方米）</v>
      </c>
      <c r="Q41" s="3757"/>
      <c r="R41" s="3758">
        <f>E41</f>
        <v>0</v>
      </c>
      <c r="S41" s="3758"/>
      <c r="T41" s="3758">
        <f>G41</f>
        <v>0</v>
      </c>
      <c r="U41" s="3758"/>
      <c r="V41" s="3758">
        <f>I41</f>
        <v>0</v>
      </c>
      <c r="W41" s="3758"/>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3" t="s">
        <v>1680</v>
      </c>
      <c r="Q7" s="3753"/>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7"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7"/>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9" t="s">
        <v>1691</v>
      </c>
      <c r="Q14" s="1352" t="str">
        <f t="shared" si="6"/>
        <v>交通便捷度</v>
      </c>
      <c r="R14" s="705" t="s">
        <v>14</v>
      </c>
      <c r="S14" s="706">
        <f t="shared" si="0"/>
        <v>100</v>
      </c>
      <c r="T14" s="705" t="s">
        <v>14</v>
      </c>
      <c r="U14" s="706">
        <f t="shared" si="1"/>
        <v>100</v>
      </c>
      <c r="V14" s="705" t="s">
        <v>14</v>
      </c>
      <c r="W14" s="706">
        <f t="shared" si="2"/>
        <v>100</v>
      </c>
      <c r="X14" s="1355"/>
      <c r="Y14" s="375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0"/>
      <c r="Q15" s="1352"/>
      <c r="R15" s="705"/>
      <c r="S15" s="706"/>
      <c r="T15" s="705"/>
      <c r="U15" s="706"/>
      <c r="V15" s="705"/>
      <c r="W15" s="706"/>
      <c r="X15" s="1355"/>
      <c r="Y15" s="3760"/>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0"/>
      <c r="Q16" s="1352" t="str">
        <f>B16</f>
        <v>公共配套设施</v>
      </c>
      <c r="R16" s="705" t="s">
        <v>14</v>
      </c>
      <c r="S16" s="706">
        <f>F16</f>
        <v>100</v>
      </c>
      <c r="T16" s="705" t="s">
        <v>14</v>
      </c>
      <c r="U16" s="706">
        <f>H16</f>
        <v>100</v>
      </c>
      <c r="V16" s="705" t="s">
        <v>14</v>
      </c>
      <c r="W16" s="706">
        <f>J16</f>
        <v>100</v>
      </c>
      <c r="X16" s="1355"/>
      <c r="Y16" s="37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0"/>
      <c r="Q17" s="1352"/>
      <c r="R17" s="705"/>
      <c r="S17" s="706"/>
      <c r="T17" s="705"/>
      <c r="U17" s="706"/>
      <c r="V17" s="705"/>
      <c r="W17" s="706"/>
      <c r="X17" s="1355"/>
      <c r="Y17" s="3760"/>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0"/>
      <c r="Q18" s="1352" t="str">
        <f>B18</f>
        <v>基础设施水平</v>
      </c>
      <c r="R18" s="705" t="s">
        <v>14</v>
      </c>
      <c r="S18" s="706">
        <f>F18</f>
        <v>100</v>
      </c>
      <c r="T18" s="705" t="s">
        <v>14</v>
      </c>
      <c r="U18" s="706">
        <f>H18</f>
        <v>100</v>
      </c>
      <c r="V18" s="705" t="s">
        <v>14</v>
      </c>
      <c r="W18" s="706">
        <f>J18</f>
        <v>100</v>
      </c>
      <c r="X18" s="1355"/>
      <c r="Y18" s="37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0"/>
      <c r="Q19" s="1352"/>
      <c r="R19" s="705"/>
      <c r="S19" s="706"/>
      <c r="T19" s="705"/>
      <c r="U19" s="706"/>
      <c r="V19" s="705"/>
      <c r="W19" s="706"/>
      <c r="X19" s="1355"/>
      <c r="Y19" s="3760"/>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0"/>
      <c r="Q20" s="1352" t="str">
        <f>B20</f>
        <v>自然及人文环境</v>
      </c>
      <c r="R20" s="705" t="s">
        <v>14</v>
      </c>
      <c r="S20" s="706">
        <f>F20</f>
        <v>100</v>
      </c>
      <c r="T20" s="705" t="s">
        <v>14</v>
      </c>
      <c r="U20" s="706">
        <f>H20</f>
        <v>100</v>
      </c>
      <c r="V20" s="705" t="s">
        <v>14</v>
      </c>
      <c r="W20" s="706">
        <f>J20</f>
        <v>100</v>
      </c>
      <c r="X20" s="1355"/>
      <c r="Y20" s="37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0"/>
      <c r="Q21" s="1352"/>
      <c r="R21" s="705"/>
      <c r="S21" s="706"/>
      <c r="T21" s="705"/>
      <c r="U21" s="706"/>
      <c r="V21" s="705"/>
      <c r="W21" s="706"/>
      <c r="X21" s="1355"/>
      <c r="Y21" s="376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0"/>
      <c r="Q22" s="1352" t="str">
        <f>B22</f>
        <v>楼层</v>
      </c>
      <c r="R22" s="705" t="s">
        <v>14</v>
      </c>
      <c r="S22" s="706">
        <f>F22</f>
        <v>100</v>
      </c>
      <c r="T22" s="705" t="s">
        <v>14</v>
      </c>
      <c r="U22" s="706">
        <f>H22</f>
        <v>100</v>
      </c>
      <c r="V22" s="705" t="s">
        <v>14</v>
      </c>
      <c r="W22" s="706">
        <f>J22</f>
        <v>100</v>
      </c>
      <c r="X22" s="1355"/>
      <c r="Y22" s="37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0"/>
      <c r="Q23" s="1352">
        <f>B23</f>
        <v>111</v>
      </c>
      <c r="R23" s="705" t="s">
        <v>14</v>
      </c>
      <c r="S23" s="706">
        <f>F23</f>
        <v>100</v>
      </c>
      <c r="T23" s="705" t="s">
        <v>14</v>
      </c>
      <c r="U23" s="706">
        <f>H23</f>
        <v>100</v>
      </c>
      <c r="V23" s="705" t="s">
        <v>14</v>
      </c>
      <c r="W23" s="706">
        <f>J23</f>
        <v>100</v>
      </c>
      <c r="X23" s="1355"/>
      <c r="Y23" s="37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0"/>
      <c r="Q24" s="1352">
        <f t="shared" ref="Q24:Q36" si="11">B24</f>
        <v>111</v>
      </c>
      <c r="R24" s="705" t="s">
        <v>14</v>
      </c>
      <c r="S24" s="706">
        <f>F24</f>
        <v>100</v>
      </c>
      <c r="T24" s="705" t="s">
        <v>14</v>
      </c>
      <c r="U24" s="706">
        <f>H24</f>
        <v>100</v>
      </c>
      <c r="V24" s="705" t="s">
        <v>14</v>
      </c>
      <c r="W24" s="706">
        <f>J24</f>
        <v>100</v>
      </c>
      <c r="X24" s="1355"/>
      <c r="Y24" s="376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0"/>
      <c r="Q25" s="1343">
        <f t="shared" si="11"/>
        <v>111</v>
      </c>
      <c r="R25" s="701" t="s">
        <v>14</v>
      </c>
      <c r="S25" s="702">
        <f>F25</f>
        <v>100</v>
      </c>
      <c r="T25" s="701" t="s">
        <v>14</v>
      </c>
      <c r="U25" s="702">
        <f>H25</f>
        <v>100</v>
      </c>
      <c r="V25" s="701" t="s">
        <v>14</v>
      </c>
      <c r="W25" s="702">
        <f>J25</f>
        <v>100</v>
      </c>
      <c r="X25" s="703"/>
      <c r="Y25" s="3760"/>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64"/>
      <c r="Q27" s="707" t="str">
        <f t="shared" si="11"/>
        <v>项目停车位配比</v>
      </c>
      <c r="R27" s="708" t="s">
        <v>14</v>
      </c>
      <c r="S27" s="709">
        <f t="shared" si="12"/>
        <v>100</v>
      </c>
      <c r="T27" s="708" t="s">
        <v>14</v>
      </c>
      <c r="U27" s="709">
        <f t="shared" si="13"/>
        <v>100</v>
      </c>
      <c r="V27" s="708" t="s">
        <v>14</v>
      </c>
      <c r="W27" s="709">
        <f t="shared" si="14"/>
        <v>100</v>
      </c>
      <c r="X27" s="710"/>
      <c r="Y27" s="376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64"/>
      <c r="Q28" s="1352" t="str">
        <f t="shared" si="11"/>
        <v>公共部分装修</v>
      </c>
      <c r="R28" s="705" t="s">
        <v>14</v>
      </c>
      <c r="S28" s="706">
        <f t="shared" si="12"/>
        <v>100</v>
      </c>
      <c r="T28" s="705" t="s">
        <v>14</v>
      </c>
      <c r="U28" s="706">
        <f t="shared" si="13"/>
        <v>100</v>
      </c>
      <c r="V28" s="705" t="s">
        <v>14</v>
      </c>
      <c r="W28" s="706">
        <f t="shared" si="14"/>
        <v>100</v>
      </c>
      <c r="X28" s="1355"/>
      <c r="Y28" s="376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64"/>
      <c r="Q29" s="1352" t="str">
        <f t="shared" si="11"/>
        <v>成新率</v>
      </c>
      <c r="R29" s="705" t="s">
        <v>14</v>
      </c>
      <c r="S29" s="706" t="e">
        <f t="shared" si="12"/>
        <v>#N/A</v>
      </c>
      <c r="T29" s="705" t="s">
        <v>14</v>
      </c>
      <c r="U29" s="706" t="e">
        <f t="shared" si="13"/>
        <v>#N/A</v>
      </c>
      <c r="V29" s="705" t="s">
        <v>14</v>
      </c>
      <c r="W29" s="706" t="e">
        <f t="shared" si="14"/>
        <v>#N/A</v>
      </c>
      <c r="X29" s="1355"/>
      <c r="Y29" s="376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64"/>
      <c r="Q30" s="1352" t="str">
        <f t="shared" si="11"/>
        <v>物业等级</v>
      </c>
      <c r="R30" s="705" t="s">
        <v>14</v>
      </c>
      <c r="S30" s="706">
        <f t="shared" si="12"/>
        <v>100</v>
      </c>
      <c r="T30" s="705" t="s">
        <v>14</v>
      </c>
      <c r="U30" s="706">
        <f t="shared" si="13"/>
        <v>100</v>
      </c>
      <c r="V30" s="705" t="s">
        <v>14</v>
      </c>
      <c r="W30" s="706">
        <f t="shared" si="14"/>
        <v>100</v>
      </c>
      <c r="X30" s="1355"/>
      <c r="Y30" s="376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64"/>
      <c r="Q31" s="1343" t="str">
        <f t="shared" si="11"/>
        <v>停车位面积</v>
      </c>
      <c r="R31" s="701" t="s">
        <v>14</v>
      </c>
      <c r="S31" s="702" t="e">
        <f t="shared" si="12"/>
        <v>#N/A</v>
      </c>
      <c r="T31" s="701" t="s">
        <v>14</v>
      </c>
      <c r="U31" s="702" t="e">
        <f t="shared" si="13"/>
        <v>#N/A</v>
      </c>
      <c r="V31" s="701" t="s">
        <v>14</v>
      </c>
      <c r="W31" s="702" t="e">
        <f t="shared" si="14"/>
        <v>#N/A</v>
      </c>
      <c r="X31" s="703"/>
      <c r="Y31" s="376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64" t="s">
        <v>1695</v>
      </c>
      <c r="Q32" s="1352" t="str">
        <f t="shared" si="11"/>
        <v>车位类型</v>
      </c>
      <c r="R32" s="705" t="s">
        <v>14</v>
      </c>
      <c r="S32" s="706">
        <f t="shared" si="12"/>
        <v>100</v>
      </c>
      <c r="T32" s="705" t="s">
        <v>14</v>
      </c>
      <c r="U32" s="706">
        <f t="shared" si="13"/>
        <v>100</v>
      </c>
      <c r="V32" s="705" t="s">
        <v>14</v>
      </c>
      <c r="W32" s="706">
        <f t="shared" si="14"/>
        <v>100</v>
      </c>
      <c r="X32" s="1355"/>
      <c r="Y32" s="376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64"/>
      <c r="Q33" s="1352" t="str">
        <f t="shared" si="11"/>
        <v>是否直接入户</v>
      </c>
      <c r="R33" s="705" t="s">
        <v>14</v>
      </c>
      <c r="S33" s="706">
        <f t="shared" si="12"/>
        <v>100</v>
      </c>
      <c r="T33" s="705" t="s">
        <v>14</v>
      </c>
      <c r="U33" s="706">
        <f t="shared" si="13"/>
        <v>100</v>
      </c>
      <c r="V33" s="705" t="s">
        <v>14</v>
      </c>
      <c r="W33" s="706">
        <f t="shared" si="14"/>
        <v>100</v>
      </c>
      <c r="X33" s="1355"/>
      <c r="Y33" s="37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64"/>
      <c r="Q34" s="1352">
        <f t="shared" si="11"/>
        <v>111</v>
      </c>
      <c r="R34" s="705" t="s">
        <v>14</v>
      </c>
      <c r="S34" s="706">
        <f t="shared" si="12"/>
        <v>100</v>
      </c>
      <c r="T34" s="705" t="s">
        <v>14</v>
      </c>
      <c r="U34" s="706">
        <f t="shared" si="13"/>
        <v>100</v>
      </c>
      <c r="V34" s="705" t="s">
        <v>14</v>
      </c>
      <c r="W34" s="706">
        <f t="shared" si="14"/>
        <v>100</v>
      </c>
      <c r="X34" s="1355"/>
      <c r="Y34" s="37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64"/>
      <c r="Q35" s="707">
        <f t="shared" si="11"/>
        <v>111</v>
      </c>
      <c r="R35" s="708" t="s">
        <v>14</v>
      </c>
      <c r="S35" s="709">
        <f t="shared" si="12"/>
        <v>100</v>
      </c>
      <c r="T35" s="708" t="s">
        <v>14</v>
      </c>
      <c r="U35" s="709">
        <f t="shared" si="13"/>
        <v>100</v>
      </c>
      <c r="V35" s="708" t="s">
        <v>14</v>
      </c>
      <c r="W35" s="709">
        <f t="shared" si="14"/>
        <v>100</v>
      </c>
      <c r="X35" s="710"/>
      <c r="Y35" s="376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64"/>
      <c r="Q36" s="1352">
        <f t="shared" si="11"/>
        <v>111</v>
      </c>
      <c r="R36" s="705" t="s">
        <v>14</v>
      </c>
      <c r="S36" s="706">
        <f t="shared" si="12"/>
        <v>100</v>
      </c>
      <c r="T36" s="705" t="s">
        <v>14</v>
      </c>
      <c r="U36" s="706">
        <f t="shared" si="13"/>
        <v>100</v>
      </c>
      <c r="V36" s="705" t="s">
        <v>14</v>
      </c>
      <c r="W36" s="706">
        <f t="shared" si="14"/>
        <v>100</v>
      </c>
      <c r="X36" s="1355"/>
      <c r="Y36" s="3764"/>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57" t="str">
        <f>A37</f>
        <v>成交单价</v>
      </c>
      <c r="Q37" s="3757"/>
      <c r="R37" s="3758">
        <f>E37</f>
        <v>0</v>
      </c>
      <c r="S37" s="3758"/>
      <c r="T37" s="3758">
        <f>G37</f>
        <v>0</v>
      </c>
      <c r="U37" s="3758"/>
      <c r="V37" s="3758">
        <f>I37</f>
        <v>0</v>
      </c>
      <c r="W37" s="3758"/>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7" t="str">
        <f>A38</f>
        <v>比较价值（元/平方米）</v>
      </c>
      <c r="Q38" s="3757"/>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89" t="e">
        <f>IF(F1="售价",ROUND(IF(D38="简单平均",AVERAGE(R38:W38),R38*F38+T38*H38+V38*J38),0),ROUND(IF(D38="简单平均",AVERAGE(R38:V38),R38*F38+T38*H38+V38*J38),1))</f>
        <v>#DIV/0!</v>
      </c>
      <c r="S39" s="3789"/>
      <c r="T39" s="3789"/>
      <c r="U39" s="3789"/>
      <c r="V39" s="3789"/>
      <c r="W39" s="378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3" t="s">
        <v>1680</v>
      </c>
      <c r="Q7" s="3753"/>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7" t="s">
        <v>1686</v>
      </c>
      <c r="Q9" s="1343"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7"/>
      <c r="Q10" s="1343"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7"/>
      <c r="Q11" s="1343">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9" t="s">
        <v>1691</v>
      </c>
      <c r="Q14" s="1352" t="str">
        <f t="shared" si="6"/>
        <v>交通便捷度</v>
      </c>
      <c r="R14" s="705" t="s">
        <v>14</v>
      </c>
      <c r="S14" s="706">
        <f t="shared" si="0"/>
        <v>100</v>
      </c>
      <c r="T14" s="705" t="s">
        <v>14</v>
      </c>
      <c r="U14" s="706">
        <f t="shared" si="1"/>
        <v>100</v>
      </c>
      <c r="V14" s="705" t="s">
        <v>14</v>
      </c>
      <c r="W14" s="706">
        <f t="shared" si="2"/>
        <v>100</v>
      </c>
      <c r="X14" s="1355"/>
      <c r="Y14" s="375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0"/>
      <c r="Q15" s="1352"/>
      <c r="R15" s="705"/>
      <c r="S15" s="706"/>
      <c r="T15" s="705"/>
      <c r="U15" s="706"/>
      <c r="V15" s="705"/>
      <c r="W15" s="706"/>
      <c r="X15" s="1355"/>
      <c r="Y15" s="3760"/>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0"/>
      <c r="Q16" s="1352" t="str">
        <f>B16</f>
        <v>公共配套设施</v>
      </c>
      <c r="R16" s="705" t="s">
        <v>14</v>
      </c>
      <c r="S16" s="706">
        <f>F16</f>
        <v>100</v>
      </c>
      <c r="T16" s="705" t="s">
        <v>14</v>
      </c>
      <c r="U16" s="706">
        <f>H16</f>
        <v>100</v>
      </c>
      <c r="V16" s="705" t="s">
        <v>14</v>
      </c>
      <c r="W16" s="706">
        <f>J16</f>
        <v>100</v>
      </c>
      <c r="X16" s="1355"/>
      <c r="Y16" s="37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0"/>
      <c r="Q17" s="1352"/>
      <c r="R17" s="705"/>
      <c r="S17" s="706"/>
      <c r="T17" s="705"/>
      <c r="U17" s="706"/>
      <c r="V17" s="705"/>
      <c r="W17" s="706"/>
      <c r="X17" s="1355"/>
      <c r="Y17" s="3760"/>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0"/>
      <c r="Q18" s="1352" t="str">
        <f>B18</f>
        <v>基础设施水平</v>
      </c>
      <c r="R18" s="705" t="s">
        <v>14</v>
      </c>
      <c r="S18" s="706">
        <f>F18</f>
        <v>100</v>
      </c>
      <c r="T18" s="705" t="s">
        <v>14</v>
      </c>
      <c r="U18" s="706">
        <f>H18</f>
        <v>100</v>
      </c>
      <c r="V18" s="705" t="s">
        <v>14</v>
      </c>
      <c r="W18" s="706">
        <f>J18</f>
        <v>100</v>
      </c>
      <c r="X18" s="1355"/>
      <c r="Y18" s="37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0"/>
      <c r="Q19" s="1352"/>
      <c r="R19" s="705"/>
      <c r="S19" s="706"/>
      <c r="T19" s="705"/>
      <c r="U19" s="706"/>
      <c r="V19" s="705"/>
      <c r="W19" s="706"/>
      <c r="X19" s="1355"/>
      <c r="Y19" s="3760"/>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0"/>
      <c r="Q20" s="1352" t="str">
        <f>B20</f>
        <v>自然及人文环境</v>
      </c>
      <c r="R20" s="705" t="s">
        <v>14</v>
      </c>
      <c r="S20" s="706">
        <f>F20</f>
        <v>100</v>
      </c>
      <c r="T20" s="705" t="s">
        <v>14</v>
      </c>
      <c r="U20" s="706">
        <f>H20</f>
        <v>100</v>
      </c>
      <c r="V20" s="705" t="s">
        <v>14</v>
      </c>
      <c r="W20" s="706">
        <f>J20</f>
        <v>100</v>
      </c>
      <c r="X20" s="1355"/>
      <c r="Y20" s="37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0"/>
      <c r="Q21" s="1352"/>
      <c r="R21" s="705"/>
      <c r="S21" s="706"/>
      <c r="T21" s="705"/>
      <c r="U21" s="706"/>
      <c r="V21" s="705"/>
      <c r="W21" s="706"/>
      <c r="X21" s="1355"/>
      <c r="Y21" s="376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0"/>
      <c r="Q22" s="1352" t="str">
        <f>B22</f>
        <v>楼层</v>
      </c>
      <c r="R22" s="705" t="s">
        <v>14</v>
      </c>
      <c r="S22" s="706">
        <f>F22</f>
        <v>100</v>
      </c>
      <c r="T22" s="705" t="s">
        <v>14</v>
      </c>
      <c r="U22" s="706">
        <f>H22</f>
        <v>100</v>
      </c>
      <c r="V22" s="705" t="s">
        <v>14</v>
      </c>
      <c r="W22" s="706">
        <f>J22</f>
        <v>100</v>
      </c>
      <c r="X22" s="1355"/>
      <c r="Y22" s="37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0"/>
      <c r="Q23" s="1352">
        <f>B23</f>
        <v>111</v>
      </c>
      <c r="R23" s="705" t="s">
        <v>14</v>
      </c>
      <c r="S23" s="706">
        <f>F23</f>
        <v>100</v>
      </c>
      <c r="T23" s="705" t="s">
        <v>14</v>
      </c>
      <c r="U23" s="706">
        <f>H23</f>
        <v>100</v>
      </c>
      <c r="V23" s="705" t="s">
        <v>14</v>
      </c>
      <c r="W23" s="706">
        <f>J23</f>
        <v>100</v>
      </c>
      <c r="X23" s="1355"/>
      <c r="Y23" s="37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0"/>
      <c r="Q24" s="1352">
        <f t="shared" ref="Q24:Q34" si="11">B24</f>
        <v>111</v>
      </c>
      <c r="R24" s="705" t="s">
        <v>14</v>
      </c>
      <c r="S24" s="706">
        <f>F24</f>
        <v>100</v>
      </c>
      <c r="T24" s="705" t="s">
        <v>14</v>
      </c>
      <c r="U24" s="706">
        <f>H24</f>
        <v>100</v>
      </c>
      <c r="V24" s="705" t="s">
        <v>14</v>
      </c>
      <c r="W24" s="706">
        <f>J24</f>
        <v>100</v>
      </c>
      <c r="X24" s="1355"/>
      <c r="Y24" s="376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0"/>
      <c r="Q25" s="1343">
        <f t="shared" si="11"/>
        <v>111</v>
      </c>
      <c r="R25" s="701" t="s">
        <v>14</v>
      </c>
      <c r="S25" s="702">
        <f>F25</f>
        <v>100</v>
      </c>
      <c r="T25" s="701" t="s">
        <v>14</v>
      </c>
      <c r="U25" s="702">
        <f>H25</f>
        <v>100</v>
      </c>
      <c r="V25" s="701" t="s">
        <v>14</v>
      </c>
      <c r="W25" s="702">
        <f>J25</f>
        <v>100</v>
      </c>
      <c r="X25" s="703"/>
      <c r="Y25" s="3760"/>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64"/>
      <c r="Q27" s="707" t="str">
        <f t="shared" si="11"/>
        <v>成新率</v>
      </c>
      <c r="R27" s="708" t="s">
        <v>14</v>
      </c>
      <c r="S27" s="709" t="e">
        <f t="shared" si="12"/>
        <v>#N/A</v>
      </c>
      <c r="T27" s="708" t="s">
        <v>14</v>
      </c>
      <c r="U27" s="709" t="e">
        <f t="shared" si="13"/>
        <v>#N/A</v>
      </c>
      <c r="V27" s="708" t="s">
        <v>14</v>
      </c>
      <c r="W27" s="709" t="e">
        <f t="shared" si="14"/>
        <v>#N/A</v>
      </c>
      <c r="X27" s="710"/>
      <c r="Y27" s="376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64"/>
      <c r="Q28" s="1352" t="str">
        <f t="shared" si="11"/>
        <v>物业等级</v>
      </c>
      <c r="R28" s="705" t="s">
        <v>14</v>
      </c>
      <c r="S28" s="706">
        <f t="shared" si="12"/>
        <v>100</v>
      </c>
      <c r="T28" s="705" t="s">
        <v>14</v>
      </c>
      <c r="U28" s="706">
        <f t="shared" si="13"/>
        <v>100</v>
      </c>
      <c r="V28" s="705" t="s">
        <v>14</v>
      </c>
      <c r="W28" s="706">
        <f t="shared" si="14"/>
        <v>100</v>
      </c>
      <c r="X28" s="1355"/>
      <c r="Y28" s="376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64"/>
      <c r="Q29" s="1352" t="str">
        <f t="shared" si="11"/>
        <v>有无电梯</v>
      </c>
      <c r="R29" s="705" t="s">
        <v>14</v>
      </c>
      <c r="S29" s="706">
        <f t="shared" si="12"/>
        <v>100</v>
      </c>
      <c r="T29" s="705" t="s">
        <v>14</v>
      </c>
      <c r="U29" s="706">
        <f t="shared" si="13"/>
        <v>100</v>
      </c>
      <c r="V29" s="705" t="s">
        <v>14</v>
      </c>
      <c r="W29" s="706">
        <f t="shared" si="14"/>
        <v>100</v>
      </c>
      <c r="X29" s="1355"/>
      <c r="Y29" s="376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64"/>
      <c r="Q30" s="1352" t="str">
        <f t="shared" si="11"/>
        <v>建筑面积</v>
      </c>
      <c r="R30" s="705" t="s">
        <v>14</v>
      </c>
      <c r="S30" s="706" t="e">
        <f t="shared" si="12"/>
        <v>#N/A</v>
      </c>
      <c r="T30" s="705" t="s">
        <v>14</v>
      </c>
      <c r="U30" s="706" t="e">
        <f t="shared" si="13"/>
        <v>#N/A</v>
      </c>
      <c r="V30" s="705" t="s">
        <v>14</v>
      </c>
      <c r="W30" s="706" t="e">
        <f t="shared" si="14"/>
        <v>#N/A</v>
      </c>
      <c r="X30" s="1355"/>
      <c r="Y30" s="376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64"/>
      <c r="Q31" s="1343" t="str">
        <f t="shared" si="11"/>
        <v>是否封闭</v>
      </c>
      <c r="R31" s="701" t="s">
        <v>14</v>
      </c>
      <c r="S31" s="702">
        <f t="shared" si="12"/>
        <v>100</v>
      </c>
      <c r="T31" s="701" t="s">
        <v>14</v>
      </c>
      <c r="U31" s="702">
        <f t="shared" si="13"/>
        <v>100</v>
      </c>
      <c r="V31" s="701" t="s">
        <v>14</v>
      </c>
      <c r="W31" s="702">
        <f t="shared" si="14"/>
        <v>100</v>
      </c>
      <c r="X31" s="703"/>
      <c r="Y31" s="37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64" t="s">
        <v>1695</v>
      </c>
      <c r="Q32" s="1352">
        <f t="shared" si="11"/>
        <v>111</v>
      </c>
      <c r="R32" s="705" t="s">
        <v>14</v>
      </c>
      <c r="S32" s="706">
        <f t="shared" si="12"/>
        <v>100</v>
      </c>
      <c r="T32" s="705" t="s">
        <v>14</v>
      </c>
      <c r="U32" s="706">
        <f t="shared" si="13"/>
        <v>100</v>
      </c>
      <c r="V32" s="705" t="s">
        <v>14</v>
      </c>
      <c r="W32" s="706">
        <f t="shared" si="14"/>
        <v>100</v>
      </c>
      <c r="X32" s="1355"/>
      <c r="Y32" s="376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64"/>
      <c r="Q33" s="1352">
        <f t="shared" si="11"/>
        <v>111</v>
      </c>
      <c r="R33" s="705" t="s">
        <v>14</v>
      </c>
      <c r="S33" s="706">
        <f t="shared" si="12"/>
        <v>100</v>
      </c>
      <c r="T33" s="705" t="s">
        <v>14</v>
      </c>
      <c r="U33" s="706">
        <f t="shared" si="13"/>
        <v>100</v>
      </c>
      <c r="V33" s="705" t="s">
        <v>14</v>
      </c>
      <c r="W33" s="706">
        <f t="shared" si="14"/>
        <v>100</v>
      </c>
      <c r="X33" s="1355"/>
      <c r="Y33" s="376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64"/>
      <c r="Q34" s="1352">
        <f t="shared" si="11"/>
        <v>111</v>
      </c>
      <c r="R34" s="705" t="s">
        <v>14</v>
      </c>
      <c r="S34" s="706">
        <f t="shared" si="12"/>
        <v>100</v>
      </c>
      <c r="T34" s="705" t="s">
        <v>14</v>
      </c>
      <c r="U34" s="706">
        <f t="shared" si="13"/>
        <v>100</v>
      </c>
      <c r="V34" s="705" t="s">
        <v>14</v>
      </c>
      <c r="W34" s="706">
        <f t="shared" si="14"/>
        <v>100</v>
      </c>
      <c r="X34" s="1355"/>
      <c r="Y34" s="3764"/>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7" t="str">
        <f>A35</f>
        <v>成交单价（元/平方米）</v>
      </c>
      <c r="Q35" s="3757"/>
      <c r="R35" s="3758">
        <f>E35</f>
        <v>0</v>
      </c>
      <c r="S35" s="3758"/>
      <c r="T35" s="3758">
        <f>G35</f>
        <v>0</v>
      </c>
      <c r="U35" s="3758"/>
      <c r="V35" s="3758">
        <f>I35</f>
        <v>0</v>
      </c>
      <c r="W35" s="3758"/>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89" t="e">
        <f>IF(F1="售价",ROUND(IF(D36="简单平均",AVERAGE(R36:W36),R36*F36+T36*H36+V36*J36),0),ROUND(IF(D36="简单平均",AVERAGE(R36:V36),R36*F36+T36*H36+V36*J36),1))</f>
        <v>#DIV/0!</v>
      </c>
      <c r="S37" s="3789"/>
      <c r="T37" s="3789"/>
      <c r="U37" s="3789"/>
      <c r="V37" s="3789"/>
      <c r="W37" s="378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30">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30" ht="15" thickBot="1">
      <c r="A6" s="360"/>
      <c r="B6" s="361"/>
      <c r="C6" s="3771" t="s">
        <v>1677</v>
      </c>
      <c r="D6" s="3734"/>
      <c r="E6" s="3772" t="s">
        <v>1677</v>
      </c>
      <c r="F6" s="3738"/>
      <c r="G6" s="3771" t="s">
        <v>1677</v>
      </c>
      <c r="H6" s="3734"/>
      <c r="I6" s="3771" t="s">
        <v>1677</v>
      </c>
      <c r="J6" s="3734"/>
      <c r="K6" s="559" t="s">
        <v>1678</v>
      </c>
      <c r="L6" s="2715"/>
      <c r="M6" s="2716"/>
      <c r="N6" s="2716"/>
      <c r="O6" s="2716"/>
      <c r="P6" s="3748"/>
      <c r="Q6" s="3749"/>
      <c r="R6" s="3727"/>
      <c r="S6" s="3728"/>
      <c r="T6" s="3750"/>
      <c r="U6" s="3751"/>
      <c r="V6" s="3752"/>
      <c r="W6" s="3752"/>
      <c r="X6" s="1355"/>
      <c r="Y6" s="3750"/>
      <c r="Z6" s="3751"/>
      <c r="AA6" s="3722"/>
      <c r="AB6" s="3722"/>
      <c r="AC6" s="3722"/>
    </row>
    <row r="7" spans="1:30" s="108" customFormat="1" ht="15" thickBot="1">
      <c r="A7" s="362" t="s">
        <v>1679</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7"/>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7"/>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7"/>
      <c r="Q12" s="1343"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9" t="s">
        <v>1691</v>
      </c>
      <c r="Q15" s="1352" t="str">
        <f t="shared" si="6"/>
        <v>居住社区成熟度</v>
      </c>
      <c r="R15" s="705" t="s">
        <v>14</v>
      </c>
      <c r="S15" s="706">
        <f t="shared" si="0"/>
        <v>100</v>
      </c>
      <c r="T15" s="705" t="s">
        <v>14</v>
      </c>
      <c r="U15" s="706">
        <f t="shared" si="1"/>
        <v>100</v>
      </c>
      <c r="V15" s="705" t="s">
        <v>14</v>
      </c>
      <c r="W15" s="706">
        <f t="shared" si="2"/>
        <v>100</v>
      </c>
      <c r="X15" s="1355"/>
      <c r="Y15" s="375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0"/>
      <c r="Q16" s="1352"/>
      <c r="R16" s="705"/>
      <c r="S16" s="706"/>
      <c r="T16" s="705"/>
      <c r="U16" s="706"/>
      <c r="V16" s="705"/>
      <c r="W16" s="706"/>
      <c r="X16" s="1355"/>
      <c r="Y16" s="3760"/>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0"/>
      <c r="Q17" s="1352" t="str">
        <f>B17</f>
        <v>商业繁华度</v>
      </c>
      <c r="R17" s="705" t="s">
        <v>14</v>
      </c>
      <c r="S17" s="706">
        <f>F17</f>
        <v>100</v>
      </c>
      <c r="T17" s="705" t="s">
        <v>14</v>
      </c>
      <c r="U17" s="706">
        <f>H17</f>
        <v>100</v>
      </c>
      <c r="V17" s="705" t="s">
        <v>14</v>
      </c>
      <c r="W17" s="706">
        <f>J17</f>
        <v>100</v>
      </c>
      <c r="X17" s="1355"/>
      <c r="Y17" s="37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0"/>
      <c r="Q18" s="1352"/>
      <c r="R18" s="705"/>
      <c r="S18" s="706"/>
      <c r="T18" s="705"/>
      <c r="U18" s="706"/>
      <c r="V18" s="705"/>
      <c r="W18" s="706"/>
      <c r="X18" s="1355"/>
      <c r="Y18" s="3760"/>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0"/>
      <c r="Q19" s="1352" t="str">
        <f>B19</f>
        <v>办公集聚程度</v>
      </c>
      <c r="R19" s="705" t="s">
        <v>14</v>
      </c>
      <c r="S19" s="706">
        <f>F19</f>
        <v>100</v>
      </c>
      <c r="T19" s="705" t="s">
        <v>14</v>
      </c>
      <c r="U19" s="706">
        <f>H19</f>
        <v>100</v>
      </c>
      <c r="V19" s="705" t="s">
        <v>14</v>
      </c>
      <c r="W19" s="706">
        <f>J19</f>
        <v>100</v>
      </c>
      <c r="X19" s="1355"/>
      <c r="Y19" s="37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0"/>
      <c r="Q20" s="1352"/>
      <c r="R20" s="705"/>
      <c r="S20" s="706"/>
      <c r="T20" s="705"/>
      <c r="U20" s="706"/>
      <c r="V20" s="705"/>
      <c r="W20" s="706"/>
      <c r="X20" s="1355"/>
      <c r="Y20" s="3760"/>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0"/>
      <c r="Q21" s="1352" t="str">
        <f>B21</f>
        <v>交通便捷度</v>
      </c>
      <c r="R21" s="705" t="s">
        <v>14</v>
      </c>
      <c r="S21" s="706">
        <f>F21</f>
        <v>100</v>
      </c>
      <c r="T21" s="705" t="s">
        <v>14</v>
      </c>
      <c r="U21" s="706">
        <f>H21</f>
        <v>100</v>
      </c>
      <c r="V21" s="705" t="s">
        <v>14</v>
      </c>
      <c r="W21" s="706">
        <f>J21</f>
        <v>100</v>
      </c>
      <c r="X21" s="1355"/>
      <c r="Y21" s="37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0"/>
      <c r="Q22" s="1352"/>
      <c r="R22" s="705"/>
      <c r="S22" s="706"/>
      <c r="T22" s="705"/>
      <c r="U22" s="706"/>
      <c r="V22" s="705"/>
      <c r="W22" s="706"/>
      <c r="X22" s="1355"/>
      <c r="Y22" s="3760"/>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0"/>
      <c r="Q23" s="1352" t="str">
        <f t="shared" ref="Q23:Q37" si="8">B23</f>
        <v>区域土地利用方向</v>
      </c>
      <c r="R23" s="705" t="s">
        <v>14</v>
      </c>
      <c r="S23" s="706">
        <f>F23</f>
        <v>100</v>
      </c>
      <c r="T23" s="705" t="s">
        <v>14</v>
      </c>
      <c r="U23" s="706">
        <f>H23</f>
        <v>100</v>
      </c>
      <c r="V23" s="705" t="s">
        <v>14</v>
      </c>
      <c r="W23" s="706">
        <f>J23</f>
        <v>100</v>
      </c>
      <c r="X23" s="1355"/>
      <c r="Y23" s="37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0"/>
      <c r="Q24" s="1352"/>
      <c r="R24" s="705"/>
      <c r="S24" s="706"/>
      <c r="T24" s="705"/>
      <c r="U24" s="706"/>
      <c r="V24" s="705"/>
      <c r="W24" s="706"/>
      <c r="X24" s="1355"/>
      <c r="Y24" s="3760"/>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0"/>
      <c r="Q25" s="1352" t="str">
        <f t="shared" si="8"/>
        <v>自然及人文环境状况</v>
      </c>
      <c r="R25" s="705" t="s">
        <v>14</v>
      </c>
      <c r="S25" s="706">
        <f>F25</f>
        <v>100</v>
      </c>
      <c r="T25" s="705" t="s">
        <v>14</v>
      </c>
      <c r="U25" s="706">
        <f>H25</f>
        <v>100</v>
      </c>
      <c r="V25" s="705" t="s">
        <v>14</v>
      </c>
      <c r="W25" s="706">
        <f>J25</f>
        <v>100</v>
      </c>
      <c r="X25" s="1355"/>
      <c r="Y25" s="37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0"/>
      <c r="Q26" s="1352"/>
      <c r="R26" s="705"/>
      <c r="S26" s="706"/>
      <c r="T26" s="705"/>
      <c r="U26" s="706"/>
      <c r="V26" s="705"/>
      <c r="W26" s="706"/>
      <c r="X26" s="1355"/>
      <c r="Y26" s="3760"/>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0"/>
      <c r="Q27" s="1343" t="str">
        <f t="shared" si="8"/>
        <v>公共配套设施</v>
      </c>
      <c r="R27" s="701" t="s">
        <v>14</v>
      </c>
      <c r="S27" s="702">
        <f>F27</f>
        <v>100</v>
      </c>
      <c r="T27" s="701" t="s">
        <v>14</v>
      </c>
      <c r="U27" s="702">
        <f>H27</f>
        <v>100</v>
      </c>
      <c r="V27" s="701" t="s">
        <v>14</v>
      </c>
      <c r="W27" s="702">
        <f>J27</f>
        <v>100</v>
      </c>
      <c r="X27" s="703"/>
      <c r="Y27" s="37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0"/>
      <c r="Q28" s="1343"/>
      <c r="R28" s="701"/>
      <c r="S28" s="702"/>
      <c r="T28" s="701"/>
      <c r="U28" s="702"/>
      <c r="V28" s="701"/>
      <c r="W28" s="702"/>
      <c r="X28" s="703"/>
      <c r="Y28" s="3760"/>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0"/>
      <c r="Q29" s="1343" t="str">
        <f t="shared" ref="Q29" si="9">B29</f>
        <v>基础设施水平</v>
      </c>
      <c r="R29" s="701" t="s">
        <v>14</v>
      </c>
      <c r="S29" s="702">
        <f>F29</f>
        <v>100</v>
      </c>
      <c r="T29" s="701" t="s">
        <v>14</v>
      </c>
      <c r="U29" s="702">
        <f>H29</f>
        <v>100</v>
      </c>
      <c r="V29" s="701" t="s">
        <v>14</v>
      </c>
      <c r="W29" s="702">
        <f>J29</f>
        <v>100</v>
      </c>
      <c r="X29" s="703"/>
      <c r="Y29" s="37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0"/>
      <c r="Q30" s="1343"/>
      <c r="R30" s="701"/>
      <c r="S30" s="702"/>
      <c r="T30" s="701"/>
      <c r="U30" s="702"/>
      <c r="V30" s="701"/>
      <c r="W30" s="702"/>
      <c r="X30" s="703"/>
      <c r="Y30" s="376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0"/>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0"/>
      <c r="Q32" s="1352" t="str">
        <f t="shared" si="8"/>
        <v>毗邻道路的类型与等级</v>
      </c>
      <c r="R32" s="705" t="s">
        <v>14</v>
      </c>
      <c r="S32" s="706">
        <f t="shared" si="10"/>
        <v>100</v>
      </c>
      <c r="T32" s="705" t="s">
        <v>14</v>
      </c>
      <c r="U32" s="706">
        <f t="shared" si="11"/>
        <v>100</v>
      </c>
      <c r="V32" s="705" t="s">
        <v>14</v>
      </c>
      <c r="W32" s="706">
        <f t="shared" si="12"/>
        <v>100</v>
      </c>
      <c r="X32" s="1355"/>
      <c r="Y32" s="37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0"/>
      <c r="Q33" s="1352"/>
      <c r="R33" s="705"/>
      <c r="S33" s="706"/>
      <c r="T33" s="705"/>
      <c r="U33" s="706"/>
      <c r="V33" s="705"/>
      <c r="W33" s="706"/>
      <c r="X33" s="1355"/>
      <c r="Y33" s="376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0"/>
      <c r="Q34" s="1352" t="str">
        <f t="shared" si="8"/>
        <v>土地级别</v>
      </c>
      <c r="R34" s="705" t="s">
        <v>14</v>
      </c>
      <c r="S34" s="706">
        <f t="shared" si="10"/>
        <v>100</v>
      </c>
      <c r="T34" s="705" t="s">
        <v>14</v>
      </c>
      <c r="U34" s="706">
        <f t="shared" si="11"/>
        <v>100</v>
      </c>
      <c r="V34" s="705" t="s">
        <v>14</v>
      </c>
      <c r="W34" s="706">
        <f t="shared" si="12"/>
        <v>100</v>
      </c>
      <c r="X34" s="1355"/>
      <c r="Y34" s="37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0"/>
      <c r="Q35" s="1352">
        <f t="shared" si="8"/>
        <v>111</v>
      </c>
      <c r="R35" s="705" t="s">
        <v>14</v>
      </c>
      <c r="S35" s="706">
        <f t="shared" si="10"/>
        <v>100</v>
      </c>
      <c r="T35" s="705" t="s">
        <v>14</v>
      </c>
      <c r="U35" s="706">
        <f t="shared" si="11"/>
        <v>100</v>
      </c>
      <c r="V35" s="705" t="s">
        <v>14</v>
      </c>
      <c r="W35" s="706">
        <f t="shared" si="12"/>
        <v>100</v>
      </c>
      <c r="X35" s="1355"/>
      <c r="Y35" s="37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8" t="s">
        <v>1695</v>
      </c>
      <c r="Q36" s="1352">
        <f t="shared" si="8"/>
        <v>111</v>
      </c>
      <c r="R36" s="705" t="s">
        <v>14</v>
      </c>
      <c r="S36" s="706">
        <f t="shared" si="10"/>
        <v>100</v>
      </c>
      <c r="T36" s="705" t="s">
        <v>14</v>
      </c>
      <c r="U36" s="706">
        <f t="shared" si="11"/>
        <v>100</v>
      </c>
      <c r="V36" s="705" t="s">
        <v>14</v>
      </c>
      <c r="W36" s="706">
        <f t="shared" si="12"/>
        <v>100</v>
      </c>
      <c r="X36" s="1355"/>
      <c r="Y36" s="3764"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64"/>
      <c r="Q37" s="1352">
        <f t="shared" si="8"/>
        <v>111</v>
      </c>
      <c r="R37" s="708" t="s">
        <v>14</v>
      </c>
      <c r="S37" s="709">
        <f t="shared" si="10"/>
        <v>100</v>
      </c>
      <c r="T37" s="708" t="s">
        <v>14</v>
      </c>
      <c r="U37" s="709">
        <f t="shared" si="11"/>
        <v>100</v>
      </c>
      <c r="V37" s="708" t="s">
        <v>14</v>
      </c>
      <c r="W37" s="709">
        <f t="shared" si="12"/>
        <v>100</v>
      </c>
      <c r="X37" s="710"/>
      <c r="Y37" s="3764"/>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64"/>
      <c r="Q38" s="1352" t="str">
        <f>B38</f>
        <v>宗地面积</v>
      </c>
      <c r="R38" s="705" t="s">
        <v>14</v>
      </c>
      <c r="S38" s="706" t="e">
        <f t="shared" si="10"/>
        <v>#N/A</v>
      </c>
      <c r="T38" s="705" t="s">
        <v>14</v>
      </c>
      <c r="U38" s="706" t="e">
        <f t="shared" si="11"/>
        <v>#N/A</v>
      </c>
      <c r="V38" s="705" t="s">
        <v>14</v>
      </c>
      <c r="W38" s="706" t="e">
        <f t="shared" si="12"/>
        <v>#N/A</v>
      </c>
      <c r="X38" s="1355"/>
      <c r="Y38" s="376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64"/>
      <c r="Q39" s="1352" t="str">
        <f t="shared" ref="Q39:Q45" si="14">B39</f>
        <v>宗地形状</v>
      </c>
      <c r="R39" s="705" t="s">
        <v>14</v>
      </c>
      <c r="S39" s="706">
        <f t="shared" si="10"/>
        <v>100</v>
      </c>
      <c r="T39" s="705" t="s">
        <v>14</v>
      </c>
      <c r="U39" s="706">
        <f t="shared" si="11"/>
        <v>100</v>
      </c>
      <c r="V39" s="705" t="s">
        <v>14</v>
      </c>
      <c r="W39" s="706">
        <f t="shared" si="12"/>
        <v>100</v>
      </c>
      <c r="X39" s="1355"/>
      <c r="Y39" s="376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64"/>
      <c r="Q40" s="1352" t="str">
        <f t="shared" si="14"/>
        <v>临街宽度及深度</v>
      </c>
      <c r="R40" s="705" t="s">
        <v>14</v>
      </c>
      <c r="S40" s="706">
        <f t="shared" si="10"/>
        <v>100</v>
      </c>
      <c r="T40" s="705" t="s">
        <v>14</v>
      </c>
      <c r="U40" s="706">
        <f t="shared" si="11"/>
        <v>100</v>
      </c>
      <c r="V40" s="705" t="s">
        <v>14</v>
      </c>
      <c r="W40" s="706">
        <f t="shared" si="12"/>
        <v>100</v>
      </c>
      <c r="X40" s="1355"/>
      <c r="Y40" s="376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64"/>
      <c r="Q41" s="1352" t="str">
        <f t="shared" si="14"/>
        <v>宗地开发程度</v>
      </c>
      <c r="R41" s="701" t="s">
        <v>14</v>
      </c>
      <c r="S41" s="702">
        <f t="shared" si="10"/>
        <v>100</v>
      </c>
      <c r="T41" s="701" t="s">
        <v>14</v>
      </c>
      <c r="U41" s="702">
        <f t="shared" si="11"/>
        <v>100</v>
      </c>
      <c r="V41" s="701" t="s">
        <v>14</v>
      </c>
      <c r="W41" s="702">
        <f t="shared" si="12"/>
        <v>100</v>
      </c>
      <c r="X41" s="703"/>
      <c r="Y41" s="376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64" t="s">
        <v>1695</v>
      </c>
      <c r="Q42" s="1352" t="str">
        <f t="shared" si="14"/>
        <v>工程地质条件</v>
      </c>
      <c r="R42" s="705" t="s">
        <v>14</v>
      </c>
      <c r="S42" s="706">
        <f t="shared" si="10"/>
        <v>100</v>
      </c>
      <c r="T42" s="705" t="s">
        <v>14</v>
      </c>
      <c r="U42" s="706">
        <f t="shared" si="11"/>
        <v>100</v>
      </c>
      <c r="V42" s="705" t="s">
        <v>14</v>
      </c>
      <c r="W42" s="706">
        <f t="shared" si="12"/>
        <v>100</v>
      </c>
      <c r="X42" s="1355"/>
      <c r="Y42" s="376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64"/>
      <c r="Q43" s="1352">
        <f t="shared" si="14"/>
        <v>111</v>
      </c>
      <c r="R43" s="705" t="s">
        <v>14</v>
      </c>
      <c r="S43" s="706">
        <f t="shared" si="10"/>
        <v>100</v>
      </c>
      <c r="T43" s="705" t="s">
        <v>14</v>
      </c>
      <c r="U43" s="706">
        <f t="shared" si="11"/>
        <v>100</v>
      </c>
      <c r="V43" s="705" t="s">
        <v>14</v>
      </c>
      <c r="W43" s="706">
        <f t="shared" si="12"/>
        <v>100</v>
      </c>
      <c r="X43" s="1355"/>
      <c r="Y43" s="37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64"/>
      <c r="Q44" s="1352">
        <f t="shared" si="14"/>
        <v>111</v>
      </c>
      <c r="R44" s="705" t="s">
        <v>14</v>
      </c>
      <c r="S44" s="706">
        <f t="shared" si="10"/>
        <v>100</v>
      </c>
      <c r="T44" s="705" t="s">
        <v>14</v>
      </c>
      <c r="U44" s="706">
        <f t="shared" si="11"/>
        <v>100</v>
      </c>
      <c r="V44" s="705" t="s">
        <v>14</v>
      </c>
      <c r="W44" s="706">
        <f t="shared" si="12"/>
        <v>100</v>
      </c>
      <c r="X44" s="1355"/>
      <c r="Y44" s="376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64"/>
      <c r="Q45" s="1352">
        <f t="shared" si="14"/>
        <v>111</v>
      </c>
      <c r="R45" s="708" t="s">
        <v>14</v>
      </c>
      <c r="S45" s="709">
        <f t="shared" si="10"/>
        <v>100</v>
      </c>
      <c r="T45" s="708" t="s">
        <v>14</v>
      </c>
      <c r="U45" s="709">
        <f t="shared" si="11"/>
        <v>100</v>
      </c>
      <c r="V45" s="708" t="s">
        <v>14</v>
      </c>
      <c r="W45" s="709">
        <f t="shared" si="12"/>
        <v>100</v>
      </c>
      <c r="X45" s="710"/>
      <c r="Y45" s="3764"/>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7" t="str">
        <f>A46</f>
        <v>成交单价</v>
      </c>
      <c r="Q46" s="3757"/>
      <c r="R46" s="3752">
        <f>E46</f>
        <v>0</v>
      </c>
      <c r="S46" s="3752"/>
      <c r="T46" s="3752">
        <f>G46</f>
        <v>0</v>
      </c>
      <c r="U46" s="3752"/>
      <c r="V46" s="3752">
        <f>I46</f>
        <v>0</v>
      </c>
      <c r="W46" s="3752"/>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7" t="str">
        <f>A47</f>
        <v>比较价值（元/平方米）</v>
      </c>
      <c r="Q47" s="3757"/>
      <c r="R47" s="3790" t="e">
        <f>ROUND(PRODUCT(R46,AA7:AA45),0)</f>
        <v>#DIV/0!</v>
      </c>
      <c r="S47" s="3790"/>
      <c r="T47" s="3790" t="e">
        <f>ROUND(PRODUCT(T46,AB7:AB45),0)</f>
        <v>#DIV/0!</v>
      </c>
      <c r="U47" s="3790"/>
      <c r="V47" s="3790" t="e">
        <f>ROUND(PRODUCT(V46,AC7:AC45),0)</f>
        <v>#DIV/0!</v>
      </c>
      <c r="W47" s="379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91" t="e">
        <f>ROUND(IF(D47="简单平均",AVERAGE(R47:W47),R47*F47+T47*H47+V47*J47),0)</f>
        <v>#DIV/0!</v>
      </c>
      <c r="S48" s="3791"/>
      <c r="T48" s="3791"/>
      <c r="U48" s="3791"/>
      <c r="V48" s="3791"/>
      <c r="W48" s="379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40" t="s">
        <v>1886</v>
      </c>
      <c r="H55" s="3792"/>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89.89</v>
      </c>
      <c r="F56" s="886" t="e">
        <f t="shared" ref="F56:F64" si="15">ROUND(B56*E56/10000,0)</f>
        <v>#DIV/0!</v>
      </c>
      <c r="G56" s="3739"/>
      <c r="H56" s="375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25" t="s">
        <v>1770</v>
      </c>
      <c r="S4" s="3726"/>
      <c r="T4" s="3725" t="s">
        <v>1771</v>
      </c>
      <c r="U4" s="3726"/>
      <c r="V4" s="3752" t="s">
        <v>1772</v>
      </c>
      <c r="W4" s="3752"/>
      <c r="X4" s="1355"/>
      <c r="Y4" s="3725" t="s">
        <v>1774</v>
      </c>
      <c r="Z4" s="3726"/>
      <c r="AA4" s="3720" t="s">
        <v>1770</v>
      </c>
      <c r="AB4" s="3721" t="s">
        <v>1771</v>
      </c>
      <c r="AC4" s="3720" t="s">
        <v>1772</v>
      </c>
    </row>
    <row r="5" spans="1:29">
      <c r="A5" s="358"/>
      <c r="B5" s="359"/>
      <c r="C5" s="3770" t="s">
        <v>1673</v>
      </c>
      <c r="D5" s="3732"/>
      <c r="E5" s="3768" t="s">
        <v>1674</v>
      </c>
      <c r="F5" s="3769"/>
      <c r="G5" s="3770" t="s">
        <v>1675</v>
      </c>
      <c r="H5" s="3732"/>
      <c r="I5" s="3770" t="s">
        <v>1676</v>
      </c>
      <c r="J5" s="3732"/>
      <c r="K5" s="559"/>
      <c r="L5" s="2715"/>
      <c r="M5" s="2716"/>
      <c r="N5" s="2716"/>
      <c r="O5" s="2716"/>
      <c r="P5" s="3746"/>
      <c r="Q5" s="3747"/>
      <c r="R5" s="3727"/>
      <c r="S5" s="3728"/>
      <c r="T5" s="3727"/>
      <c r="U5" s="3728"/>
      <c r="V5" s="3752"/>
      <c r="W5" s="3752"/>
      <c r="X5" s="1355"/>
      <c r="Y5" s="3727"/>
      <c r="Z5" s="3728"/>
      <c r="AA5" s="3721"/>
      <c r="AB5" s="3721"/>
      <c r="AC5" s="3721"/>
    </row>
    <row r="6" spans="1:29" ht="15" thickBot="1">
      <c r="A6" s="360"/>
      <c r="B6" s="361"/>
      <c r="C6" s="3793" t="s">
        <v>1918</v>
      </c>
      <c r="D6" s="3794"/>
      <c r="E6" s="3795" t="s">
        <v>1918</v>
      </c>
      <c r="F6" s="3796"/>
      <c r="G6" s="3793" t="s">
        <v>1918</v>
      </c>
      <c r="H6" s="3794"/>
      <c r="I6" s="3793" t="s">
        <v>1918</v>
      </c>
      <c r="J6" s="3794"/>
      <c r="K6" s="559" t="s">
        <v>1678</v>
      </c>
      <c r="L6" s="2715"/>
      <c r="M6" s="2716"/>
      <c r="N6" s="2716"/>
      <c r="O6" s="2716"/>
      <c r="P6" s="3748"/>
      <c r="Q6" s="3749"/>
      <c r="R6" s="3727"/>
      <c r="S6" s="3728"/>
      <c r="T6" s="3750"/>
      <c r="U6" s="3751"/>
      <c r="V6" s="3752"/>
      <c r="W6" s="3752"/>
      <c r="X6" s="1355"/>
      <c r="Y6" s="3750"/>
      <c r="Z6" s="3751"/>
      <c r="AA6" s="3722"/>
      <c r="AB6" s="3722"/>
      <c r="AC6" s="3722"/>
    </row>
    <row r="7" spans="1:29" s="108" customFormat="1" ht="15" thickBot="1">
      <c r="A7" s="362" t="s">
        <v>1679</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3" t="s">
        <v>1680</v>
      </c>
      <c r="Q7" s="3753"/>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7" t="s">
        <v>1686</v>
      </c>
      <c r="Q9" s="1343"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7"/>
      <c r="Q10" s="1343" t="str">
        <f t="shared" si="6"/>
        <v>土地使用年限（年）</v>
      </c>
      <c r="R10" s="701" t="s">
        <v>14</v>
      </c>
      <c r="S10" s="702" t="e">
        <f t="shared" si="0"/>
        <v>#DIV/0!</v>
      </c>
      <c r="T10" s="701" t="s">
        <v>14</v>
      </c>
      <c r="U10" s="702" t="e">
        <f t="shared" si="1"/>
        <v>#DIV/0!</v>
      </c>
      <c r="V10" s="701" t="s">
        <v>14</v>
      </c>
      <c r="W10" s="702" t="e">
        <f t="shared" si="2"/>
        <v>#DIV/0!</v>
      </c>
      <c r="X10" s="703"/>
      <c r="Y10" s="364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7"/>
      <c r="Q11" s="1343"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7"/>
      <c r="Q12" s="1343">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7"/>
      <c r="Q13" s="1343">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7"/>
      <c r="Q14" s="1343">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9" t="s">
        <v>1691</v>
      </c>
      <c r="Q15" s="1352" t="str">
        <f t="shared" si="6"/>
        <v>产业集聚程度</v>
      </c>
      <c r="R15" s="705" t="s">
        <v>14</v>
      </c>
      <c r="S15" s="706">
        <f t="shared" si="0"/>
        <v>100</v>
      </c>
      <c r="T15" s="705" t="s">
        <v>14</v>
      </c>
      <c r="U15" s="706">
        <f t="shared" si="1"/>
        <v>100</v>
      </c>
      <c r="V15" s="705" t="s">
        <v>14</v>
      </c>
      <c r="W15" s="706">
        <f t="shared" si="2"/>
        <v>100</v>
      </c>
      <c r="X15" s="1355"/>
      <c r="Y15" s="375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0"/>
      <c r="Q16" s="1352"/>
      <c r="R16" s="705"/>
      <c r="S16" s="706"/>
      <c r="T16" s="705"/>
      <c r="U16" s="706"/>
      <c r="V16" s="705"/>
      <c r="W16" s="706"/>
      <c r="X16" s="1355"/>
      <c r="Y16" s="3760"/>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0"/>
      <c r="Q17" s="1352" t="str">
        <f>B17</f>
        <v>交通便捷度</v>
      </c>
      <c r="R17" s="705" t="s">
        <v>14</v>
      </c>
      <c r="S17" s="706">
        <f>F17</f>
        <v>100</v>
      </c>
      <c r="T17" s="705" t="s">
        <v>14</v>
      </c>
      <c r="U17" s="706">
        <f>H17</f>
        <v>100</v>
      </c>
      <c r="V17" s="705" t="s">
        <v>14</v>
      </c>
      <c r="W17" s="706">
        <f>J17</f>
        <v>100</v>
      </c>
      <c r="X17" s="1355"/>
      <c r="Y17" s="37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0"/>
      <c r="Q18" s="1352"/>
      <c r="R18" s="705"/>
      <c r="S18" s="706"/>
      <c r="T18" s="705"/>
      <c r="U18" s="706"/>
      <c r="V18" s="705"/>
      <c r="W18" s="706"/>
      <c r="X18" s="1355"/>
      <c r="Y18" s="3760"/>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0"/>
      <c r="Q19" s="1352" t="str">
        <f t="shared" ref="Q19:Q33" si="8">B19</f>
        <v>区域土地利用方向</v>
      </c>
      <c r="R19" s="705" t="s">
        <v>14</v>
      </c>
      <c r="S19" s="706">
        <f>F19</f>
        <v>100</v>
      </c>
      <c r="T19" s="705" t="s">
        <v>14</v>
      </c>
      <c r="U19" s="706">
        <f>H19</f>
        <v>100</v>
      </c>
      <c r="V19" s="705" t="s">
        <v>14</v>
      </c>
      <c r="W19" s="706">
        <f>J19</f>
        <v>100</v>
      </c>
      <c r="X19" s="1355"/>
      <c r="Y19" s="37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0"/>
      <c r="Q20" s="1352"/>
      <c r="R20" s="705"/>
      <c r="S20" s="706"/>
      <c r="T20" s="705"/>
      <c r="U20" s="706"/>
      <c r="V20" s="705"/>
      <c r="W20" s="706"/>
      <c r="X20" s="1355"/>
      <c r="Y20" s="3760"/>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0"/>
      <c r="Q21" s="1352" t="str">
        <f t="shared" si="8"/>
        <v>环境状况</v>
      </c>
      <c r="R21" s="705" t="s">
        <v>14</v>
      </c>
      <c r="S21" s="706">
        <f>F21</f>
        <v>100</v>
      </c>
      <c r="T21" s="705" t="s">
        <v>14</v>
      </c>
      <c r="U21" s="706">
        <f>H21</f>
        <v>100</v>
      </c>
      <c r="V21" s="705" t="s">
        <v>14</v>
      </c>
      <c r="W21" s="706">
        <f>J21</f>
        <v>100</v>
      </c>
      <c r="X21" s="1355"/>
      <c r="Y21" s="37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0"/>
      <c r="Q22" s="1352"/>
      <c r="R22" s="705"/>
      <c r="S22" s="706"/>
      <c r="T22" s="705"/>
      <c r="U22" s="706"/>
      <c r="V22" s="705"/>
      <c r="W22" s="706"/>
      <c r="X22" s="1355"/>
      <c r="Y22" s="3760"/>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0"/>
      <c r="Q23" s="1343" t="str">
        <f t="shared" si="8"/>
        <v>公共配套设施</v>
      </c>
      <c r="R23" s="701" t="s">
        <v>14</v>
      </c>
      <c r="S23" s="702">
        <f>F23</f>
        <v>100</v>
      </c>
      <c r="T23" s="701" t="s">
        <v>14</v>
      </c>
      <c r="U23" s="702">
        <f>H23</f>
        <v>100</v>
      </c>
      <c r="V23" s="701" t="s">
        <v>14</v>
      </c>
      <c r="W23" s="702">
        <f>J23</f>
        <v>100</v>
      </c>
      <c r="X23" s="703"/>
      <c r="Y23" s="37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0"/>
      <c r="Q24" s="1343"/>
      <c r="R24" s="701"/>
      <c r="S24" s="702"/>
      <c r="T24" s="701"/>
      <c r="U24" s="702"/>
      <c r="V24" s="701"/>
      <c r="W24" s="702"/>
      <c r="X24" s="703"/>
      <c r="Y24" s="3760"/>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0"/>
      <c r="Q25" s="1343" t="str">
        <f t="shared" ref="Q25" si="9">B25</f>
        <v>基础设施水平</v>
      </c>
      <c r="R25" s="701" t="s">
        <v>14</v>
      </c>
      <c r="S25" s="702">
        <f>F25</f>
        <v>100</v>
      </c>
      <c r="T25" s="701" t="s">
        <v>14</v>
      </c>
      <c r="U25" s="702">
        <f>H25</f>
        <v>100</v>
      </c>
      <c r="V25" s="701" t="s">
        <v>14</v>
      </c>
      <c r="W25" s="702">
        <f>J25</f>
        <v>100</v>
      </c>
      <c r="X25" s="703"/>
      <c r="Y25" s="37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0"/>
      <c r="Q26" s="1343"/>
      <c r="R26" s="701"/>
      <c r="S26" s="702"/>
      <c r="T26" s="701"/>
      <c r="U26" s="702"/>
      <c r="V26" s="701"/>
      <c r="W26" s="702"/>
      <c r="X26" s="703"/>
      <c r="Y26" s="376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0"/>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0"/>
      <c r="Q28" s="1352" t="str">
        <f t="shared" si="8"/>
        <v>毗邻道路的类型与等级</v>
      </c>
      <c r="R28" s="705" t="s">
        <v>14</v>
      </c>
      <c r="S28" s="706">
        <f t="shared" si="10"/>
        <v>100</v>
      </c>
      <c r="T28" s="705" t="s">
        <v>14</v>
      </c>
      <c r="U28" s="706">
        <f t="shared" si="11"/>
        <v>100</v>
      </c>
      <c r="V28" s="705" t="s">
        <v>14</v>
      </c>
      <c r="W28" s="706">
        <f t="shared" si="12"/>
        <v>100</v>
      </c>
      <c r="X28" s="1355"/>
      <c r="Y28" s="37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0"/>
      <c r="Q29" s="1352"/>
      <c r="R29" s="705"/>
      <c r="S29" s="706"/>
      <c r="T29" s="705"/>
      <c r="U29" s="706"/>
      <c r="V29" s="705"/>
      <c r="W29" s="706"/>
      <c r="X29" s="1355"/>
      <c r="Y29" s="376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0"/>
      <c r="Q30" s="1352" t="str">
        <f t="shared" si="8"/>
        <v>土地级别</v>
      </c>
      <c r="R30" s="705" t="s">
        <v>14</v>
      </c>
      <c r="S30" s="706">
        <f t="shared" si="10"/>
        <v>100</v>
      </c>
      <c r="T30" s="705" t="s">
        <v>14</v>
      </c>
      <c r="U30" s="706">
        <f t="shared" si="11"/>
        <v>100</v>
      </c>
      <c r="V30" s="705" t="s">
        <v>14</v>
      </c>
      <c r="W30" s="706">
        <f t="shared" si="12"/>
        <v>100</v>
      </c>
      <c r="X30" s="1355"/>
      <c r="Y30" s="37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0"/>
      <c r="Q31" s="1352">
        <f t="shared" si="8"/>
        <v>111</v>
      </c>
      <c r="R31" s="705" t="s">
        <v>14</v>
      </c>
      <c r="S31" s="706">
        <f t="shared" si="10"/>
        <v>100</v>
      </c>
      <c r="T31" s="705" t="s">
        <v>14</v>
      </c>
      <c r="U31" s="706">
        <f t="shared" si="11"/>
        <v>100</v>
      </c>
      <c r="V31" s="705" t="s">
        <v>14</v>
      </c>
      <c r="W31" s="706">
        <f t="shared" si="12"/>
        <v>100</v>
      </c>
      <c r="X31" s="1355"/>
      <c r="Y31" s="37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8" t="s">
        <v>1695</v>
      </c>
      <c r="Q32" s="1352">
        <f t="shared" si="8"/>
        <v>111</v>
      </c>
      <c r="R32" s="705" t="s">
        <v>14</v>
      </c>
      <c r="S32" s="706">
        <f t="shared" si="10"/>
        <v>100</v>
      </c>
      <c r="T32" s="705" t="s">
        <v>14</v>
      </c>
      <c r="U32" s="706">
        <f t="shared" si="11"/>
        <v>100</v>
      </c>
      <c r="V32" s="705" t="s">
        <v>14</v>
      </c>
      <c r="W32" s="706">
        <f t="shared" si="12"/>
        <v>100</v>
      </c>
      <c r="X32" s="1355"/>
      <c r="Y32" s="3764"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64"/>
      <c r="Q33" s="1352">
        <f t="shared" si="8"/>
        <v>111</v>
      </c>
      <c r="R33" s="708" t="s">
        <v>14</v>
      </c>
      <c r="S33" s="709">
        <f t="shared" si="10"/>
        <v>100</v>
      </c>
      <c r="T33" s="708" t="s">
        <v>14</v>
      </c>
      <c r="U33" s="709">
        <f t="shared" si="11"/>
        <v>100</v>
      </c>
      <c r="V33" s="708" t="s">
        <v>14</v>
      </c>
      <c r="W33" s="709">
        <f t="shared" si="12"/>
        <v>100</v>
      </c>
      <c r="X33" s="710"/>
      <c r="Y33" s="376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64"/>
      <c r="Q34" s="1352" t="str">
        <f>B34</f>
        <v>宗地面积</v>
      </c>
      <c r="R34" s="705" t="s">
        <v>14</v>
      </c>
      <c r="S34" s="706" t="e">
        <f t="shared" si="10"/>
        <v>#N/A</v>
      </c>
      <c r="T34" s="705" t="s">
        <v>14</v>
      </c>
      <c r="U34" s="706" t="e">
        <f t="shared" si="11"/>
        <v>#N/A</v>
      </c>
      <c r="V34" s="705" t="s">
        <v>14</v>
      </c>
      <c r="W34" s="706" t="e">
        <f t="shared" si="12"/>
        <v>#N/A</v>
      </c>
      <c r="X34" s="1355"/>
      <c r="Y34" s="376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64"/>
      <c r="Q35" s="1352" t="str">
        <f t="shared" ref="Q35:Q40" si="14">B35</f>
        <v>宗地形状</v>
      </c>
      <c r="R35" s="705" t="s">
        <v>14</v>
      </c>
      <c r="S35" s="706">
        <f t="shared" si="10"/>
        <v>100</v>
      </c>
      <c r="T35" s="705" t="s">
        <v>14</v>
      </c>
      <c r="U35" s="706">
        <f t="shared" si="11"/>
        <v>100</v>
      </c>
      <c r="V35" s="705" t="s">
        <v>14</v>
      </c>
      <c r="W35" s="706">
        <f t="shared" si="12"/>
        <v>100</v>
      </c>
      <c r="X35" s="1355"/>
      <c r="Y35" s="376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64"/>
      <c r="Q36" s="1352" t="str">
        <f t="shared" si="14"/>
        <v>宗地开发程度</v>
      </c>
      <c r="R36" s="701" t="s">
        <v>14</v>
      </c>
      <c r="S36" s="702">
        <f t="shared" si="10"/>
        <v>100</v>
      </c>
      <c r="T36" s="701" t="s">
        <v>14</v>
      </c>
      <c r="U36" s="702">
        <f t="shared" si="11"/>
        <v>100</v>
      </c>
      <c r="V36" s="701" t="s">
        <v>14</v>
      </c>
      <c r="W36" s="702">
        <f t="shared" si="12"/>
        <v>100</v>
      </c>
      <c r="X36" s="703"/>
      <c r="Y36" s="376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64" t="s">
        <v>1695</v>
      </c>
      <c r="Q37" s="1352" t="str">
        <f t="shared" si="14"/>
        <v>工程地质条件</v>
      </c>
      <c r="R37" s="705" t="s">
        <v>14</v>
      </c>
      <c r="S37" s="706">
        <f t="shared" si="10"/>
        <v>100</v>
      </c>
      <c r="T37" s="705" t="s">
        <v>14</v>
      </c>
      <c r="U37" s="706">
        <f t="shared" si="11"/>
        <v>100</v>
      </c>
      <c r="V37" s="705" t="s">
        <v>14</v>
      </c>
      <c r="W37" s="706">
        <f t="shared" si="12"/>
        <v>100</v>
      </c>
      <c r="X37" s="1355"/>
      <c r="Y37" s="376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64"/>
      <c r="Q38" s="1352">
        <f t="shared" si="14"/>
        <v>111</v>
      </c>
      <c r="R38" s="705" t="s">
        <v>14</v>
      </c>
      <c r="S38" s="706">
        <f t="shared" si="10"/>
        <v>100</v>
      </c>
      <c r="T38" s="705" t="s">
        <v>14</v>
      </c>
      <c r="U38" s="706">
        <f t="shared" si="11"/>
        <v>100</v>
      </c>
      <c r="V38" s="705" t="s">
        <v>14</v>
      </c>
      <c r="W38" s="706">
        <f t="shared" si="12"/>
        <v>100</v>
      </c>
      <c r="X38" s="1355"/>
      <c r="Y38" s="37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64"/>
      <c r="Q39" s="1352">
        <f t="shared" si="14"/>
        <v>111</v>
      </c>
      <c r="R39" s="705" t="s">
        <v>14</v>
      </c>
      <c r="S39" s="706">
        <f t="shared" si="10"/>
        <v>100</v>
      </c>
      <c r="T39" s="705" t="s">
        <v>14</v>
      </c>
      <c r="U39" s="706">
        <f t="shared" si="11"/>
        <v>100</v>
      </c>
      <c r="V39" s="705" t="s">
        <v>14</v>
      </c>
      <c r="W39" s="706">
        <f t="shared" si="12"/>
        <v>100</v>
      </c>
      <c r="X39" s="1355"/>
      <c r="Y39" s="376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64"/>
      <c r="Q40" s="1352">
        <f t="shared" si="14"/>
        <v>111</v>
      </c>
      <c r="R40" s="708" t="s">
        <v>14</v>
      </c>
      <c r="S40" s="709">
        <f t="shared" si="10"/>
        <v>100</v>
      </c>
      <c r="T40" s="708" t="s">
        <v>14</v>
      </c>
      <c r="U40" s="709">
        <f t="shared" si="11"/>
        <v>100</v>
      </c>
      <c r="V40" s="708" t="s">
        <v>14</v>
      </c>
      <c r="W40" s="709">
        <f t="shared" si="12"/>
        <v>100</v>
      </c>
      <c r="X40" s="710"/>
      <c r="Y40" s="3764"/>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7" t="str">
        <f>A41</f>
        <v>成交单价</v>
      </c>
      <c r="Q41" s="3757"/>
      <c r="R41" s="3752">
        <f>E41</f>
        <v>0</v>
      </c>
      <c r="S41" s="3752"/>
      <c r="T41" s="3752">
        <f>G41</f>
        <v>0</v>
      </c>
      <c r="U41" s="3752"/>
      <c r="V41" s="3752">
        <f>I41</f>
        <v>0</v>
      </c>
      <c r="W41" s="3752"/>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7" t="str">
        <f>A42</f>
        <v>比较价值（元/平方米）</v>
      </c>
      <c r="Q42" s="3757"/>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91" t="e">
        <f>ROUND(IF(D42="简单平均",AVERAGE(R42:W42),R42*F42+T42*H42+V42*J42),0)</f>
        <v>#DIV/0!</v>
      </c>
      <c r="S43" s="3791"/>
      <c r="T43" s="3791"/>
      <c r="U43" s="3791"/>
      <c r="V43" s="3791"/>
      <c r="W43" s="379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40" t="s">
        <v>1886</v>
      </c>
      <c r="H50" s="3792"/>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89.89</v>
      </c>
      <c r="F51" s="639" t="e">
        <f t="shared" ref="F51:F60" si="15">ROUND(B51*E51/10000,0)</f>
        <v>#DIV/0!</v>
      </c>
      <c r="G51" s="3739"/>
      <c r="H51" s="375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0" t="s">
        <v>2083</v>
      </c>
      <c r="D1" s="3801"/>
      <c r="E1" s="3801"/>
      <c r="F1" s="3801"/>
      <c r="G1" s="3801"/>
      <c r="H1" s="3801"/>
      <c r="I1" s="3801"/>
      <c r="J1" s="3801"/>
      <c r="K1" s="3801"/>
      <c r="L1" s="3801"/>
      <c r="M1" s="3801"/>
      <c r="N1" s="3801"/>
      <c r="O1" s="3801"/>
      <c r="P1" s="3801"/>
      <c r="Q1" s="3801"/>
      <c r="R1" s="3801"/>
      <c r="S1" s="380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128</v>
      </c>
      <c r="C2" s="2145" t="s">
        <v>2073</v>
      </c>
      <c r="D2" s="2145" t="s">
        <v>2074</v>
      </c>
      <c r="E2" s="2612">
        <f ca="1">SUMIF(E6:E13,"&lt;&gt;#ref!",E6:E13)</f>
        <v>89.89</v>
      </c>
      <c r="F2" s="2793"/>
      <c r="G2" s="2793"/>
      <c r="H2" s="2793"/>
      <c r="I2" s="2793"/>
      <c r="J2" s="2793"/>
      <c r="K2" s="2793"/>
      <c r="L2" s="2793"/>
      <c r="M2" s="2793"/>
      <c r="N2" s="2793"/>
      <c r="O2" s="2793"/>
      <c r="P2" s="2793"/>
    </row>
    <row r="3" spans="1:16" ht="15.6">
      <c r="A3" s="2145" t="s">
        <v>2075</v>
      </c>
      <c r="B3" s="2602">
        <f ca="1">ROUND(B2*10000/E2,0)</f>
        <v>14240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128</v>
      </c>
      <c r="C6" s="2145" t="s">
        <v>2073</v>
      </c>
      <c r="D6" s="2793"/>
      <c r="E6" s="2612">
        <f ca="1">SUMIF(INDIRECT("'"&amp;A6&amp;"'"&amp;"!C:C"),"建筑面积",INDIRECT("'"&amp;A6&amp;"'"&amp;"!D:D"))</f>
        <v>89.89</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0" t="s">
        <v>2607</v>
      </c>
      <c r="B20" s="3803" t="s">
        <v>2628</v>
      </c>
      <c r="C20" s="3103" t="s">
        <v>2439</v>
      </c>
      <c r="D20" s="3104"/>
      <c r="E20" s="3105">
        <v>1</v>
      </c>
      <c r="F20" s="3106" t="s">
        <v>2440</v>
      </c>
      <c r="G20" s="3106"/>
    </row>
    <row r="21" spans="1:13" ht="19.5" customHeight="1">
      <c r="A21" s="3811"/>
      <c r="B21" s="3804"/>
      <c r="C21" s="3107" t="s">
        <v>2441</v>
      </c>
      <c r="D21" s="3108"/>
      <c r="E21" s="3109">
        <v>1</v>
      </c>
      <c r="F21" s="3106" t="s">
        <v>2442</v>
      </c>
      <c r="G21" s="3106"/>
    </row>
    <row r="22" spans="1:13" ht="19.5" customHeight="1">
      <c r="A22" s="3811"/>
      <c r="B22" s="3804"/>
      <c r="C22" s="3107" t="s">
        <v>2443</v>
      </c>
      <c r="D22" s="3108"/>
      <c r="E22" s="3109">
        <v>0.9</v>
      </c>
      <c r="F22" s="3106" t="s">
        <v>2444</v>
      </c>
      <c r="G22" s="3106"/>
    </row>
    <row r="23" spans="1:13" ht="19.5" customHeight="1">
      <c r="A23" s="3811"/>
      <c r="B23" s="3804"/>
      <c r="C23" s="3107" t="s">
        <v>2445</v>
      </c>
      <c r="D23" s="3108"/>
      <c r="E23" s="3109">
        <v>0.9</v>
      </c>
      <c r="F23" s="3106" t="s">
        <v>2446</v>
      </c>
      <c r="G23" s="3106"/>
    </row>
    <row r="24" spans="1:13" ht="19.5" customHeight="1">
      <c r="A24" s="3811"/>
      <c r="B24" s="3804"/>
      <c r="C24" s="3107" t="s">
        <v>2447</v>
      </c>
      <c r="D24" s="3108"/>
      <c r="E24" s="3109">
        <v>0.8</v>
      </c>
      <c r="F24" s="3106" t="s">
        <v>2448</v>
      </c>
      <c r="G24" s="3106"/>
    </row>
    <row r="25" spans="1:13" ht="19.5" customHeight="1" thickBot="1">
      <c r="A25" s="3812"/>
      <c r="B25" s="380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6" t="s">
        <v>2631</v>
      </c>
      <c r="B27" s="3803" t="s">
        <v>2612</v>
      </c>
      <c r="C27" s="3103" t="s">
        <v>2452</v>
      </c>
      <c r="D27" s="3104"/>
      <c r="E27" s="3105">
        <v>1</v>
      </c>
      <c r="F27" s="3106" t="s">
        <v>2453</v>
      </c>
      <c r="G27" s="3106"/>
    </row>
    <row r="28" spans="1:13" ht="19.5" customHeight="1">
      <c r="A28" s="3807"/>
      <c r="B28" s="3804"/>
      <c r="C28" s="3107" t="s">
        <v>2454</v>
      </c>
      <c r="D28" s="3108"/>
      <c r="E28" s="3109">
        <v>1</v>
      </c>
      <c r="F28" s="3106" t="s">
        <v>2455</v>
      </c>
      <c r="G28" s="3106"/>
    </row>
    <row r="29" spans="1:13" ht="19.5" customHeight="1">
      <c r="A29" s="3807"/>
      <c r="B29" s="3804"/>
      <c r="C29" s="3107" t="s">
        <v>2456</v>
      </c>
      <c r="D29" s="3108"/>
      <c r="E29" s="3109">
        <v>0.8</v>
      </c>
      <c r="F29" s="3106" t="s">
        <v>2457</v>
      </c>
      <c r="G29" s="3106"/>
    </row>
    <row r="30" spans="1:13" ht="19.5" customHeight="1">
      <c r="A30" s="3807"/>
      <c r="B30" s="3804"/>
      <c r="C30" s="3107" t="s">
        <v>2458</v>
      </c>
      <c r="D30" s="3108"/>
      <c r="E30" s="3109">
        <v>0.8</v>
      </c>
      <c r="F30" s="3106" t="s">
        <v>2459</v>
      </c>
      <c r="G30" s="3106"/>
    </row>
    <row r="31" spans="1:13" ht="19.5" customHeight="1">
      <c r="A31" s="3807"/>
      <c r="B31" s="3804"/>
      <c r="C31" s="3107" t="s">
        <v>2460</v>
      </c>
      <c r="D31" s="3108"/>
      <c r="E31" s="3109">
        <v>0.8</v>
      </c>
      <c r="F31" s="3106" t="s">
        <v>2461</v>
      </c>
      <c r="G31" s="3106"/>
    </row>
    <row r="32" spans="1:13" ht="19.5" customHeight="1">
      <c r="A32" s="3807"/>
      <c r="B32" s="3804"/>
      <c r="C32" s="3107" t="s">
        <v>2462</v>
      </c>
      <c r="D32" s="3108"/>
      <c r="E32" s="3109">
        <v>0.7</v>
      </c>
      <c r="F32" s="3106" t="s">
        <v>2463</v>
      </c>
      <c r="G32" s="3106"/>
    </row>
    <row r="33" spans="1:7" ht="19.5" customHeight="1">
      <c r="A33" s="3807"/>
      <c r="B33" s="3804"/>
      <c r="C33" s="3107" t="s">
        <v>2464</v>
      </c>
      <c r="D33" s="3108"/>
      <c r="E33" s="3109">
        <v>0.8</v>
      </c>
      <c r="F33" s="3106" t="s">
        <v>2465</v>
      </c>
      <c r="G33" s="3106"/>
    </row>
    <row r="34" spans="1:7" ht="19.5" customHeight="1">
      <c r="A34" s="3807"/>
      <c r="B34" s="3804"/>
      <c r="C34" s="3107" t="s">
        <v>2466</v>
      </c>
      <c r="D34" s="3108"/>
      <c r="E34" s="3109">
        <v>0.6</v>
      </c>
      <c r="F34" s="3106" t="s">
        <v>2467</v>
      </c>
      <c r="G34" s="3106"/>
    </row>
    <row r="35" spans="1:7" ht="19.5" customHeight="1">
      <c r="A35" s="3807"/>
      <c r="B35" s="3804"/>
      <c r="C35" s="3107" t="s">
        <v>2468</v>
      </c>
      <c r="D35" s="3108"/>
      <c r="E35" s="3109">
        <v>0.2</v>
      </c>
      <c r="F35" s="3106" t="s">
        <v>2469</v>
      </c>
      <c r="G35" s="3106"/>
    </row>
    <row r="36" spans="1:7" ht="19.5" customHeight="1">
      <c r="A36" s="3807"/>
      <c r="B36" s="3804"/>
      <c r="C36" s="3107" t="s">
        <v>2470</v>
      </c>
      <c r="D36" s="3108"/>
      <c r="E36" s="3109">
        <v>0.2</v>
      </c>
      <c r="F36" s="3106" t="s">
        <v>2471</v>
      </c>
      <c r="G36" s="3106"/>
    </row>
    <row r="37" spans="1:7" ht="19.5" customHeight="1">
      <c r="A37" s="3807"/>
      <c r="B37" s="3809" t="s">
        <v>2632</v>
      </c>
      <c r="C37" s="3107" t="s">
        <v>2472</v>
      </c>
      <c r="D37" s="3108"/>
      <c r="E37" s="3109">
        <v>0.6</v>
      </c>
      <c r="F37" s="3106" t="s">
        <v>2473</v>
      </c>
      <c r="G37" s="3106"/>
    </row>
    <row r="38" spans="1:7" ht="19.5" customHeight="1">
      <c r="A38" s="3807"/>
      <c r="B38" s="3804"/>
      <c r="C38" s="3107" t="s">
        <v>2474</v>
      </c>
      <c r="D38" s="3108"/>
      <c r="E38" s="3109">
        <v>0.6</v>
      </c>
      <c r="F38" s="3106" t="s">
        <v>2475</v>
      </c>
      <c r="G38" s="3106"/>
    </row>
    <row r="39" spans="1:7" ht="19.5" customHeight="1" thickBot="1">
      <c r="A39" s="3808"/>
      <c r="B39" s="380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0" t="s">
        <v>2610</v>
      </c>
      <c r="B41" s="3803" t="s">
        <v>2634</v>
      </c>
      <c r="C41" s="3103" t="s">
        <v>2479</v>
      </c>
      <c r="D41" s="3104"/>
      <c r="E41" s="3105">
        <v>1</v>
      </c>
      <c r="F41" s="3106" t="s">
        <v>2480</v>
      </c>
      <c r="G41" s="3106"/>
    </row>
    <row r="42" spans="1:7" ht="19.5" customHeight="1">
      <c r="A42" s="3811"/>
      <c r="B42" s="3804"/>
      <c r="C42" s="3107" t="s">
        <v>2481</v>
      </c>
      <c r="D42" s="3108"/>
      <c r="E42" s="3109">
        <v>1</v>
      </c>
      <c r="F42" s="3106" t="s">
        <v>2482</v>
      </c>
      <c r="G42" s="3106"/>
    </row>
    <row r="43" spans="1:7" ht="19.5" customHeight="1">
      <c r="A43" s="3811"/>
      <c r="B43" s="3813"/>
      <c r="C43" s="3107" t="s">
        <v>2483</v>
      </c>
      <c r="D43" s="3108"/>
      <c r="E43" s="3109">
        <v>1.5</v>
      </c>
      <c r="F43" s="3106" t="s">
        <v>2484</v>
      </c>
      <c r="G43" s="3106"/>
    </row>
    <row r="44" spans="1:7" ht="19.5" customHeight="1">
      <c r="A44" s="3811"/>
      <c r="B44" s="3118" t="s">
        <v>2635</v>
      </c>
      <c r="C44" s="3107" t="s">
        <v>2636</v>
      </c>
      <c r="D44" s="3108"/>
      <c r="E44" s="3109">
        <v>2</v>
      </c>
      <c r="F44" s="3106" t="s">
        <v>2485</v>
      </c>
      <c r="G44" s="3106"/>
    </row>
    <row r="45" spans="1:7" ht="19.5" customHeight="1">
      <c r="A45" s="3811"/>
      <c r="B45" s="3809" t="s">
        <v>2637</v>
      </c>
      <c r="C45" s="3107" t="s">
        <v>2486</v>
      </c>
      <c r="D45" s="3108"/>
      <c r="E45" s="3109">
        <v>1</v>
      </c>
      <c r="F45" s="3106" t="s">
        <v>2487</v>
      </c>
      <c r="G45" s="3106"/>
    </row>
    <row r="46" spans="1:7" ht="19.5" customHeight="1">
      <c r="A46" s="3811"/>
      <c r="B46" s="3804"/>
      <c r="C46" s="3107" t="s">
        <v>2488</v>
      </c>
      <c r="D46" s="3108"/>
      <c r="E46" s="3109">
        <v>1</v>
      </c>
      <c r="F46" s="3106" t="s">
        <v>2489</v>
      </c>
      <c r="G46" s="3106"/>
    </row>
    <row r="47" spans="1:7" ht="19.5" customHeight="1">
      <c r="A47" s="3811"/>
      <c r="B47" s="3804"/>
      <c r="C47" s="3107" t="s">
        <v>2490</v>
      </c>
      <c r="D47" s="3108"/>
      <c r="E47" s="3109">
        <v>1</v>
      </c>
      <c r="F47" s="3106" t="s">
        <v>2491</v>
      </c>
      <c r="G47" s="3106"/>
    </row>
    <row r="48" spans="1:7" ht="19.5" customHeight="1">
      <c r="A48" s="3811"/>
      <c r="B48" s="3804"/>
      <c r="C48" s="3107" t="s">
        <v>2492</v>
      </c>
      <c r="D48" s="3108"/>
      <c r="E48" s="3109">
        <v>1</v>
      </c>
      <c r="F48" s="3106" t="s">
        <v>2493</v>
      </c>
      <c r="G48" s="3106"/>
    </row>
    <row r="49" spans="1:7" ht="19.5" customHeight="1">
      <c r="A49" s="3811"/>
      <c r="B49" s="3804"/>
      <c r="C49" s="3107" t="s">
        <v>2494</v>
      </c>
      <c r="D49" s="3108"/>
      <c r="E49" s="3109">
        <v>1</v>
      </c>
      <c r="F49" s="3106" t="s">
        <v>2495</v>
      </c>
      <c r="G49" s="3106"/>
    </row>
    <row r="50" spans="1:7" ht="19.5" customHeight="1">
      <c r="A50" s="3811"/>
      <c r="B50" s="3804"/>
      <c r="C50" s="3107" t="s">
        <v>2496</v>
      </c>
      <c r="D50" s="3108"/>
      <c r="E50" s="3109">
        <v>1</v>
      </c>
      <c r="F50" s="3106" t="s">
        <v>2497</v>
      </c>
      <c r="G50" s="3106"/>
    </row>
    <row r="51" spans="1:7" ht="19.5" customHeight="1" thickBot="1">
      <c r="A51" s="3812"/>
      <c r="B51" s="380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9" t="s">
        <v>2651</v>
      </c>
      <c r="C73" s="3092" t="s">
        <v>2652</v>
      </c>
      <c r="D73" s="3092" t="s">
        <v>2653</v>
      </c>
      <c r="E73" s="3118">
        <v>0.2</v>
      </c>
      <c r="F73" s="3118">
        <v>25</v>
      </c>
    </row>
    <row r="74" spans="1:7" ht="24">
      <c r="A74" s="3118">
        <v>2</v>
      </c>
      <c r="B74" s="3804"/>
      <c r="C74" s="3092" t="s">
        <v>2654</v>
      </c>
      <c r="D74" s="3092" t="s">
        <v>2655</v>
      </c>
      <c r="E74" s="3118">
        <v>0.2</v>
      </c>
      <c r="F74" s="3118">
        <v>25</v>
      </c>
    </row>
    <row r="75" spans="1:7" ht="24">
      <c r="A75" s="3118">
        <v>3</v>
      </c>
      <c r="B75" s="3804"/>
      <c r="C75" s="3092" t="s">
        <v>2656</v>
      </c>
      <c r="D75" s="3092" t="s">
        <v>2657</v>
      </c>
      <c r="E75" s="3118">
        <v>0.2</v>
      </c>
      <c r="F75" s="3118">
        <v>25</v>
      </c>
    </row>
    <row r="76" spans="1:7" ht="14.4">
      <c r="A76" s="3118">
        <v>4</v>
      </c>
      <c r="B76" s="3804"/>
      <c r="C76" s="3092" t="s">
        <v>2658</v>
      </c>
      <c r="D76" s="3092" t="s">
        <v>2659</v>
      </c>
      <c r="E76" s="3118">
        <v>0.15</v>
      </c>
      <c r="F76" s="3118">
        <v>20</v>
      </c>
    </row>
    <row r="77" spans="1:7" ht="24">
      <c r="A77" s="3118">
        <v>5</v>
      </c>
      <c r="B77" s="3804"/>
      <c r="C77" s="3092" t="s">
        <v>2660</v>
      </c>
      <c r="D77" s="3092" t="s">
        <v>2661</v>
      </c>
      <c r="E77" s="3118">
        <v>0.15</v>
      </c>
      <c r="F77" s="3118">
        <v>20</v>
      </c>
    </row>
    <row r="78" spans="1:7" ht="24">
      <c r="A78" s="3118">
        <v>6</v>
      </c>
      <c r="B78" s="3804"/>
      <c r="C78" s="3092" t="s">
        <v>2662</v>
      </c>
      <c r="D78" s="3092" t="s">
        <v>2663</v>
      </c>
      <c r="E78" s="3118">
        <v>0.15</v>
      </c>
      <c r="F78" s="3118">
        <v>20</v>
      </c>
    </row>
    <row r="79" spans="1:7" ht="24">
      <c r="A79" s="3118">
        <v>7</v>
      </c>
      <c r="B79" s="3804"/>
      <c r="C79" s="3092" t="s">
        <v>2664</v>
      </c>
      <c r="D79" s="3092" t="s">
        <v>2665</v>
      </c>
      <c r="E79" s="3118">
        <v>0.15</v>
      </c>
      <c r="F79" s="3118">
        <v>20</v>
      </c>
    </row>
    <row r="80" spans="1:7" ht="24">
      <c r="A80" s="3118">
        <v>8</v>
      </c>
      <c r="B80" s="3804"/>
      <c r="C80" s="3092" t="s">
        <v>2666</v>
      </c>
      <c r="D80" s="3092" t="s">
        <v>2667</v>
      </c>
      <c r="E80" s="3118">
        <v>0.1</v>
      </c>
      <c r="F80" s="3118">
        <v>15</v>
      </c>
    </row>
    <row r="81" spans="1:6" ht="24">
      <c r="A81" s="3118">
        <v>9</v>
      </c>
      <c r="B81" s="3804"/>
      <c r="C81" s="3092" t="s">
        <v>2668</v>
      </c>
      <c r="D81" s="3092" t="s">
        <v>2669</v>
      </c>
      <c r="E81" s="3118">
        <v>0.1</v>
      </c>
      <c r="F81" s="3118">
        <v>15</v>
      </c>
    </row>
    <row r="82" spans="1:6" ht="24">
      <c r="A82" s="3118">
        <v>10</v>
      </c>
      <c r="B82" s="3804"/>
      <c r="C82" s="3092" t="s">
        <v>2670</v>
      </c>
      <c r="D82" s="3092" t="s">
        <v>2671</v>
      </c>
      <c r="E82" s="3118">
        <v>0.1</v>
      </c>
      <c r="F82" s="3118">
        <v>15</v>
      </c>
    </row>
    <row r="83" spans="1:6" ht="24">
      <c r="A83" s="3118">
        <v>11</v>
      </c>
      <c r="B83" s="3804"/>
      <c r="C83" s="3092" t="s">
        <v>2672</v>
      </c>
      <c r="D83" s="3092" t="s">
        <v>2673</v>
      </c>
      <c r="E83" s="3118">
        <v>0.1</v>
      </c>
      <c r="F83" s="3118">
        <v>15</v>
      </c>
    </row>
    <row r="84" spans="1:6" ht="24">
      <c r="A84" s="3118">
        <v>12</v>
      </c>
      <c r="B84" s="3804"/>
      <c r="C84" s="3092" t="s">
        <v>2674</v>
      </c>
      <c r="D84" s="3092" t="s">
        <v>2675</v>
      </c>
      <c r="E84" s="3118">
        <v>0.1</v>
      </c>
      <c r="F84" s="3118">
        <v>15</v>
      </c>
    </row>
    <row r="85" spans="1:6" ht="24">
      <c r="A85" s="3118">
        <v>13</v>
      </c>
      <c r="B85" s="3804"/>
      <c r="C85" s="3092" t="s">
        <v>2676</v>
      </c>
      <c r="D85" s="3092" t="s">
        <v>2677</v>
      </c>
      <c r="E85" s="3118">
        <v>0.1</v>
      </c>
      <c r="F85" s="3118">
        <v>15</v>
      </c>
    </row>
    <row r="86" spans="1:6" ht="24">
      <c r="A86" s="3118">
        <v>14</v>
      </c>
      <c r="B86" s="3804"/>
      <c r="C86" s="3092" t="s">
        <v>2678</v>
      </c>
      <c r="D86" s="3092" t="s">
        <v>2679</v>
      </c>
      <c r="E86" s="3118">
        <v>0.1</v>
      </c>
      <c r="F86" s="3118">
        <v>15</v>
      </c>
    </row>
    <row r="87" spans="1:6" ht="24">
      <c r="A87" s="3118">
        <v>15</v>
      </c>
      <c r="B87" s="3804"/>
      <c r="C87" s="3092" t="s">
        <v>2680</v>
      </c>
      <c r="D87" s="3092" t="s">
        <v>2681</v>
      </c>
      <c r="E87" s="3118">
        <v>0.1</v>
      </c>
      <c r="F87" s="3118">
        <v>15</v>
      </c>
    </row>
    <row r="88" spans="1:6" ht="24">
      <c r="A88" s="3118">
        <v>16</v>
      </c>
      <c r="B88" s="3804"/>
      <c r="C88" s="3092" t="s">
        <v>2682</v>
      </c>
      <c r="D88" s="3092" t="s">
        <v>2683</v>
      </c>
      <c r="E88" s="3118">
        <v>0.1</v>
      </c>
      <c r="F88" s="3118">
        <v>15</v>
      </c>
    </row>
    <row r="89" spans="1:6" ht="24">
      <c r="A89" s="3118">
        <v>17</v>
      </c>
      <c r="B89" s="3813"/>
      <c r="C89" s="3092" t="s">
        <v>2684</v>
      </c>
      <c r="D89" s="3092" t="s">
        <v>2685</v>
      </c>
      <c r="E89" s="3118">
        <v>0.1</v>
      </c>
      <c r="F89" s="3118">
        <v>15</v>
      </c>
    </row>
    <row r="90" spans="1:6" ht="14.4">
      <c r="A90" s="3118">
        <v>18</v>
      </c>
      <c r="B90" s="3809" t="s">
        <v>2686</v>
      </c>
      <c r="C90" s="3092" t="s">
        <v>2687</v>
      </c>
      <c r="D90" s="3092" t="s">
        <v>2688</v>
      </c>
      <c r="E90" s="3118">
        <v>0.2</v>
      </c>
      <c r="F90" s="3118">
        <v>25</v>
      </c>
    </row>
    <row r="91" spans="1:6" ht="24">
      <c r="A91" s="3118">
        <v>19</v>
      </c>
      <c r="B91" s="3804"/>
      <c r="C91" s="3092" t="s">
        <v>2689</v>
      </c>
      <c r="D91" s="3092" t="s">
        <v>2690</v>
      </c>
      <c r="E91" s="3118">
        <v>0.2</v>
      </c>
      <c r="F91" s="3118">
        <v>25</v>
      </c>
    </row>
    <row r="92" spans="1:6" ht="14.4">
      <c r="A92" s="3118">
        <v>20</v>
      </c>
      <c r="B92" s="3804"/>
      <c r="C92" s="3092" t="s">
        <v>2691</v>
      </c>
      <c r="D92" s="3092" t="s">
        <v>2692</v>
      </c>
      <c r="E92" s="3118">
        <v>0.15</v>
      </c>
      <c r="F92" s="3118">
        <v>20</v>
      </c>
    </row>
    <row r="93" spans="1:6" ht="24">
      <c r="A93" s="3118">
        <v>21</v>
      </c>
      <c r="B93" s="3804"/>
      <c r="C93" s="3092" t="s">
        <v>2693</v>
      </c>
      <c r="D93" s="3092" t="s">
        <v>2694</v>
      </c>
      <c r="E93" s="3118">
        <v>0.15</v>
      </c>
      <c r="F93" s="3118">
        <v>20</v>
      </c>
    </row>
    <row r="94" spans="1:6" ht="24">
      <c r="A94" s="3118">
        <v>22</v>
      </c>
      <c r="B94" s="3804"/>
      <c r="C94" s="3092" t="s">
        <v>2695</v>
      </c>
      <c r="D94" s="3092" t="s">
        <v>2696</v>
      </c>
      <c r="E94" s="3118">
        <v>0.15</v>
      </c>
      <c r="F94" s="3118">
        <v>20</v>
      </c>
    </row>
    <row r="95" spans="1:6" ht="36">
      <c r="A95" s="3118">
        <v>23</v>
      </c>
      <c r="B95" s="3804"/>
      <c r="C95" s="3092" t="s">
        <v>2697</v>
      </c>
      <c r="D95" s="3092" t="s">
        <v>2698</v>
      </c>
      <c r="E95" s="3118">
        <v>0.15</v>
      </c>
      <c r="F95" s="3118">
        <v>20</v>
      </c>
    </row>
    <row r="96" spans="1:6" ht="24">
      <c r="A96" s="3118">
        <v>24</v>
      </c>
      <c r="B96" s="3804"/>
      <c r="C96" s="3092" t="s">
        <v>2699</v>
      </c>
      <c r="D96" s="3092" t="s">
        <v>2700</v>
      </c>
      <c r="E96" s="3118">
        <v>0.1</v>
      </c>
      <c r="F96" s="3118">
        <v>15</v>
      </c>
    </row>
    <row r="97" spans="1:6" ht="24">
      <c r="A97" s="3118">
        <v>25</v>
      </c>
      <c r="B97" s="3804"/>
      <c r="C97" s="3092" t="s">
        <v>2701</v>
      </c>
      <c r="D97" s="3092" t="s">
        <v>2702</v>
      </c>
      <c r="E97" s="3118">
        <v>0.1</v>
      </c>
      <c r="F97" s="3118">
        <v>15</v>
      </c>
    </row>
    <row r="98" spans="1:6" ht="24">
      <c r="A98" s="3118">
        <v>26</v>
      </c>
      <c r="B98" s="3804"/>
      <c r="C98" s="3092" t="s">
        <v>2703</v>
      </c>
      <c r="D98" s="3092" t="s">
        <v>2704</v>
      </c>
      <c r="E98" s="3118">
        <v>0.1</v>
      </c>
      <c r="F98" s="3118">
        <v>15</v>
      </c>
    </row>
    <row r="99" spans="1:6" ht="24">
      <c r="A99" s="3118">
        <v>27</v>
      </c>
      <c r="B99" s="3804"/>
      <c r="C99" s="3092" t="s">
        <v>2705</v>
      </c>
      <c r="D99" s="3092" t="s">
        <v>2706</v>
      </c>
      <c r="E99" s="3118">
        <v>0.1</v>
      </c>
      <c r="F99" s="3118">
        <v>15</v>
      </c>
    </row>
    <row r="100" spans="1:6" ht="24">
      <c r="A100" s="3118">
        <v>28</v>
      </c>
      <c r="B100" s="3804"/>
      <c r="C100" s="3092" t="s">
        <v>2707</v>
      </c>
      <c r="D100" s="3092" t="s">
        <v>2708</v>
      </c>
      <c r="E100" s="3118">
        <v>0.1</v>
      </c>
      <c r="F100" s="3118">
        <v>15</v>
      </c>
    </row>
    <row r="101" spans="1:6" ht="24">
      <c r="A101" s="3118">
        <v>29</v>
      </c>
      <c r="B101" s="3804"/>
      <c r="C101" s="3092" t="s">
        <v>2709</v>
      </c>
      <c r="D101" s="3092" t="s">
        <v>2710</v>
      </c>
      <c r="E101" s="3118">
        <v>0.1</v>
      </c>
      <c r="F101" s="3118">
        <v>15</v>
      </c>
    </row>
    <row r="102" spans="1:6" ht="24">
      <c r="A102" s="3118">
        <v>30</v>
      </c>
      <c r="B102" s="3804"/>
      <c r="C102" s="3092" t="s">
        <v>2711</v>
      </c>
      <c r="D102" s="3092" t="s">
        <v>2712</v>
      </c>
      <c r="E102" s="3118">
        <v>0.1</v>
      </c>
      <c r="F102" s="3118">
        <v>15</v>
      </c>
    </row>
    <row r="103" spans="1:6" ht="24">
      <c r="A103" s="3118">
        <v>31</v>
      </c>
      <c r="B103" s="3804"/>
      <c r="C103" s="3092" t="s">
        <v>2713</v>
      </c>
      <c r="D103" s="3092" t="s">
        <v>2714</v>
      </c>
      <c r="E103" s="3118">
        <v>0.1</v>
      </c>
      <c r="F103" s="3118">
        <v>15</v>
      </c>
    </row>
    <row r="104" spans="1:6" ht="24">
      <c r="A104" s="3118">
        <v>32</v>
      </c>
      <c r="B104" s="3804"/>
      <c r="C104" s="3092" t="s">
        <v>2715</v>
      </c>
      <c r="D104" s="3092" t="s">
        <v>2716</v>
      </c>
      <c r="E104" s="3118">
        <v>0.1</v>
      </c>
      <c r="F104" s="3118">
        <v>15</v>
      </c>
    </row>
    <row r="105" spans="1:6" ht="24">
      <c r="A105" s="3118">
        <v>33</v>
      </c>
      <c r="B105" s="3804"/>
      <c r="C105" s="3092" t="s">
        <v>2717</v>
      </c>
      <c r="D105" s="3092" t="s">
        <v>2718</v>
      </c>
      <c r="E105" s="3118">
        <v>0.1</v>
      </c>
      <c r="F105" s="3118">
        <v>15</v>
      </c>
    </row>
    <row r="106" spans="1:6" ht="24">
      <c r="A106" s="3118">
        <v>34</v>
      </c>
      <c r="B106" s="3813"/>
      <c r="C106" s="3092" t="s">
        <v>2719</v>
      </c>
      <c r="D106" s="3092" t="s">
        <v>2720</v>
      </c>
      <c r="E106" s="3118">
        <v>0.1</v>
      </c>
      <c r="F106" s="3118">
        <v>15</v>
      </c>
    </row>
    <row r="107" spans="1:6" ht="36">
      <c r="A107" s="3118">
        <v>35</v>
      </c>
      <c r="B107" s="3809" t="s">
        <v>2721</v>
      </c>
      <c r="C107" s="3118" t="s">
        <v>2722</v>
      </c>
      <c r="D107" s="3092" t="s">
        <v>2723</v>
      </c>
      <c r="E107" s="3118">
        <v>0.15</v>
      </c>
      <c r="F107" s="3118">
        <v>20</v>
      </c>
    </row>
    <row r="108" spans="1:6" ht="24">
      <c r="A108" s="3118">
        <v>36</v>
      </c>
      <c r="B108" s="3804"/>
      <c r="C108" s="3118" t="s">
        <v>2724</v>
      </c>
      <c r="D108" s="3092" t="s">
        <v>2725</v>
      </c>
      <c r="E108" s="3118">
        <v>0.15</v>
      </c>
      <c r="F108" s="3118">
        <v>20</v>
      </c>
    </row>
    <row r="109" spans="1:6" ht="24">
      <c r="A109" s="3118">
        <v>37</v>
      </c>
      <c r="B109" s="3804"/>
      <c r="C109" s="3118" t="s">
        <v>2726</v>
      </c>
      <c r="D109" s="3092" t="s">
        <v>2727</v>
      </c>
      <c r="E109" s="3118">
        <v>0.15</v>
      </c>
      <c r="F109" s="3118">
        <v>20</v>
      </c>
    </row>
    <row r="110" spans="1:6" ht="24">
      <c r="A110" s="3118">
        <v>38</v>
      </c>
      <c r="B110" s="3804"/>
      <c r="C110" s="3118" t="s">
        <v>2728</v>
      </c>
      <c r="D110" s="3092" t="s">
        <v>2729</v>
      </c>
      <c r="E110" s="3118">
        <v>0.1</v>
      </c>
      <c r="F110" s="3118">
        <v>15</v>
      </c>
    </row>
    <row r="111" spans="1:6" ht="24">
      <c r="A111" s="3118">
        <v>39</v>
      </c>
      <c r="B111" s="3804"/>
      <c r="C111" s="3118" t="s">
        <v>2730</v>
      </c>
      <c r="D111" s="3092" t="s">
        <v>2731</v>
      </c>
      <c r="E111" s="3118">
        <v>0.1</v>
      </c>
      <c r="F111" s="3118">
        <v>15</v>
      </c>
    </row>
    <row r="112" spans="1:6" ht="24">
      <c r="A112" s="3118">
        <v>40</v>
      </c>
      <c r="B112" s="3813"/>
      <c r="C112" s="3118" t="s">
        <v>2732</v>
      </c>
      <c r="D112" s="3092" t="s">
        <v>2733</v>
      </c>
      <c r="E112" s="3118">
        <v>0.1</v>
      </c>
      <c r="F112" s="3118">
        <v>15</v>
      </c>
    </row>
    <row r="113" spans="1:6" ht="24">
      <c r="A113" s="3118">
        <v>41</v>
      </c>
      <c r="B113" s="3814" t="s">
        <v>2734</v>
      </c>
      <c r="C113" s="3118" t="s">
        <v>2735</v>
      </c>
      <c r="D113" s="3092" t="s">
        <v>2736</v>
      </c>
      <c r="E113" s="3118">
        <v>0.1</v>
      </c>
      <c r="F113" s="3118">
        <v>15</v>
      </c>
    </row>
    <row r="114" spans="1:6" ht="24">
      <c r="A114" s="3118">
        <v>42</v>
      </c>
      <c r="B114" s="3814"/>
      <c r="C114" s="3118" t="s">
        <v>2737</v>
      </c>
      <c r="D114" s="3092" t="s">
        <v>2738</v>
      </c>
      <c r="E114" s="3118">
        <v>0.1</v>
      </c>
      <c r="F114" s="3118">
        <v>15</v>
      </c>
    </row>
    <row r="115" spans="1:6" ht="24">
      <c r="A115" s="3118">
        <v>43</v>
      </c>
      <c r="B115" s="3814"/>
      <c r="C115" s="3118" t="s">
        <v>2739</v>
      </c>
      <c r="D115" s="3092" t="s">
        <v>2740</v>
      </c>
      <c r="E115" s="3118">
        <v>0.1</v>
      </c>
      <c r="F115" s="3118">
        <v>15</v>
      </c>
    </row>
    <row r="116" spans="1:6" ht="24">
      <c r="A116" s="3118">
        <v>44</v>
      </c>
      <c r="B116" s="3809" t="s">
        <v>2741</v>
      </c>
      <c r="C116" s="3118" t="s">
        <v>2742</v>
      </c>
      <c r="D116" s="3092" t="s">
        <v>2743</v>
      </c>
      <c r="E116" s="3118">
        <v>0.1</v>
      </c>
      <c r="F116" s="3118">
        <v>15</v>
      </c>
    </row>
    <row r="117" spans="1:6" ht="24">
      <c r="A117" s="3118">
        <v>45</v>
      </c>
      <c r="B117" s="3813"/>
      <c r="C117" s="3092" t="s">
        <v>2744</v>
      </c>
      <c r="D117" s="3092" t="s">
        <v>2745</v>
      </c>
      <c r="E117" s="3118">
        <v>0.1</v>
      </c>
      <c r="F117" s="3118">
        <v>15</v>
      </c>
    </row>
    <row r="118" spans="1:6" ht="24">
      <c r="A118" s="3118">
        <v>46</v>
      </c>
      <c r="B118" s="3809" t="s">
        <v>2746</v>
      </c>
      <c r="C118" s="3118" t="s">
        <v>2747</v>
      </c>
      <c r="D118" s="3092" t="s">
        <v>2748</v>
      </c>
      <c r="E118" s="3118">
        <v>0.1</v>
      </c>
      <c r="F118" s="3118">
        <v>15</v>
      </c>
    </row>
    <row r="119" spans="1:6" ht="24">
      <c r="A119" s="3118">
        <v>47</v>
      </c>
      <c r="B119" s="3813"/>
      <c r="C119" s="3118" t="s">
        <v>2749</v>
      </c>
      <c r="D119" s="3092" t="s">
        <v>2750</v>
      </c>
      <c r="E119" s="3118">
        <v>0.1</v>
      </c>
      <c r="F119" s="3118">
        <v>15</v>
      </c>
    </row>
    <row r="120" spans="1:6" ht="24">
      <c r="A120" s="3118">
        <v>48</v>
      </c>
      <c r="B120" s="3809" t="s">
        <v>2751</v>
      </c>
      <c r="C120" s="3118" t="s">
        <v>2752</v>
      </c>
      <c r="D120" s="3092" t="s">
        <v>2753</v>
      </c>
      <c r="E120" s="3118">
        <v>0.1</v>
      </c>
      <c r="F120" s="3118">
        <v>15</v>
      </c>
    </row>
    <row r="121" spans="1:6" ht="24">
      <c r="A121" s="3118">
        <v>49</v>
      </c>
      <c r="B121" s="3813"/>
      <c r="C121" s="3118" t="s">
        <v>2754</v>
      </c>
      <c r="D121" s="3092" t="s">
        <v>2755</v>
      </c>
      <c r="E121" s="3118">
        <v>0.1</v>
      </c>
      <c r="F121" s="3118">
        <v>15</v>
      </c>
    </row>
    <row r="122" spans="1:6" ht="24">
      <c r="A122" s="3118">
        <v>50</v>
      </c>
      <c r="B122" s="3814" t="s">
        <v>2756</v>
      </c>
      <c r="C122" s="3118" t="s">
        <v>2757</v>
      </c>
      <c r="D122" s="3092" t="s">
        <v>2758</v>
      </c>
      <c r="E122" s="3118">
        <v>0.1</v>
      </c>
      <c r="F122" s="3118">
        <v>15</v>
      </c>
    </row>
    <row r="123" spans="1:6" ht="24">
      <c r="A123" s="3118">
        <v>51</v>
      </c>
      <c r="B123" s="3814"/>
      <c r="C123" s="3118" t="s">
        <v>2759</v>
      </c>
      <c r="D123" s="3092" t="s">
        <v>2760</v>
      </c>
      <c r="E123" s="3118">
        <v>0.1</v>
      </c>
      <c r="F123" s="3118">
        <v>15</v>
      </c>
    </row>
    <row r="124" spans="1:6" ht="24">
      <c r="A124" s="3118">
        <v>52</v>
      </c>
      <c r="B124" s="3814" t="s">
        <v>2761</v>
      </c>
      <c r="C124" s="3118" t="s">
        <v>2762</v>
      </c>
      <c r="D124" s="3092" t="s">
        <v>2763</v>
      </c>
      <c r="E124" s="3118">
        <v>0.1</v>
      </c>
      <c r="F124" s="3118">
        <v>15</v>
      </c>
    </row>
    <row r="125" spans="1:6" ht="24">
      <c r="A125" s="3118">
        <v>53</v>
      </c>
      <c r="B125" s="381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14" t="s">
        <v>2769</v>
      </c>
      <c r="C127" s="3118" t="s">
        <v>2770</v>
      </c>
      <c r="D127" s="3092" t="s">
        <v>2771</v>
      </c>
      <c r="E127" s="3118">
        <v>0.1</v>
      </c>
      <c r="F127" s="3118">
        <v>15</v>
      </c>
    </row>
    <row r="128" spans="1:6" ht="24">
      <c r="A128" s="3118">
        <v>56</v>
      </c>
      <c r="B128" s="3814"/>
      <c r="C128" s="3118" t="s">
        <v>2772</v>
      </c>
      <c r="D128" s="3092" t="s">
        <v>2773</v>
      </c>
      <c r="E128" s="3118">
        <v>0.1</v>
      </c>
      <c r="F128" s="3118">
        <v>15</v>
      </c>
    </row>
    <row r="129" spans="1:6" ht="24">
      <c r="A129" s="3118">
        <v>57</v>
      </c>
      <c r="B129" s="3814"/>
      <c r="C129" s="3118" t="s">
        <v>2774</v>
      </c>
      <c r="D129" s="3092" t="s">
        <v>2775</v>
      </c>
      <c r="E129" s="3118">
        <v>0.1</v>
      </c>
      <c r="F129" s="3118">
        <v>15</v>
      </c>
    </row>
    <row r="130" spans="1:6" ht="24">
      <c r="A130" s="3118">
        <v>58</v>
      </c>
      <c r="B130" s="3814" t="s">
        <v>2776</v>
      </c>
      <c r="C130" s="3118" t="s">
        <v>2777</v>
      </c>
      <c r="D130" s="3092" t="s">
        <v>2778</v>
      </c>
      <c r="E130" s="3118">
        <v>0.1</v>
      </c>
      <c r="F130" s="3118">
        <v>15</v>
      </c>
    </row>
    <row r="131" spans="1:6" ht="24">
      <c r="A131" s="3118">
        <v>59</v>
      </c>
      <c r="B131" s="3814"/>
      <c r="C131" s="3118" t="s">
        <v>2779</v>
      </c>
      <c r="D131" s="3092" t="s">
        <v>2780</v>
      </c>
      <c r="E131" s="3118">
        <v>0.1</v>
      </c>
      <c r="F131" s="3118">
        <v>15</v>
      </c>
    </row>
    <row r="132" spans="1:6" ht="24">
      <c r="A132" s="3118">
        <v>60</v>
      </c>
      <c r="B132" s="3809" t="s">
        <v>2781</v>
      </c>
      <c r="C132" s="3118" t="s">
        <v>2782</v>
      </c>
      <c r="D132" s="3092" t="s">
        <v>2783</v>
      </c>
      <c r="E132" s="3118">
        <v>0.1</v>
      </c>
      <c r="F132" s="3118">
        <v>15</v>
      </c>
    </row>
    <row r="133" spans="1:6" ht="24">
      <c r="A133" s="3118">
        <v>61</v>
      </c>
      <c r="B133" s="381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14" t="s">
        <v>2789</v>
      </c>
      <c r="C135" s="3118" t="s">
        <v>2790</v>
      </c>
      <c r="D135" s="3092" t="s">
        <v>2791</v>
      </c>
      <c r="E135" s="3118">
        <v>0.1</v>
      </c>
      <c r="F135" s="3118">
        <v>15</v>
      </c>
    </row>
    <row r="136" spans="1:6" ht="24">
      <c r="A136" s="3118">
        <v>64</v>
      </c>
      <c r="B136" s="381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4"/>
      <c r="C2" s="3494"/>
      <c r="D2" s="3494"/>
      <c r="E2" s="3494"/>
    </row>
    <row r="3" spans="1:5" ht="17.399999999999999">
      <c r="A3" s="3495" t="str">
        <f>IF(项目基本情况!B9="房地产市场价值","估价结果一览表（市场价值不需“结果表-1”）","估价结果一览表")</f>
        <v>估价结果一览表（市场价值不需“结果表-1”）</v>
      </c>
      <c r="B3" s="3495"/>
      <c r="C3" s="3495"/>
      <c r="D3" s="3495"/>
      <c r="E3" s="3495"/>
    </row>
    <row r="4" spans="1:5" ht="18" thickBot="1">
      <c r="A4" s="1493"/>
      <c r="B4" s="3493" t="s">
        <v>917</v>
      </c>
      <c r="C4" s="3493"/>
      <c r="D4" s="3493"/>
      <c r="E4" s="1493"/>
    </row>
    <row r="5" spans="1:5" ht="16.2" thickTop="1">
      <c r="A5" s="1491"/>
      <c r="B5" s="3491" t="s">
        <v>909</v>
      </c>
      <c r="C5" s="1494" t="s">
        <v>910</v>
      </c>
      <c r="D5" s="850" t="e">
        <f ca="1">结果表!H101</f>
        <v>#REF!</v>
      </c>
      <c r="E5" s="1491"/>
    </row>
    <row r="6" spans="1:5" ht="15.6">
      <c r="A6" s="1491"/>
      <c r="B6" s="3491"/>
      <c r="C6" s="1494" t="s">
        <v>911</v>
      </c>
      <c r="D6" s="850" t="e">
        <f ca="1">NUMBERSTRING(INT(D5*10000),2)&amp;"元整"</f>
        <v>#REF!</v>
      </c>
      <c r="E6" s="1491"/>
    </row>
    <row r="7" spans="1:5" ht="15.6">
      <c r="A7" s="1491"/>
      <c r="B7" s="3496"/>
      <c r="C7" s="1495" t="s">
        <v>912</v>
      </c>
      <c r="D7" s="851" t="e">
        <f ca="1">结果表!H102</f>
        <v>#REF!</v>
      </c>
      <c r="E7" s="1491"/>
    </row>
    <row r="8" spans="1:5" ht="15.6">
      <c r="A8" s="1491"/>
      <c r="B8" s="3497" t="str">
        <f>结果表!E103</f>
        <v>2.估价师知悉的法定优先受偿款</v>
      </c>
      <c r="C8" s="1496" t="s">
        <v>913</v>
      </c>
      <c r="D8" s="851">
        <f>结果表!H103</f>
        <v>0</v>
      </c>
      <c r="E8" s="1491"/>
    </row>
    <row r="9" spans="1:5" ht="15.6">
      <c r="A9" s="1491"/>
      <c r="B9" s="349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0" t="str">
        <f>结果表!E107</f>
        <v>3.房地产抵押价值</v>
      </c>
      <c r="C13" s="1499" t="s">
        <v>910</v>
      </c>
      <c r="D13" s="853" t="e">
        <f ca="1">结果表!H107</f>
        <v>#REF!</v>
      </c>
      <c r="E13" s="1491"/>
    </row>
    <row r="14" spans="1:5" ht="15.6">
      <c r="A14" s="1491"/>
      <c r="B14" s="3491"/>
      <c r="C14" s="1494" t="s">
        <v>911</v>
      </c>
      <c r="D14" s="850" t="e">
        <f ca="1">NUMBERSTRING(INT(D13*10000),2)&amp;"元整"</f>
        <v>#REF!</v>
      </c>
      <c r="E14" s="1491"/>
    </row>
    <row r="15" spans="1:5" ht="15.6">
      <c r="A15" s="1491"/>
      <c r="B15" s="3496"/>
      <c r="C15" s="1495" t="s">
        <v>921</v>
      </c>
      <c r="D15" s="859" t="e">
        <f ca="1">结果表!H108</f>
        <v>#REF!</v>
      </c>
      <c r="E15" s="1491"/>
    </row>
    <row r="16" spans="1:5" ht="15.6">
      <c r="A16" s="1491"/>
      <c r="B16" s="3497" t="str">
        <f>结果表!E109</f>
        <v>——</v>
      </c>
      <c r="C16" s="1499" t="s">
        <v>922</v>
      </c>
      <c r="D16" s="1500" t="str">
        <f>结果表!H109</f>
        <v>——</v>
      </c>
      <c r="E16" s="1491"/>
    </row>
    <row r="17" spans="1:5" ht="15.6">
      <c r="A17" s="1491"/>
      <c r="B17" s="3498"/>
      <c r="C17" s="1494" t="s">
        <v>923</v>
      </c>
      <c r="D17" s="850" t="e">
        <f>NUMBERSTRING(INT(D16*10000),2)&amp;"元整"</f>
        <v>#VALUE!</v>
      </c>
      <c r="E17" s="1491"/>
    </row>
    <row r="18" spans="1:5" ht="15.6">
      <c r="A18" s="1491"/>
      <c r="B18" s="3499"/>
      <c r="C18" s="1495" t="s">
        <v>912</v>
      </c>
      <c r="D18" s="859" t="str">
        <f>结果表!H110</f>
        <v>——</v>
      </c>
      <c r="E18" s="1491"/>
    </row>
    <row r="19" spans="1:5" ht="15.6">
      <c r="A19" s="1491"/>
      <c r="B19" s="3490" t="str">
        <f>结果表!E111</f>
        <v>——</v>
      </c>
      <c r="C19" s="1499" t="s">
        <v>910</v>
      </c>
      <c r="D19" s="851" t="str">
        <f>结果表!H111</f>
        <v>——</v>
      </c>
      <c r="E19" s="1491"/>
    </row>
    <row r="20" spans="1:5" ht="15.6">
      <c r="A20" s="1491"/>
      <c r="B20" s="3491"/>
      <c r="C20" s="1494" t="s">
        <v>923</v>
      </c>
      <c r="D20" s="850" t="e">
        <f>NUMBERSTRING(INT(D19*10000),2)&amp;"元整"</f>
        <v>#VALUE!</v>
      </c>
      <c r="E20" s="1491"/>
    </row>
    <row r="21" spans="1:5" ht="16.2" thickBot="1">
      <c r="A21" s="1491"/>
      <c r="B21" s="349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28217</v>
      </c>
      <c r="C2" s="2" t="s">
        <v>106</v>
      </c>
      <c r="D2" s="199"/>
      <c r="E2" s="199"/>
      <c r="F2" s="199"/>
      <c r="G2" s="199"/>
    </row>
    <row r="3" spans="1:7" s="200" customFormat="1" ht="18" customHeight="1" thickBot="1">
      <c r="A3" s="203" t="s">
        <v>58</v>
      </c>
      <c r="B3" s="204">
        <f ca="1">ROUND(B2*10000/'数据-汇总表'!E3,0)</f>
        <v>3139059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89.89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89.89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72" t="s">
        <v>94</v>
      </c>
    </row>
    <row r="43" spans="1:7" ht="13.5" customHeight="1">
      <c r="A43" s="780" t="s">
        <v>347</v>
      </c>
      <c r="B43" s="215" t="s">
        <v>426</v>
      </c>
      <c r="C43" s="238">
        <f ca="1">ROUND(IF('数据-取费表'!B22&lt;=1,C39*F22*'数据-取费表'!B21/2,C39*(POWER((1+F22),'数据-取费表'!B21/2)-1)),0)</f>
        <v>0</v>
      </c>
      <c r="D43" s="238"/>
      <c r="E43" s="238"/>
      <c r="F43" s="239"/>
      <c r="G43" s="3673"/>
    </row>
    <row r="44" spans="1:7" ht="13.5" customHeight="1">
      <c r="A44" s="780" t="s">
        <v>348</v>
      </c>
      <c r="B44" s="215" t="s">
        <v>428</v>
      </c>
      <c r="C44" s="238">
        <f ca="1">ROUND(IF('数据-取费表'!B22&lt;=1,C40*F22*'数据-取费表'!B21/2,C40*(POWER((1+F22),'数据-取费表'!B21/2)-1)),4)</f>
        <v>4.0000000000000002E-4</v>
      </c>
      <c r="D44" s="238"/>
      <c r="E44" s="238"/>
      <c r="F44" s="239"/>
      <c r="G44" s="3674"/>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38</v>
      </c>
      <c r="D51" s="232"/>
      <c r="E51" s="232"/>
      <c r="F51" s="264"/>
      <c r="G51" s="234" t="s">
        <v>37</v>
      </c>
    </row>
    <row r="52" spans="1:7" s="208" customFormat="1" ht="16.8" thickBot="1">
      <c r="A52" s="265" t="s">
        <v>38</v>
      </c>
      <c r="B52" s="266"/>
      <c r="C52" s="267">
        <f ca="1">C31+C51</f>
        <v>28217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9" t="s">
        <v>3181</v>
      </c>
      <c r="B1" s="381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0" t="s">
        <v>3232</v>
      </c>
      <c r="B1" s="3820"/>
      <c r="C1" s="3820"/>
      <c r="D1" s="3820"/>
      <c r="E1" s="3820"/>
      <c r="F1" s="382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45006</v>
      </c>
      <c r="B1" s="3210" t="s">
        <v>3371</v>
      </c>
      <c r="C1" s="3211"/>
      <c r="D1" s="3211"/>
      <c r="E1" s="3211"/>
      <c r="F1" s="3211"/>
      <c r="G1" s="3211"/>
      <c r="H1" s="3211"/>
      <c r="I1" s="3211"/>
      <c r="J1" s="3165"/>
      <c r="K1" s="3211" t="s">
        <v>454</v>
      </c>
      <c r="L1" s="3211"/>
      <c r="M1" s="3211"/>
      <c r="N1" s="3211"/>
      <c r="O1" s="3211"/>
      <c r="P1" s="3211"/>
      <c r="Q1" s="3165"/>
      <c r="R1" s="3822" t="s">
        <v>456</v>
      </c>
      <c r="S1" s="3823"/>
      <c r="T1" s="3823"/>
      <c r="U1" s="3823"/>
      <c r="V1" s="3823"/>
      <c r="W1" s="3823"/>
      <c r="X1" s="3165"/>
      <c r="Y1" s="3822" t="s">
        <v>457</v>
      </c>
      <c r="Z1" s="3823"/>
      <c r="AA1" s="3823"/>
      <c r="AB1" s="3823"/>
      <c r="AC1" s="3823"/>
      <c r="AD1" s="3823"/>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22" t="s">
        <v>2827</v>
      </c>
      <c r="S24" s="3823"/>
      <c r="T24" s="3823"/>
      <c r="U24" s="3823"/>
      <c r="V24" s="3823"/>
      <c r="W24" s="3823"/>
      <c r="X24" s="3165"/>
      <c r="Y24" s="3822" t="s">
        <v>2828</v>
      </c>
      <c r="Z24" s="3823"/>
      <c r="AA24" s="3823"/>
      <c r="AB24" s="3823"/>
      <c r="AC24" s="3823"/>
      <c r="AD24" s="3823"/>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45006</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0" t="str">
        <f>IF(项目基本情况!B9="房地产市场价值","估价结果一览表","结果表-2")</f>
        <v>估价结果一览表</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房地产市场价值</v>
      </c>
      <c r="I2" s="3501"/>
    </row>
    <row r="3" spans="1:9" ht="15.6">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89.89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2" t="s">
        <v>927</v>
      </c>
      <c r="B5" s="3502"/>
      <c r="C5" s="3502"/>
      <c r="D5" s="3502" t="e">
        <f ca="1">结果表!D119</f>
        <v>#REF!</v>
      </c>
      <c r="E5" s="3502"/>
      <c r="F5" s="3502" t="e">
        <f ca="1">结果表!F119</f>
        <v>#REF!</v>
      </c>
      <c r="G5" s="3502"/>
      <c r="H5" s="3502" t="e">
        <f ca="1">结果表!H119</f>
        <v>#REF!</v>
      </c>
      <c r="I5" s="3502"/>
    </row>
    <row r="6" spans="1:9" ht="15.6">
      <c r="A6" s="3503" t="str">
        <f>结果表!A120</f>
        <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6">
      <c r="A8" s="3503" t="str">
        <f>结果表!A122</f>
        <v/>
      </c>
      <c r="B8" s="3503"/>
      <c r="C8" s="3503"/>
      <c r="D8" s="3503" t="e">
        <f ca="1">结果表!D122</f>
        <v>#REF!</v>
      </c>
      <c r="E8" s="3503"/>
      <c r="F8" s="3503"/>
      <c r="G8" s="3503"/>
      <c r="H8" s="3503"/>
      <c r="I8" s="3503"/>
    </row>
    <row r="9" spans="1:9" ht="15">
      <c r="A9" s="3502" t="s">
        <v>927</v>
      </c>
      <c r="B9" s="3502"/>
      <c r="C9" s="3502"/>
      <c r="D9" s="3502" t="e">
        <f ca="1">结果表!D123</f>
        <v>#REF!</v>
      </c>
      <c r="E9" s="3502"/>
      <c r="F9" s="3502"/>
      <c r="G9" s="3502"/>
      <c r="H9" s="3502"/>
      <c r="I9" s="3502"/>
    </row>
    <row r="10" spans="1:9" ht="15.6">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6">
      <c r="A12" s="3503" t="str">
        <f>结果表!A126</f>
        <v/>
      </c>
      <c r="B12" s="3503"/>
      <c r="C12" s="3503"/>
      <c r="D12" s="3503" t="str">
        <f>结果表!D126</f>
        <v>——</v>
      </c>
      <c r="E12" s="3503"/>
      <c r="F12" s="3503"/>
      <c r="G12" s="3503"/>
      <c r="H12" s="3503"/>
      <c r="I12" s="3503"/>
    </row>
    <row r="13" spans="1:9" ht="15.6" thickBot="1">
      <c r="A13" s="3507" t="s">
        <v>927</v>
      </c>
      <c r="B13" s="3507"/>
      <c r="C13" s="3507"/>
      <c r="D13" s="3507" t="e">
        <f>结果表!D127</f>
        <v>#VALUE!</v>
      </c>
      <c r="E13" s="3507"/>
      <c r="F13" s="3507"/>
      <c r="G13" s="3507"/>
      <c r="H13" s="3507"/>
      <c r="I13" s="3507"/>
    </row>
    <row r="14" spans="1:9" ht="14.4" thickTop="1">
      <c r="A14" s="3508" t="s">
        <v>932</v>
      </c>
      <c r="B14" s="3508"/>
      <c r="C14" s="3508"/>
      <c r="D14" s="3508"/>
      <c r="E14" s="3508"/>
      <c r="F14" s="3508"/>
      <c r="G14" s="3508"/>
      <c r="H14" s="3508"/>
      <c r="I14" s="350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12"/>
      <c r="C11" s="3512"/>
      <c r="D11" s="3512"/>
    </row>
    <row r="12" spans="1:4" ht="15.6">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12" t="str">
        <f>IF(项目基本情况!B8="抵押","3.抵押双方在办理抵押登记手续时，应使用本公司出具的正式《房地产评估报告》，特提醒报告使用者注意。","——")</f>
        <v>——</v>
      </c>
      <c r="B13" s="3513"/>
      <c r="C13" s="3513"/>
      <c r="D13" s="3513"/>
    </row>
    <row r="14" spans="1:4" ht="15.75" customHeight="1">
      <c r="A14" s="3512" t="str">
        <f>IF(项目基本情况!B8="抵押","4.本次评估估价师所知悉的法定优先受偿款情况说明如下：","——")</f>
        <v>——</v>
      </c>
      <c r="B14" s="3513"/>
      <c r="C14" s="3513"/>
      <c r="D14" s="3513"/>
    </row>
    <row r="15" spans="1:4" ht="42" customHeight="1">
      <c r="A15" s="3512" t="str">
        <f>IF(项目基本情况!B8="抵押","（1）"&amp;CONCATENATE(项目基本情况!L20,项目基本情况!L21,项目基本情况!L22),"——")</f>
        <v>——</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spans="1:4" ht="18.75" customHeight="1">
      <c r="A22" s="3517" t="s">
        <v>945</v>
      </c>
      <c r="B22" s="3517"/>
      <c r="C22" s="3517"/>
      <c r="D22" s="351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3" t="s">
        <v>956</v>
      </c>
      <c r="B15" s="3518" t="s">
        <v>109</v>
      </c>
      <c r="C15" s="3519"/>
    </row>
    <row r="16" spans="1:7" ht="14.4">
      <c r="A16" s="3524"/>
      <c r="B16" s="3518" t="s">
        <v>42</v>
      </c>
      <c r="C16" s="3519"/>
    </row>
    <row r="17" spans="1:3" ht="14.4">
      <c r="A17" s="3524"/>
      <c r="B17" s="3521" t="s">
        <v>957</v>
      </c>
      <c r="C17" s="1532" t="s">
        <v>956</v>
      </c>
    </row>
    <row r="18" spans="1:3" ht="14.4">
      <c r="A18" s="3524"/>
      <c r="B18" s="3521"/>
      <c r="C18" s="1532" t="s">
        <v>958</v>
      </c>
    </row>
    <row r="19" spans="1:3" ht="14.4">
      <c r="A19" s="3524"/>
      <c r="B19" s="3521"/>
      <c r="C19" s="1532" t="s">
        <v>959</v>
      </c>
    </row>
    <row r="20" spans="1:3" ht="14.4">
      <c r="A20" s="3525"/>
      <c r="B20" s="3520" t="s">
        <v>960</v>
      </c>
      <c r="C20" s="3519"/>
    </row>
    <row r="21" spans="1:3" ht="14.4">
      <c r="A21" s="1533" t="s">
        <v>961</v>
      </c>
      <c r="B21" s="1534"/>
      <c r="C21" s="1535"/>
    </row>
    <row r="22" spans="1:3" ht="14.4">
      <c r="A22" s="3522" t="s">
        <v>962</v>
      </c>
      <c r="B22" s="3520" t="s">
        <v>963</v>
      </c>
      <c r="C22" s="3519"/>
    </row>
    <row r="23" spans="1:3" ht="14.4">
      <c r="A23" s="3522"/>
      <c r="B23" s="3520" t="s">
        <v>964</v>
      </c>
      <c r="C23" s="3519"/>
    </row>
    <row r="24" spans="1:3" ht="14.4">
      <c r="A24" s="3522"/>
      <c r="B24" s="3520" t="s">
        <v>965</v>
      </c>
      <c r="C24" s="3519"/>
    </row>
    <row r="25" spans="1:3" ht="14.4">
      <c r="A25" s="3522"/>
      <c r="B25" s="3521" t="s">
        <v>966</v>
      </c>
      <c r="C25" s="1532" t="s">
        <v>967</v>
      </c>
    </row>
    <row r="26" spans="1:3" ht="14.4">
      <c r="A26" s="3522"/>
      <c r="B26" s="3521"/>
      <c r="C26" s="1532" t="s">
        <v>968</v>
      </c>
    </row>
    <row r="27" spans="1:3" ht="14.4">
      <c r="A27" s="3522"/>
      <c r="B27" s="3521"/>
      <c r="C27" s="1532" t="s">
        <v>969</v>
      </c>
    </row>
    <row r="28" spans="1:3" ht="14.4">
      <c r="A28" s="3522"/>
      <c r="B28" s="3521"/>
      <c r="C28" s="1532" t="s">
        <v>970</v>
      </c>
    </row>
    <row r="29" spans="1:3" ht="14.4">
      <c r="A29" s="3522"/>
      <c r="B29" s="3521"/>
      <c r="C29" s="1532" t="s">
        <v>971</v>
      </c>
    </row>
    <row r="30" spans="1:3" ht="14.4">
      <c r="A30" s="3522"/>
      <c r="B30" s="3521"/>
      <c r="C30" s="1532" t="s">
        <v>972</v>
      </c>
    </row>
    <row r="31" spans="1:3" ht="14.4">
      <c r="A31" s="3522"/>
      <c r="B31" s="3521"/>
      <c r="C31" s="1532" t="s">
        <v>973</v>
      </c>
    </row>
    <row r="32" spans="1:3" ht="14.4">
      <c r="A32" s="3522"/>
      <c r="B32" s="3521"/>
      <c r="C32" s="1532" t="s">
        <v>974</v>
      </c>
    </row>
    <row r="33" spans="1:3" ht="14.4">
      <c r="A33" s="3522"/>
      <c r="B33" s="352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43"/>
      <c r="E18" s="3528" t="s">
        <v>2161</v>
      </c>
      <c r="F18" s="3527"/>
      <c r="G18" s="352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2025-11-18T05:35:51Z</dcterms:modified>
</cp:coreProperties>
</file>