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907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自持住宅" sheetId="69" r:id="rId30"/>
    <sheet name="不动产收益法-仓储"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案例" sheetId="68" r:id="rId42"/>
    <sheet name="住宅租金"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'不动产收益法-仓储'!$A$1:$F$43,'不动产收益法-仓储'!$H$3:$M$29,'不动产收益法-仓储'!$A$46:$F$70,'不动产收益法-仓储'!$I$46:$M$60</definedName>
    <definedName name="_xlnm.Print_Area" localSheetId="29">'不动产收益法-自持住宅'!$A$1:$F$43,'不动产收益法-自持住宅'!$H$3:$M$29,'不动产收益法-自持住宅'!$A$46:$F$70,'不动产收益法-自持住宅'!$I$46:$M$60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E10" i="12" s="1"/>
  <c r="K16" i="35" l="1"/>
  <c r="K14" i="35"/>
  <c r="C38" i="9" l="1"/>
  <c r="C37" i="9"/>
  <c r="E48" i="39" l="1"/>
  <c r="G48" i="39"/>
  <c r="I48" i="39"/>
  <c r="D92" i="35"/>
  <c r="E92" i="35" s="1"/>
  <c r="G5" i="35"/>
  <c r="I5" i="35"/>
  <c r="E5" i="70" l="1"/>
  <c r="E6" i="70"/>
  <c r="E7" i="70"/>
  <c r="E8" i="70"/>
  <c r="E9" i="70"/>
  <c r="E4" i="70"/>
  <c r="Q73" i="69"/>
  <c r="Q60" i="69"/>
  <c r="D60" i="69"/>
  <c r="Q59" i="69"/>
  <c r="K59" i="69"/>
  <c r="P75" i="69" s="1"/>
  <c r="F58" i="69"/>
  <c r="Q52" i="69"/>
  <c r="J50" i="69"/>
  <c r="M47" i="69"/>
  <c r="L46" i="69" s="1"/>
  <c r="F33" i="69"/>
  <c r="F60" i="69" s="1"/>
  <c r="F31" i="69"/>
  <c r="F23" i="69"/>
  <c r="D24" i="69" s="1"/>
  <c r="F21" i="69"/>
  <c r="F20" i="69"/>
  <c r="M19" i="69"/>
  <c r="F18" i="69"/>
  <c r="M17" i="69"/>
  <c r="F15" i="69"/>
  <c r="D23" i="69" l="1"/>
  <c r="D22" i="69"/>
  <c r="P62" i="69"/>
  <c r="E104" i="21"/>
  <c r="F104" i="21" s="1"/>
  <c r="G104" i="21" s="1"/>
  <c r="H104" i="21" s="1"/>
  <c r="I104" i="21" s="1"/>
  <c r="J104" i="21" s="1"/>
  <c r="D104" i="21"/>
  <c r="D103" i="21"/>
  <c r="E103" i="21" s="1"/>
  <c r="F103" i="21" s="1"/>
  <c r="G103" i="21" s="1"/>
  <c r="H103" i="21" s="1"/>
  <c r="I103" i="21" s="1"/>
  <c r="J103" i="21" s="1"/>
  <c r="C24" i="21"/>
  <c r="C20" i="21"/>
  <c r="C18" i="21"/>
  <c r="C16" i="21"/>
  <c r="D120" i="39"/>
  <c r="E120" i="39" s="1"/>
  <c r="F120" i="39" s="1"/>
  <c r="G120" i="39" s="1"/>
  <c r="H120" i="39" s="1"/>
  <c r="I120" i="39" s="1"/>
  <c r="E119" i="39"/>
  <c r="F119" i="39" s="1"/>
  <c r="G119" i="39" s="1"/>
  <c r="H119" i="39" s="1"/>
  <c r="I119" i="39" s="1"/>
  <c r="D119" i="39"/>
  <c r="E40" i="39"/>
  <c r="I40" i="39"/>
  <c r="G40" i="39"/>
  <c r="C40" i="39"/>
  <c r="N14" i="1"/>
  <c r="N9" i="1"/>
  <c r="N8" i="1"/>
  <c r="N7" i="1"/>
  <c r="L14" i="1"/>
  <c r="L9" i="1"/>
  <c r="L8" i="1"/>
  <c r="L7" i="1"/>
  <c r="E73" i="39"/>
  <c r="F73" i="39"/>
  <c r="G73" i="39" s="1"/>
  <c r="H73" i="39" s="1"/>
  <c r="I73" i="39" s="1"/>
  <c r="J73" i="39" s="1"/>
  <c r="K73" i="39" s="1"/>
  <c r="L73" i="39" s="1"/>
  <c r="M73" i="39" s="1"/>
  <c r="N73" i="39" s="1"/>
  <c r="D73" i="39"/>
  <c r="I9" i="39"/>
  <c r="G9" i="39"/>
  <c r="E9" i="39"/>
  <c r="C7" i="39"/>
  <c r="I7" i="39"/>
  <c r="G7" i="39"/>
  <c r="E7" i="39"/>
  <c r="B35" i="1"/>
  <c r="F17" i="69" s="1"/>
  <c r="I54" i="69" l="1"/>
  <c r="AT13" i="3"/>
  <c r="AF13" i="3"/>
  <c r="AN13" i="3"/>
  <c r="H17" i="4"/>
  <c r="D3" i="4"/>
  <c r="AH5" i="59" l="1"/>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D18" i="59"/>
  <c r="AH16" i="59"/>
  <c r="AG16" i="59"/>
  <c r="AE16" i="59"/>
  <c r="AF16" i="59" s="1"/>
  <c r="AD16" i="59"/>
  <c r="AE17" i="59"/>
  <c r="AF17" i="59" s="1"/>
  <c r="AG17" i="59"/>
  <c r="AH17" i="59"/>
  <c r="AD17" i="59"/>
  <c r="Q17" i="59"/>
  <c r="P17" i="59"/>
  <c r="O17" i="59"/>
  <c r="N17" i="59"/>
  <c r="N18" i="59"/>
  <c r="Q18" i="59"/>
  <c r="P18" i="59"/>
  <c r="O18" i="59"/>
  <c r="K59" i="15"/>
  <c r="P62" i="15" s="1"/>
  <c r="Q74" i="44"/>
  <c r="Q61" i="44"/>
  <c r="Q60" i="44"/>
  <c r="Q53" i="44"/>
  <c r="J51" i="44"/>
  <c r="J52" i="44" s="1"/>
  <c r="M48" i="44"/>
  <c r="A16" i="55"/>
  <c r="A15" i="55"/>
  <c r="B66" i="63" s="1"/>
  <c r="A10" i="55"/>
  <c r="B61" i="63" s="1"/>
  <c r="A9" i="55"/>
  <c r="B60" i="63"/>
  <c r="A8" i="55"/>
  <c r="A6" i="54"/>
  <c r="A8" i="54"/>
  <c r="B53" i="63" s="1"/>
  <c r="A7" i="54"/>
  <c r="B51" i="63" s="1"/>
  <c r="A27" i="51"/>
  <c r="B20" i="63" s="1"/>
  <c r="Q19" i="59"/>
  <c r="O19" i="59"/>
  <c r="N20" i="59"/>
  <c r="O20" i="59"/>
  <c r="P20" i="59"/>
  <c r="Q20" i="59"/>
  <c r="N19" i="59"/>
  <c r="P19" i="59"/>
  <c r="C21" i="59"/>
  <c r="D21" i="59" s="1"/>
  <c r="K75" i="9"/>
  <c r="K6" i="4"/>
  <c r="O76" i="9" s="1"/>
  <c r="L76" i="9"/>
  <c r="K76" i="9"/>
  <c r="B22" i="31"/>
  <c r="E15" i="66"/>
  <c r="F15" i="66"/>
  <c r="E16" i="66"/>
  <c r="F16" i="66"/>
  <c r="E17" i="66"/>
  <c r="F17" i="66"/>
  <c r="E18" i="66"/>
  <c r="F18" i="66"/>
  <c r="E19" i="66"/>
  <c r="F19" i="66"/>
  <c r="E20" i="66"/>
  <c r="F20" i="66"/>
  <c r="E21" i="66"/>
  <c r="F21" i="66"/>
  <c r="E22" i="66"/>
  <c r="F22" i="66"/>
  <c r="E23" i="66"/>
  <c r="F23" i="66"/>
  <c r="B3" i="66"/>
  <c r="T21" i="59"/>
  <c r="B17" i="59"/>
  <c r="E17" i="59"/>
  <c r="U17" i="59" s="1"/>
  <c r="E16" i="59"/>
  <c r="C20" i="59"/>
  <c r="F17" i="59"/>
  <c r="V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F32" i="59"/>
  <c r="AD32" i="59"/>
  <c r="AD33" i="59"/>
  <c r="AE33" i="59"/>
  <c r="AF33" i="59"/>
  <c r="AG33" i="59"/>
  <c r="AH33" i="59"/>
  <c r="AA25" i="59"/>
  <c r="AB27" i="59"/>
  <c r="AA28" i="59"/>
  <c r="AB28" i="59"/>
  <c r="AB29" i="59"/>
  <c r="AB31" i="59"/>
  <c r="S2" i="31"/>
  <c r="M2" i="31"/>
  <c r="N2" i="31"/>
  <c r="O2" i="31"/>
  <c r="P2" i="31"/>
  <c r="Q2" i="31"/>
  <c r="R2" i="31"/>
  <c r="C17" i="59"/>
  <c r="C16" i="59"/>
  <c r="C3" i="65"/>
  <c r="C1" i="65"/>
  <c r="N1" i="65" s="1"/>
  <c r="T17" i="59"/>
  <c r="D17" i="59"/>
  <c r="B76" i="63"/>
  <c r="M5" i="54"/>
  <c r="A23" i="51"/>
  <c r="B17" i="63" s="1"/>
  <c r="Y12" i="46"/>
  <c r="AA9" i="46"/>
  <c r="AA10" i="46" s="1"/>
  <c r="AB9" i="46"/>
  <c r="AB10" i="46"/>
  <c r="AC9" i="46"/>
  <c r="AD9" i="46"/>
  <c r="AD10" i="46" s="1"/>
  <c r="AE9" i="46"/>
  <c r="AF9" i="46"/>
  <c r="AF10" i="46"/>
  <c r="AG9" i="46"/>
  <c r="AH9" i="46"/>
  <c r="AH10" i="46"/>
  <c r="AI9" i="46"/>
  <c r="AJ9" i="46"/>
  <c r="AJ10" i="46"/>
  <c r="Z9" i="46"/>
  <c r="Z12" i="46" s="1"/>
  <c r="Z10" i="46"/>
  <c r="AG10" i="46"/>
  <c r="AE10" i="46"/>
  <c r="Y10"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B58" i="63"/>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c r="B41" i="63"/>
  <c r="G5" i="54"/>
  <c r="B34" i="63"/>
  <c r="E5" i="54"/>
  <c r="B32" i="63" s="1"/>
  <c r="R2" i="54"/>
  <c r="B24" i="63"/>
  <c r="B49" i="50"/>
  <c r="B5" i="63" s="1"/>
  <c r="B40" i="50"/>
  <c r="B3" i="63"/>
  <c r="N4" i="63"/>
  <c r="B21" i="63"/>
  <c r="B67" i="63"/>
  <c r="I19" i="46"/>
  <c r="Q21" i="59"/>
  <c r="P21" i="59"/>
  <c r="O21" i="59"/>
  <c r="N21" i="59"/>
  <c r="D82" i="59"/>
  <c r="F81" i="59"/>
  <c r="E81" i="59"/>
  <c r="E80" i="59"/>
  <c r="E79" i="59"/>
  <c r="C81" i="59"/>
  <c r="D81" i="59" s="1"/>
  <c r="B81" i="59"/>
  <c r="B80" i="59" s="1"/>
  <c r="B79" i="59" s="1"/>
  <c r="F80" i="59"/>
  <c r="F79" i="59"/>
  <c r="D78" i="59"/>
  <c r="F77" i="59"/>
  <c r="F76" i="59" s="1"/>
  <c r="F75" i="59" s="1"/>
  <c r="E77" i="59"/>
  <c r="E76" i="59"/>
  <c r="E75" i="59"/>
  <c r="C77" i="59"/>
  <c r="D77" i="59" s="1"/>
  <c r="B77" i="59"/>
  <c r="B76" i="59" s="1"/>
  <c r="B75" i="59"/>
  <c r="D74" i="59"/>
  <c r="Q73" i="59"/>
  <c r="P73" i="59"/>
  <c r="O73" i="59"/>
  <c r="N73" i="59"/>
  <c r="F73" i="59"/>
  <c r="V73" i="59" s="1"/>
  <c r="E73" i="59"/>
  <c r="U73" i="59"/>
  <c r="C73" i="59"/>
  <c r="B73" i="59"/>
  <c r="S73" i="59"/>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U65" i="59" s="1"/>
  <c r="C65" i="59"/>
  <c r="D65" i="59" s="1"/>
  <c r="T65" i="59"/>
  <c r="B65" i="59"/>
  <c r="S65" i="59" s="1"/>
  <c r="Q64" i="59"/>
  <c r="P64" i="59"/>
  <c r="O64" i="59"/>
  <c r="N64" i="59"/>
  <c r="B64" i="59"/>
  <c r="B63" i="59" s="1"/>
  <c r="Q63" i="59"/>
  <c r="P63" i="59"/>
  <c r="O63" i="59"/>
  <c r="N63" i="59"/>
  <c r="Q62" i="59"/>
  <c r="P62" i="59"/>
  <c r="O62" i="59"/>
  <c r="N62" i="59"/>
  <c r="D62" i="59"/>
  <c r="F61" i="59"/>
  <c r="V61" i="59"/>
  <c r="E61" i="59"/>
  <c r="E60" i="59"/>
  <c r="P60" i="59"/>
  <c r="C61" i="59"/>
  <c r="B61" i="59"/>
  <c r="N61" i="59"/>
  <c r="F60" i="59"/>
  <c r="F59" i="59"/>
  <c r="B60" i="59"/>
  <c r="D58" i="59"/>
  <c r="Q57" i="59"/>
  <c r="P57" i="59"/>
  <c r="O57" i="59"/>
  <c r="N57" i="59"/>
  <c r="Q56" i="59"/>
  <c r="P56" i="59"/>
  <c r="O56" i="59"/>
  <c r="N56" i="59"/>
  <c r="Q55" i="59"/>
  <c r="P55" i="59"/>
  <c r="O55" i="59"/>
  <c r="N55" i="59"/>
  <c r="Q54" i="59"/>
  <c r="F55" i="59"/>
  <c r="F56" i="59" s="1"/>
  <c r="P54" i="59"/>
  <c r="E55"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N50" i="59"/>
  <c r="B51" i="59"/>
  <c r="B52" i="59" s="1"/>
  <c r="B53" i="59" s="1"/>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c r="O46" i="59"/>
  <c r="C47" i="59"/>
  <c r="N46" i="59"/>
  <c r="B47" i="59" s="1"/>
  <c r="B48" i="59"/>
  <c r="B49" i="59" s="1"/>
  <c r="S49" i="59" s="1"/>
  <c r="D46" i="59"/>
  <c r="Q45" i="59"/>
  <c r="P45" i="59"/>
  <c r="O45" i="59"/>
  <c r="N45" i="59"/>
  <c r="Q44" i="59"/>
  <c r="P44" i="59"/>
  <c r="O44" i="59"/>
  <c r="N44" i="59"/>
  <c r="Q43" i="59"/>
  <c r="P43" i="59"/>
  <c r="O43" i="59"/>
  <c r="N43" i="59"/>
  <c r="Q42" i="59"/>
  <c r="F43" i="59" s="1"/>
  <c r="F44" i="59" s="1"/>
  <c r="F45" i="59" s="1"/>
  <c r="V45" i="59"/>
  <c r="P42" i="59"/>
  <c r="E43" i="59" s="1"/>
  <c r="E44" i="59" s="1"/>
  <c r="E45" i="59" s="1"/>
  <c r="U45" i="59" s="1"/>
  <c r="O42" i="59"/>
  <c r="C43" i="59"/>
  <c r="C44" i="59" s="1"/>
  <c r="N42" i="59"/>
  <c r="B43" i="59" s="1"/>
  <c r="D42" i="59"/>
  <c r="T41" i="59"/>
  <c r="Q41" i="59"/>
  <c r="P41" i="59"/>
  <c r="O41" i="59"/>
  <c r="N41" i="59"/>
  <c r="D41" i="59"/>
  <c r="Q40" i="59"/>
  <c r="P40" i="59"/>
  <c r="O40" i="59"/>
  <c r="N40" i="59"/>
  <c r="Q39" i="59"/>
  <c r="P39" i="59"/>
  <c r="O39" i="59"/>
  <c r="N39" i="59"/>
  <c r="B40" i="59" s="1"/>
  <c r="Q38" i="59"/>
  <c r="F39" i="59" s="1"/>
  <c r="P38" i="59"/>
  <c r="E39" i="59"/>
  <c r="E40" i="59"/>
  <c r="E41" i="59" s="1"/>
  <c r="U41" i="59" s="1"/>
  <c r="O38" i="59"/>
  <c r="C39" i="59"/>
  <c r="D39" i="59" s="1"/>
  <c r="N38" i="59"/>
  <c r="B39" i="59"/>
  <c r="B41" i="59"/>
  <c r="S41" i="59" s="1"/>
  <c r="D38" i="59"/>
  <c r="Q37" i="59"/>
  <c r="P37" i="59"/>
  <c r="O37" i="59"/>
  <c r="N37" i="59"/>
  <c r="Q36" i="59"/>
  <c r="P36" i="59"/>
  <c r="O36" i="59"/>
  <c r="N36" i="59"/>
  <c r="Q35" i="59"/>
  <c r="P35" i="59"/>
  <c r="O35" i="59"/>
  <c r="N35" i="59"/>
  <c r="B36" i="59" s="1"/>
  <c r="Q34" i="59"/>
  <c r="F35" i="59"/>
  <c r="P34" i="59"/>
  <c r="E35" i="59"/>
  <c r="E36" i="59" s="1"/>
  <c r="E37" i="59" s="1"/>
  <c r="U37" i="59" s="1"/>
  <c r="O34" i="59"/>
  <c r="C35" i="59"/>
  <c r="N34" i="59"/>
  <c r="B35" i="59" s="1"/>
  <c r="B37" i="59"/>
  <c r="S37" i="59" s="1"/>
  <c r="D34" i="59"/>
  <c r="Q33" i="59"/>
  <c r="P33" i="59"/>
  <c r="O33" i="59"/>
  <c r="N33" i="59"/>
  <c r="Q32" i="59"/>
  <c r="AB32" i="59"/>
  <c r="P32" i="59"/>
  <c r="O32" i="59"/>
  <c r="Y32" i="59"/>
  <c r="Z32" i="59"/>
  <c r="N32" i="59"/>
  <c r="X32" i="59" s="1"/>
  <c r="Q31" i="59"/>
  <c r="P31" i="59"/>
  <c r="AA31" i="59" s="1"/>
  <c r="O31" i="59"/>
  <c r="N31" i="59"/>
  <c r="X31" i="59" s="1"/>
  <c r="Q30" i="59"/>
  <c r="F31" i="59"/>
  <c r="P30" i="59"/>
  <c r="E31" i="59" s="1"/>
  <c r="E32" i="59" s="1"/>
  <c r="E33" i="59" s="1"/>
  <c r="U33" i="59" s="1"/>
  <c r="O30" i="59"/>
  <c r="C31" i="59"/>
  <c r="N30" i="59"/>
  <c r="B31" i="59"/>
  <c r="B32" i="59" s="1"/>
  <c r="B33" i="59"/>
  <c r="S33" i="59"/>
  <c r="D30" i="59"/>
  <c r="Q29" i="59"/>
  <c r="P29" i="59"/>
  <c r="AA29" i="59" s="1"/>
  <c r="O29" i="59"/>
  <c r="Y29" i="59" s="1"/>
  <c r="Z29" i="59" s="1"/>
  <c r="N29" i="59"/>
  <c r="X29" i="59" s="1"/>
  <c r="Q28" i="59"/>
  <c r="P28" i="59"/>
  <c r="O28" i="59"/>
  <c r="Y28" i="59" s="1"/>
  <c r="Z28" i="59" s="1"/>
  <c r="N28" i="59"/>
  <c r="X28" i="59" s="1"/>
  <c r="Q27" i="59"/>
  <c r="P27" i="59"/>
  <c r="O27" i="59"/>
  <c r="Y24" i="59" s="1"/>
  <c r="Z24" i="59" s="1"/>
  <c r="N27" i="59"/>
  <c r="X27" i="59" s="1"/>
  <c r="Q26" i="59"/>
  <c r="AB26" i="59" s="1"/>
  <c r="F27" i="59"/>
  <c r="P26" i="59"/>
  <c r="O26" i="59"/>
  <c r="N26" i="59"/>
  <c r="B27" i="59"/>
  <c r="B28" i="59"/>
  <c r="B29" i="59" s="1"/>
  <c r="S29" i="59" s="1"/>
  <c r="D26" i="59"/>
  <c r="Q25" i="59"/>
  <c r="AB25" i="59" s="1"/>
  <c r="P25" i="59"/>
  <c r="O25" i="59"/>
  <c r="N25" i="59"/>
  <c r="X25" i="59" s="1"/>
  <c r="Q24" i="59"/>
  <c r="AB24" i="59" s="1"/>
  <c r="P24" i="59"/>
  <c r="O24" i="59"/>
  <c r="N24" i="59"/>
  <c r="X24" i="59" s="1"/>
  <c r="Q23" i="59"/>
  <c r="AB23" i="59" s="1"/>
  <c r="P23" i="59"/>
  <c r="AA23" i="59" s="1"/>
  <c r="O23" i="59"/>
  <c r="N23" i="59"/>
  <c r="X23" i="59" s="1"/>
  <c r="Q22" i="59"/>
  <c r="P22" i="59"/>
  <c r="AA20" i="59" s="1"/>
  <c r="O22" i="59"/>
  <c r="N22" i="59"/>
  <c r="B23" i="59"/>
  <c r="B24" i="59" s="1"/>
  <c r="B25" i="59" s="1"/>
  <c r="S25" i="59" s="1"/>
  <c r="D22" i="59"/>
  <c r="B44" i="59"/>
  <c r="B45" i="59" s="1"/>
  <c r="S45" i="59" s="1"/>
  <c r="S61" i="59"/>
  <c r="AA32" i="59"/>
  <c r="F28" i="59"/>
  <c r="F29" i="59" s="1"/>
  <c r="V29" i="59" s="1"/>
  <c r="F32" i="59"/>
  <c r="F33" i="59" s="1"/>
  <c r="V33" i="59" s="1"/>
  <c r="F36" i="59"/>
  <c r="F37" i="59"/>
  <c r="V37" i="59" s="1"/>
  <c r="F40" i="59"/>
  <c r="F41" i="59"/>
  <c r="V41" i="59"/>
  <c r="F57" i="59"/>
  <c r="V57" i="59"/>
  <c r="C40" i="59"/>
  <c r="D40" i="59" s="1"/>
  <c r="C48" i="59"/>
  <c r="D48" i="59" s="1"/>
  <c r="D47" i="59"/>
  <c r="D51" i="59"/>
  <c r="C56" i="59"/>
  <c r="D55" i="59"/>
  <c r="E59" i="59"/>
  <c r="Q60" i="59"/>
  <c r="T61" i="59"/>
  <c r="C60" i="59"/>
  <c r="P61" i="59"/>
  <c r="U61" i="59"/>
  <c r="Q61" i="59"/>
  <c r="C64" i="59"/>
  <c r="D64" i="59" s="1"/>
  <c r="E64" i="59"/>
  <c r="E63" i="59" s="1"/>
  <c r="C68" i="59"/>
  <c r="C67" i="59" s="1"/>
  <c r="D67" i="59" s="1"/>
  <c r="E68" i="59"/>
  <c r="E67" i="59" s="1"/>
  <c r="D69" i="59"/>
  <c r="C72" i="59"/>
  <c r="E72" i="59"/>
  <c r="E71" i="59" s="1"/>
  <c r="C76" i="59"/>
  <c r="C80" i="59"/>
  <c r="U16" i="4"/>
  <c r="S16" i="4"/>
  <c r="Q16" i="4"/>
  <c r="O16" i="4"/>
  <c r="N16" i="4" s="1"/>
  <c r="M16" i="4"/>
  <c r="K16" i="4"/>
  <c r="C63" i="59"/>
  <c r="D63" i="59" s="1"/>
  <c r="D68" i="59"/>
  <c r="C57" i="59"/>
  <c r="T57" i="59" s="1"/>
  <c r="D56" i="59"/>
  <c r="C49" i="59"/>
  <c r="D49" i="59" s="1"/>
  <c r="T49" i="59"/>
  <c r="D57"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s="1"/>
  <c r="C18" i="35"/>
  <c r="D68" i="35"/>
  <c r="E68" i="35" s="1"/>
  <c r="F68" i="35" s="1"/>
  <c r="G68" i="35" s="1"/>
  <c r="Q21" i="37"/>
  <c r="Z21" i="37" s="1"/>
  <c r="F21" i="37"/>
  <c r="C21" i="37"/>
  <c r="E77" i="37"/>
  <c r="F77" i="37"/>
  <c r="G77" i="37" s="1"/>
  <c r="D77" i="37"/>
  <c r="Z21" i="34"/>
  <c r="Q21" i="34"/>
  <c r="C21" i="34"/>
  <c r="D84" i="34"/>
  <c r="F21" i="34"/>
  <c r="Q21" i="33"/>
  <c r="Z21" i="33" s="1"/>
  <c r="C21" i="33"/>
  <c r="D83" i="33"/>
  <c r="E83" i="33" s="1"/>
  <c r="F83" i="33" s="1"/>
  <c r="G83" i="33" s="1"/>
  <c r="Z21" i="21"/>
  <c r="Q21" i="21"/>
  <c r="D83" i="21"/>
  <c r="E83" i="21" s="1"/>
  <c r="F83" i="21" s="1"/>
  <c r="G83" i="21" s="1"/>
  <c r="F21" i="21"/>
  <c r="AA21" i="21" s="1"/>
  <c r="C21" i="21"/>
  <c r="Q27" i="40"/>
  <c r="Z27" i="40" s="1"/>
  <c r="D96" i="40"/>
  <c r="E96" i="40" s="1"/>
  <c r="F96" i="40" s="1"/>
  <c r="F27" i="40"/>
  <c r="AA27" i="40"/>
  <c r="Z31" i="39"/>
  <c r="Q31" i="39"/>
  <c r="D105" i="39"/>
  <c r="E105" i="39" s="1"/>
  <c r="F105" i="39" s="1"/>
  <c r="G105" i="39" s="1"/>
  <c r="F31" i="39"/>
  <c r="AA31" i="39" s="1"/>
  <c r="G20" i="20"/>
  <c r="B85" i="46" s="1"/>
  <c r="C22" i="20"/>
  <c r="B65" i="46"/>
  <c r="S18" i="36"/>
  <c r="S27" i="40"/>
  <c r="C27" i="40"/>
  <c r="C31" i="39"/>
  <c r="B54" i="46"/>
  <c r="B74" i="46"/>
  <c r="E66" i="36"/>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c r="M80" i="46"/>
  <c r="N80" i="46" s="1"/>
  <c r="K80" i="46"/>
  <c r="J80" i="46"/>
  <c r="M77" i="46"/>
  <c r="N77" i="46" s="1"/>
  <c r="K77" i="46"/>
  <c r="J77" i="46"/>
  <c r="M76" i="46"/>
  <c r="N76" i="46" s="1"/>
  <c r="D76" i="46"/>
  <c r="K76" i="46"/>
  <c r="J76" i="46" s="1"/>
  <c r="M75" i="46"/>
  <c r="N75" i="46"/>
  <c r="K75" i="46"/>
  <c r="J75" i="46" s="1"/>
  <c r="M74" i="46"/>
  <c r="N74" i="46"/>
  <c r="K74" i="46"/>
  <c r="J74" i="46" s="1"/>
  <c r="D74" i="46"/>
  <c r="M73" i="46"/>
  <c r="D73" i="46"/>
  <c r="K73" i="46"/>
  <c r="J73" i="46" s="1"/>
  <c r="M72" i="46"/>
  <c r="N72" i="46"/>
  <c r="K72" i="46"/>
  <c r="J72" i="46" s="1"/>
  <c r="D72" i="46"/>
  <c r="M71" i="46"/>
  <c r="N71" i="46"/>
  <c r="K71" i="46"/>
  <c r="J71" i="46"/>
  <c r="M70" i="46"/>
  <c r="N70" i="46"/>
  <c r="K70" i="46"/>
  <c r="J70" i="46"/>
  <c r="D70" i="46"/>
  <c r="M69" i="46"/>
  <c r="N69" i="46" s="1"/>
  <c r="K69" i="46"/>
  <c r="J69" i="46"/>
  <c r="M66" i="46"/>
  <c r="N66" i="46" s="1"/>
  <c r="K66" i="46"/>
  <c r="M65" i="46"/>
  <c r="N65" i="46" s="1"/>
  <c r="K65" i="46"/>
  <c r="J65" i="46"/>
  <c r="D65" i="46"/>
  <c r="M64" i="46"/>
  <c r="N64" i="46" s="1"/>
  <c r="K64" i="46"/>
  <c r="J64" i="46"/>
  <c r="D64" i="46"/>
  <c r="M63" i="46"/>
  <c r="N63" i="46"/>
  <c r="K63" i="46"/>
  <c r="J63" i="46"/>
  <c r="D63" i="46"/>
  <c r="M62" i="46"/>
  <c r="N62" i="46"/>
  <c r="K62" i="46"/>
  <c r="J62" i="46" s="1"/>
  <c r="D62" i="46"/>
  <c r="M61" i="46"/>
  <c r="N61" i="46"/>
  <c r="K61" i="46"/>
  <c r="J61" i="46"/>
  <c r="D61" i="46"/>
  <c r="M60" i="46"/>
  <c r="N60" i="46" s="1"/>
  <c r="K60" i="46"/>
  <c r="J60" i="46"/>
  <c r="D60" i="46"/>
  <c r="M59" i="46"/>
  <c r="N59" i="46"/>
  <c r="K59" i="46"/>
  <c r="J59" i="46"/>
  <c r="D59" i="46"/>
  <c r="M58" i="46"/>
  <c r="N58" i="46"/>
  <c r="M55" i="46"/>
  <c r="N55" i="46" s="1"/>
  <c r="K55" i="46"/>
  <c r="J55" i="46"/>
  <c r="M54" i="46"/>
  <c r="N54" i="46" s="1"/>
  <c r="K54" i="46"/>
  <c r="M53" i="46"/>
  <c r="N53" i="46"/>
  <c r="K53" i="46"/>
  <c r="J53" i="46"/>
  <c r="D53" i="46"/>
  <c r="M52" i="46"/>
  <c r="N52" i="46" s="1"/>
  <c r="K52" i="46"/>
  <c r="J52" i="46"/>
  <c r="D52" i="46"/>
  <c r="M51" i="46"/>
  <c r="N51" i="46"/>
  <c r="K51" i="46"/>
  <c r="J51" i="46"/>
  <c r="M50" i="46"/>
  <c r="N50" i="46"/>
  <c r="M49" i="46"/>
  <c r="N49" i="46"/>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BC95" i="3"/>
  <c r="BB95" i="3"/>
  <c r="AZ95" i="3"/>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Z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BC175" i="3"/>
  <c r="BB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AZ285" i="3" s="1"/>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Z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AZ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AZ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AZ404" i="3" s="1"/>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P5" i="3" s="1"/>
  <c r="BO397" i="3"/>
  <c r="BN397" i="3"/>
  <c r="BM397" i="3"/>
  <c r="BK397" i="3"/>
  <c r="BJ397" i="3"/>
  <c r="BI397" i="3"/>
  <c r="BH397" i="3"/>
  <c r="BG397" i="3"/>
  <c r="BF397" i="3"/>
  <c r="BE397" i="3"/>
  <c r="BD397" i="3"/>
  <c r="BA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H62" i="40"/>
  <c r="I62" i="40" s="1"/>
  <c r="C62" i="40" s="1"/>
  <c r="H61" i="40"/>
  <c r="I61" i="40"/>
  <c r="C61" i="40" s="1"/>
  <c r="H60" i="40"/>
  <c r="I60" i="40" s="1"/>
  <c r="C60" i="40" s="1"/>
  <c r="H59" i="40"/>
  <c r="I59" i="40" s="1"/>
  <c r="C59" i="40" s="1"/>
  <c r="H58" i="40"/>
  <c r="I58" i="40" s="1"/>
  <c r="C58" i="40" s="1"/>
  <c r="H57" i="40"/>
  <c r="I57" i="40" s="1"/>
  <c r="C57" i="40" s="1"/>
  <c r="H56" i="40"/>
  <c r="I56" i="40"/>
  <c r="C56" i="40" s="1"/>
  <c r="H55" i="40"/>
  <c r="I55" i="40"/>
  <c r="C55" i="40"/>
  <c r="H54" i="40"/>
  <c r="I54" i="40" s="1"/>
  <c r="C54" i="40" s="1"/>
  <c r="H63" i="39"/>
  <c r="I63" i="39" s="1"/>
  <c r="C63" i="39" s="1"/>
  <c r="H59" i="39"/>
  <c r="I59" i="39"/>
  <c r="C59" i="39" s="1"/>
  <c r="H67" i="39"/>
  <c r="I67" i="39"/>
  <c r="C67" i="39"/>
  <c r="H66" i="39"/>
  <c r="I66" i="39" s="1"/>
  <c r="C66" i="39" s="1"/>
  <c r="H65" i="39"/>
  <c r="I65" i="39"/>
  <c r="C65" i="39" s="1"/>
  <c r="H64" i="39"/>
  <c r="I64" i="39" s="1"/>
  <c r="C64" i="39" s="1"/>
  <c r="H62" i="39"/>
  <c r="I62" i="39" s="1"/>
  <c r="C62"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C6" i="46" s="1"/>
  <c r="G19" i="46"/>
  <c r="R26" i="31"/>
  <c r="S26" i="31"/>
  <c r="R27" i="31"/>
  <c r="R28" i="31"/>
  <c r="S28" i="31" s="1"/>
  <c r="R29" i="31"/>
  <c r="R30" i="31"/>
  <c r="S30" i="31" s="1"/>
  <c r="R31" i="31"/>
  <c r="R32" i="31"/>
  <c r="S32" i="31"/>
  <c r="R33" i="31"/>
  <c r="R34" i="31"/>
  <c r="S34" i="31"/>
  <c r="R35" i="31"/>
  <c r="S35" i="31" s="1"/>
  <c r="R36" i="31"/>
  <c r="S36" i="31" s="1"/>
  <c r="R37" i="31"/>
  <c r="R38" i="31"/>
  <c r="S38" i="31"/>
  <c r="R39" i="31"/>
  <c r="R40" i="31"/>
  <c r="S40" i="31"/>
  <c r="R41" i="31"/>
  <c r="R42" i="31"/>
  <c r="S42" i="31"/>
  <c r="R43" i="31"/>
  <c r="R44" i="31"/>
  <c r="S44" i="31" s="1"/>
  <c r="R45" i="31"/>
  <c r="R46" i="31"/>
  <c r="S46" i="31"/>
  <c r="R47" i="31"/>
  <c r="R48" i="31"/>
  <c r="S48" i="31"/>
  <c r="R49" i="31"/>
  <c r="R50" i="31"/>
  <c r="S50" i="31"/>
  <c r="R51" i="31"/>
  <c r="R52" i="31"/>
  <c r="S52" i="31" s="1"/>
  <c r="R53" i="31"/>
  <c r="R54" i="31"/>
  <c r="S54" i="31" s="1"/>
  <c r="R55" i="31"/>
  <c r="R56" i="31"/>
  <c r="S56" i="31"/>
  <c r="R57" i="31"/>
  <c r="R58" i="31"/>
  <c r="S58" i="31"/>
  <c r="R59" i="31"/>
  <c r="R60" i="31"/>
  <c r="S60" i="31" s="1"/>
  <c r="R61" i="31"/>
  <c r="R62" i="31"/>
  <c r="S62" i="31" s="1"/>
  <c r="R63" i="31"/>
  <c r="R64" i="31"/>
  <c r="S64" i="31"/>
  <c r="R65" i="31"/>
  <c r="R66" i="31"/>
  <c r="S66" i="31"/>
  <c r="R67" i="31"/>
  <c r="R68" i="31"/>
  <c r="S68" i="31" s="1"/>
  <c r="R69" i="31"/>
  <c r="R70" i="31"/>
  <c r="S70" i="31"/>
  <c r="R71" i="31"/>
  <c r="R72" i="31"/>
  <c r="S72" i="31"/>
  <c r="R73" i="31"/>
  <c r="S73" i="31" s="1"/>
  <c r="R74" i="31"/>
  <c r="S74" i="31"/>
  <c r="R75" i="31"/>
  <c r="R76" i="31"/>
  <c r="S76" i="31" s="1"/>
  <c r="R77" i="31"/>
  <c r="R78" i="31"/>
  <c r="S78" i="31"/>
  <c r="R79" i="31"/>
  <c r="R80" i="31"/>
  <c r="S80" i="31"/>
  <c r="R81" i="31"/>
  <c r="R82" i="31"/>
  <c r="S82" i="31"/>
  <c r="R83" i="31"/>
  <c r="R84" i="31"/>
  <c r="S84" i="31" s="1"/>
  <c r="R85" i="31"/>
  <c r="R86" i="31"/>
  <c r="S86" i="31" s="1"/>
  <c r="R87" i="31"/>
  <c r="R88" i="31"/>
  <c r="S88" i="31"/>
  <c r="R89" i="31"/>
  <c r="R90" i="31"/>
  <c r="S90" i="31"/>
  <c r="R91" i="31"/>
  <c r="R92" i="31"/>
  <c r="S92" i="31" s="1"/>
  <c r="R93" i="31"/>
  <c r="R94" i="31"/>
  <c r="S94" i="31" s="1"/>
  <c r="R95" i="31"/>
  <c r="R96" i="31"/>
  <c r="S96" i="31"/>
  <c r="R97" i="31"/>
  <c r="R98" i="31"/>
  <c r="S98" i="31"/>
  <c r="R99" i="31"/>
  <c r="R100" i="31"/>
  <c r="S100" i="31" s="1"/>
  <c r="R101" i="31"/>
  <c r="R102" i="31"/>
  <c r="S102" i="31"/>
  <c r="R103" i="31"/>
  <c r="R104" i="31"/>
  <c r="S104" i="31"/>
  <c r="R105" i="31"/>
  <c r="S105" i="31" s="1"/>
  <c r="R106" i="31"/>
  <c r="S106" i="31"/>
  <c r="R107" i="31"/>
  <c r="R108" i="31"/>
  <c r="S108" i="31" s="1"/>
  <c r="R109" i="31"/>
  <c r="R110" i="31"/>
  <c r="S110" i="31"/>
  <c r="R111" i="31"/>
  <c r="R112" i="31"/>
  <c r="S112" i="31"/>
  <c r="R113" i="31"/>
  <c r="R114" i="31"/>
  <c r="S114" i="31"/>
  <c r="R115" i="31"/>
  <c r="R116" i="31"/>
  <c r="S116" i="31" s="1"/>
  <c r="R117" i="31"/>
  <c r="R118" i="31"/>
  <c r="S118" i="31" s="1"/>
  <c r="R119" i="31"/>
  <c r="R120" i="31"/>
  <c r="S120" i="31"/>
  <c r="R121" i="31"/>
  <c r="R122" i="31"/>
  <c r="S122" i="31"/>
  <c r="R123" i="31"/>
  <c r="R124" i="31"/>
  <c r="S124" i="31" s="1"/>
  <c r="R125" i="31"/>
  <c r="R126" i="31"/>
  <c r="S126" i="31" s="1"/>
  <c r="R127" i="31"/>
  <c r="R128" i="31"/>
  <c r="S128" i="31"/>
  <c r="R129" i="31"/>
  <c r="R130" i="31"/>
  <c r="S130" i="31"/>
  <c r="R131" i="31"/>
  <c r="R132" i="31"/>
  <c r="S132" i="31" s="1"/>
  <c r="R133" i="31"/>
  <c r="R134" i="31"/>
  <c r="S134" i="31"/>
  <c r="R135" i="31"/>
  <c r="R136" i="31"/>
  <c r="S136" i="31"/>
  <c r="R137" i="31"/>
  <c r="S137" i="31" s="1"/>
  <c r="R138" i="31"/>
  <c r="S138" i="31"/>
  <c r="R139" i="31"/>
  <c r="R140" i="31"/>
  <c r="S140" i="31" s="1"/>
  <c r="R141" i="31"/>
  <c r="R142" i="31"/>
  <c r="S142" i="31"/>
  <c r="R143" i="31"/>
  <c r="R144" i="31"/>
  <c r="S144" i="31"/>
  <c r="R145" i="31"/>
  <c r="R146" i="31"/>
  <c r="S146" i="31"/>
  <c r="R147" i="31"/>
  <c r="R148" i="31"/>
  <c r="S148" i="31" s="1"/>
  <c r="R149" i="31"/>
  <c r="R150" i="31"/>
  <c r="S150" i="31" s="1"/>
  <c r="R151" i="31"/>
  <c r="R152" i="31"/>
  <c r="S152" i="31"/>
  <c r="R153" i="31"/>
  <c r="R154" i="31"/>
  <c r="S154" i="31"/>
  <c r="R155" i="31"/>
  <c r="R156" i="31"/>
  <c r="S156" i="31" s="1"/>
  <c r="R157" i="31"/>
  <c r="R158" i="31"/>
  <c r="S158" i="31" s="1"/>
  <c r="R159" i="31"/>
  <c r="R160" i="31"/>
  <c r="S160" i="31"/>
  <c r="R161" i="31"/>
  <c r="R162" i="31"/>
  <c r="S162" i="31"/>
  <c r="R163" i="31"/>
  <c r="R164" i="31"/>
  <c r="S164" i="31" s="1"/>
  <c r="R165" i="31"/>
  <c r="R166" i="31"/>
  <c r="S166" i="31"/>
  <c r="R167" i="31"/>
  <c r="R168" i="31"/>
  <c r="S168" i="31"/>
  <c r="R169" i="31"/>
  <c r="S169" i="31" s="1"/>
  <c r="R170" i="31"/>
  <c r="S170" i="31"/>
  <c r="R171" i="31"/>
  <c r="R172" i="31"/>
  <c r="S172" i="31" s="1"/>
  <c r="R173" i="31"/>
  <c r="R174" i="31"/>
  <c r="S174" i="31"/>
  <c r="R175" i="31"/>
  <c r="R176" i="31"/>
  <c r="S176" i="31"/>
  <c r="R177" i="31"/>
  <c r="R178" i="31"/>
  <c r="S178" i="31"/>
  <c r="R179" i="31"/>
  <c r="R180" i="31"/>
  <c r="S180" i="31" s="1"/>
  <c r="R181" i="31"/>
  <c r="R182" i="31"/>
  <c r="S182" i="31" s="1"/>
  <c r="R183" i="31"/>
  <c r="R184" i="31"/>
  <c r="S184" i="31"/>
  <c r="R185" i="31"/>
  <c r="R186" i="31"/>
  <c r="S186" i="31"/>
  <c r="R187" i="31"/>
  <c r="R188" i="31"/>
  <c r="S188" i="31" s="1"/>
  <c r="R189" i="31"/>
  <c r="R190" i="31"/>
  <c r="S190" i="31" s="1"/>
  <c r="R191" i="31"/>
  <c r="R192" i="31"/>
  <c r="S192" i="31"/>
  <c r="R193" i="31"/>
  <c r="R194" i="31"/>
  <c r="S194" i="31"/>
  <c r="R195" i="31"/>
  <c r="R196" i="31"/>
  <c r="S196" i="31" s="1"/>
  <c r="R197" i="31"/>
  <c r="R198" i="31"/>
  <c r="S198" i="31"/>
  <c r="R199" i="31"/>
  <c r="R200" i="31"/>
  <c r="S200" i="31"/>
  <c r="R201" i="31"/>
  <c r="S201" i="31" s="1"/>
  <c r="R202" i="31"/>
  <c r="S202" i="31"/>
  <c r="R203" i="31"/>
  <c r="R204" i="31"/>
  <c r="S204" i="31" s="1"/>
  <c r="R205" i="31"/>
  <c r="R206" i="31"/>
  <c r="S206" i="31"/>
  <c r="R207" i="31"/>
  <c r="R208" i="31"/>
  <c r="S208" i="31"/>
  <c r="R209" i="31"/>
  <c r="R210" i="31"/>
  <c r="S210" i="31"/>
  <c r="R211" i="31"/>
  <c r="R212" i="31"/>
  <c r="S212" i="31" s="1"/>
  <c r="R213" i="31"/>
  <c r="R214" i="31"/>
  <c r="S214" i="31" s="1"/>
  <c r="R215" i="31"/>
  <c r="R216" i="31"/>
  <c r="S216" i="31"/>
  <c r="R217" i="31"/>
  <c r="R218" i="31"/>
  <c r="S218" i="31"/>
  <c r="R219" i="31"/>
  <c r="R220" i="31"/>
  <c r="S220" i="31" s="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s="1"/>
  <c r="R427" i="31"/>
  <c r="R428" i="31"/>
  <c r="S428" i="31"/>
  <c r="R429" i="31"/>
  <c r="R430" i="31"/>
  <c r="S430" i="31"/>
  <c r="R431" i="31"/>
  <c r="S431" i="31" s="1"/>
  <c r="R432" i="31"/>
  <c r="S432" i="31"/>
  <c r="R433" i="31"/>
  <c r="R434" i="31"/>
  <c r="S434" i="31" s="1"/>
  <c r="R435" i="31"/>
  <c r="R436" i="31"/>
  <c r="S436" i="31"/>
  <c r="R437" i="31"/>
  <c r="R438" i="31"/>
  <c r="S438" i="31"/>
  <c r="R439" i="31"/>
  <c r="R440" i="31"/>
  <c r="S440" i="31"/>
  <c r="R441" i="31"/>
  <c r="R442" i="31"/>
  <c r="S442" i="31" s="1"/>
  <c r="R443" i="31"/>
  <c r="R444" i="31"/>
  <c r="S444" i="31" s="1"/>
  <c r="R445" i="31"/>
  <c r="R446" i="31"/>
  <c r="S446" i="31"/>
  <c r="R447" i="31"/>
  <c r="R448" i="31"/>
  <c r="S448" i="31"/>
  <c r="R449" i="31"/>
  <c r="R450" i="31"/>
  <c r="S450" i="31" s="1"/>
  <c r="R451" i="31"/>
  <c r="R452" i="31"/>
  <c r="S452" i="31" s="1"/>
  <c r="R453" i="31"/>
  <c r="R454" i="31"/>
  <c r="S454" i="31"/>
  <c r="R455" i="31"/>
  <c r="R456" i="31"/>
  <c r="S456" i="31"/>
  <c r="R457" i="31"/>
  <c r="R458" i="31"/>
  <c r="S458" i="31" s="1"/>
  <c r="R459" i="31"/>
  <c r="R460" i="31"/>
  <c r="S460" i="31"/>
  <c r="R461" i="31"/>
  <c r="R462" i="31"/>
  <c r="S462" i="31"/>
  <c r="R463" i="31"/>
  <c r="S463" i="31" s="1"/>
  <c r="R464" i="31"/>
  <c r="S464" i="31"/>
  <c r="R465" i="31"/>
  <c r="R466" i="31"/>
  <c r="S466" i="31" s="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s="1"/>
  <c r="R503" i="31"/>
  <c r="R504" i="31"/>
  <c r="S504" i="31"/>
  <c r="R505" i="31"/>
  <c r="R506" i="31"/>
  <c r="S506" i="31"/>
  <c r="R507" i="31"/>
  <c r="R508" i="31"/>
  <c r="S508" i="31" s="1"/>
  <c r="R509" i="31"/>
  <c r="R510" i="31"/>
  <c r="S510" i="31" s="1"/>
  <c r="R511" i="31"/>
  <c r="R512" i="31"/>
  <c r="S512" i="31"/>
  <c r="R513" i="31"/>
  <c r="R514" i="31"/>
  <c r="S514" i="31"/>
  <c r="R515" i="31"/>
  <c r="R516" i="31"/>
  <c r="S516" i="31" s="1"/>
  <c r="R517" i="31"/>
  <c r="R518" i="31"/>
  <c r="S518" i="3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A30" i="64" s="1"/>
  <c r="G36" i="4"/>
  <c r="K2" i="54"/>
  <c r="B23" i="63" s="1"/>
  <c r="A3" i="51"/>
  <c r="R41" i="4"/>
  <c r="Q41" i="4"/>
  <c r="P41" i="4"/>
  <c r="O41" i="4"/>
  <c r="N41" i="4"/>
  <c r="M41" i="4"/>
  <c r="L41" i="4"/>
  <c r="K40" i="4"/>
  <c r="T40" i="4"/>
  <c r="F23" i="4"/>
  <c r="D19" i="4"/>
  <c r="I19" i="4"/>
  <c r="H19" i="4"/>
  <c r="G19" i="4"/>
  <c r="F9" i="1" s="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I73" i="9"/>
  <c r="F73" i="9"/>
  <c r="P73" i="9" s="1"/>
  <c r="D107" i="9"/>
  <c r="C107" i="9"/>
  <c r="C105" i="9" s="1"/>
  <c r="C110" i="9" s="1"/>
  <c r="C17" i="9"/>
  <c r="C18" i="9" s="1"/>
  <c r="M43"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9" i="31"/>
  <c r="S217" i="31"/>
  <c r="S215" i="31"/>
  <c r="S213" i="31"/>
  <c r="S211" i="31"/>
  <c r="S209" i="31"/>
  <c r="S207" i="31"/>
  <c r="S205" i="31"/>
  <c r="S203" i="31"/>
  <c r="S199" i="31"/>
  <c r="S197" i="31"/>
  <c r="S195" i="31"/>
  <c r="S193" i="31"/>
  <c r="S191" i="31"/>
  <c r="S189" i="31"/>
  <c r="S187" i="31"/>
  <c r="S185" i="31"/>
  <c r="S183" i="31"/>
  <c r="S181" i="31"/>
  <c r="S179" i="31"/>
  <c r="S177" i="31"/>
  <c r="S175" i="31"/>
  <c r="S173" i="31"/>
  <c r="S171" i="31"/>
  <c r="S167" i="31"/>
  <c r="S165" i="31"/>
  <c r="S163" i="31"/>
  <c r="S161" i="31"/>
  <c r="S159" i="31"/>
  <c r="S157" i="31"/>
  <c r="S155" i="31"/>
  <c r="S153" i="31"/>
  <c r="S151" i="31"/>
  <c r="S149" i="31"/>
  <c r="S147" i="31"/>
  <c r="S145" i="31"/>
  <c r="S143" i="31"/>
  <c r="S141" i="31"/>
  <c r="S139"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121" i="31"/>
  <c r="S119" i="31"/>
  <c r="S117" i="31"/>
  <c r="S115" i="31"/>
  <c r="S113" i="31"/>
  <c r="S467" i="31"/>
  <c r="S465" i="31"/>
  <c r="S461" i="31"/>
  <c r="S459" i="31"/>
  <c r="S457" i="31"/>
  <c r="S455" i="31"/>
  <c r="S453" i="31"/>
  <c r="S451" i="31"/>
  <c r="S53" i="31"/>
  <c r="S51" i="31"/>
  <c r="S49" i="31"/>
  <c r="S47" i="31"/>
  <c r="S45" i="31"/>
  <c r="S43" i="31"/>
  <c r="S41" i="31"/>
  <c r="S39" i="31"/>
  <c r="S37" i="31"/>
  <c r="S33" i="31"/>
  <c r="S77" i="31"/>
  <c r="S75"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7" i="31"/>
  <c r="S109" i="31"/>
  <c r="S111" i="31"/>
  <c r="S445" i="31"/>
  <c r="S447" i="31"/>
  <c r="S449" i="31"/>
  <c r="S507" i="31"/>
  <c r="S509" i="31"/>
  <c r="S511" i="31"/>
  <c r="S513" i="31"/>
  <c r="B52" i="1"/>
  <c r="I48" i="37"/>
  <c r="J48" i="37"/>
  <c r="G48" i="37"/>
  <c r="H48" i="37" s="1"/>
  <c r="E48" i="37"/>
  <c r="F48" i="37"/>
  <c r="I55" i="34"/>
  <c r="J55" i="34" s="1"/>
  <c r="G55" i="34"/>
  <c r="H55" i="34" s="1"/>
  <c r="E55" i="34"/>
  <c r="F55" i="34" s="1"/>
  <c r="I50" i="40"/>
  <c r="J50" i="40"/>
  <c r="G50" i="40"/>
  <c r="H50" i="40" s="1"/>
  <c r="E50" i="40"/>
  <c r="F50" i="40"/>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c r="H15" i="3"/>
  <c r="G15" i="3" s="1"/>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c r="BB19" i="3"/>
  <c r="BC19" i="3"/>
  <c r="BD19" i="3"/>
  <c r="BA19" i="3" s="1"/>
  <c r="AZ19" i="3" s="1"/>
  <c r="BE19" i="3"/>
  <c r="BF19" i="3"/>
  <c r="BG19" i="3"/>
  <c r="BH19" i="3"/>
  <c r="BI19" i="3"/>
  <c r="BJ19" i="3"/>
  <c r="BK19" i="3"/>
  <c r="BM19" i="3"/>
  <c r="BL19" i="3" s="1"/>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A481" i="3" s="1"/>
  <c r="BF481" i="3"/>
  <c r="BG481" i="3"/>
  <c r="BH481" i="3"/>
  <c r="BI481" i="3"/>
  <c r="BJ481" i="3"/>
  <c r="BK481" i="3"/>
  <c r="BM481" i="3"/>
  <c r="BN481" i="3"/>
  <c r="BL481" i="3" s="1"/>
  <c r="BO481" i="3"/>
  <c r="BP481" i="3"/>
  <c r="BQ481" i="3"/>
  <c r="BR481" i="3"/>
  <c r="BR5" i="3" s="1"/>
  <c r="G28" i="6" s="1"/>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A483" i="3" s="1"/>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A485" i="3" s="1"/>
  <c r="BC485" i="3"/>
  <c r="BD485" i="3"/>
  <c r="BE485" i="3"/>
  <c r="BF485" i="3"/>
  <c r="BG485" i="3"/>
  <c r="BH485" i="3"/>
  <c r="BI485" i="3"/>
  <c r="BJ485" i="3"/>
  <c r="BK485" i="3"/>
  <c r="BM485" i="3"/>
  <c r="BN485" i="3"/>
  <c r="BO485" i="3"/>
  <c r="BL485" i="3" s="1"/>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G489" i="3" s="1"/>
  <c r="BB489" i="3"/>
  <c r="BC489" i="3"/>
  <c r="BD489" i="3"/>
  <c r="BE489" i="3"/>
  <c r="BA489" i="3" s="1"/>
  <c r="AZ489" i="3" s="1"/>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AZ493" i="3" s="1"/>
  <c r="BP493" i="3"/>
  <c r="BQ493" i="3"/>
  <c r="BR493" i="3"/>
  <c r="BS493" i="3"/>
  <c r="BT493" i="3"/>
  <c r="H494" i="3"/>
  <c r="BB494" i="3"/>
  <c r="BC494" i="3"/>
  <c r="BD494" i="3"/>
  <c r="BE494" i="3"/>
  <c r="BF494" i="3"/>
  <c r="BG494" i="3"/>
  <c r="BH494" i="3"/>
  <c r="BI494" i="3"/>
  <c r="BJ494" i="3"/>
  <c r="BK494" i="3"/>
  <c r="BM494" i="3"/>
  <c r="BN494" i="3"/>
  <c r="BO494" i="3"/>
  <c r="BP494" i="3"/>
  <c r="BL494" i="3" s="1"/>
  <c r="AZ494" i="3" s="1"/>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BE496" i="3"/>
  <c r="BF496" i="3"/>
  <c r="BG496" i="3"/>
  <c r="BH496" i="3"/>
  <c r="BI496" i="3"/>
  <c r="BJ496" i="3"/>
  <c r="BK496" i="3"/>
  <c r="BM496" i="3"/>
  <c r="BN496" i="3"/>
  <c r="BO496" i="3"/>
  <c r="BP496" i="3"/>
  <c r="BR496" i="3"/>
  <c r="BS496" i="3"/>
  <c r="BT496" i="3"/>
  <c r="H497" i="3"/>
  <c r="AC497" i="3"/>
  <c r="G497" i="3" s="1"/>
  <c r="BB497" i="3"/>
  <c r="BC497" i="3"/>
  <c r="BD497" i="3"/>
  <c r="BA497" i="3" s="1"/>
  <c r="AZ497" i="3" s="1"/>
  <c r="BE497" i="3"/>
  <c r="BF497" i="3"/>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BB499" i="3"/>
  <c r="BC499" i="3"/>
  <c r="BD499" i="3"/>
  <c r="BE499" i="3"/>
  <c r="BA499" i="3" s="1"/>
  <c r="AZ499" i="3" s="1"/>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A502" i="3" s="1"/>
  <c r="AZ502" i="3" s="1"/>
  <c r="BF502" i="3"/>
  <c r="BG502" i="3"/>
  <c r="BH502" i="3"/>
  <c r="BI502" i="3"/>
  <c r="BJ502" i="3"/>
  <c r="BK502" i="3"/>
  <c r="BM502" i="3"/>
  <c r="BN502" i="3"/>
  <c r="BO502" i="3"/>
  <c r="BP502" i="3"/>
  <c r="BR502" i="3"/>
  <c r="BS502" i="3"/>
  <c r="BT502" i="3"/>
  <c r="H503" i="3"/>
  <c r="AC503" i="3"/>
  <c r="BB503" i="3"/>
  <c r="BA503" i="3" s="1"/>
  <c r="AZ503" i="3" s="1"/>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AZ505" i="3" s="1"/>
  <c r="BF505" i="3"/>
  <c r="BG505" i="3"/>
  <c r="BH505" i="3"/>
  <c r="BI505" i="3"/>
  <c r="BJ505" i="3"/>
  <c r="BK505" i="3"/>
  <c r="BM505" i="3"/>
  <c r="BN505" i="3"/>
  <c r="BO505" i="3"/>
  <c r="BP505" i="3"/>
  <c r="BQ505" i="3"/>
  <c r="BR505" i="3"/>
  <c r="BS505" i="3"/>
  <c r="BT505" i="3"/>
  <c r="H506" i="3"/>
  <c r="BB506" i="3"/>
  <c r="BA506" i="3" s="1"/>
  <c r="AZ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A511" i="3" s="1"/>
  <c r="AZ511" i="3" s="1"/>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AZ515" i="3" s="1"/>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L524" i="3" s="1"/>
  <c r="BO524" i="3"/>
  <c r="BP524" i="3"/>
  <c r="BR524" i="3"/>
  <c r="BS524" i="3"/>
  <c r="BT524" i="3"/>
  <c r="H525" i="3"/>
  <c r="AC525" i="3"/>
  <c r="G525" i="3"/>
  <c r="BB525" i="3"/>
  <c r="BC525" i="3"/>
  <c r="BD525" i="3"/>
  <c r="BE525" i="3"/>
  <c r="BA525" i="3" s="1"/>
  <c r="AZ525" i="3" s="1"/>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L534" i="3" s="1"/>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A537" i="3" s="1"/>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A539" i="3" s="1"/>
  <c r="BD539" i="3"/>
  <c r="BE539" i="3"/>
  <c r="BF539" i="3"/>
  <c r="BG539" i="3"/>
  <c r="BH539" i="3"/>
  <c r="BI539" i="3"/>
  <c r="BJ539" i="3"/>
  <c r="BK539" i="3"/>
  <c r="BM539" i="3"/>
  <c r="BN539" i="3"/>
  <c r="BL539" i="3" s="1"/>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L548" i="3" s="1"/>
  <c r="BO548" i="3"/>
  <c r="BP548" i="3"/>
  <c r="BR548" i="3"/>
  <c r="BS548" i="3"/>
  <c r="BT548" i="3"/>
  <c r="H549" i="3"/>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L550" i="3" s="1"/>
  <c r="BP550" i="3"/>
  <c r="BR550" i="3"/>
  <c r="BS550" i="3"/>
  <c r="BT550" i="3"/>
  <c r="H551" i="3"/>
  <c r="AC551" i="3"/>
  <c r="G551" i="3"/>
  <c r="BB551" i="3"/>
  <c r="BA551" i="3" s="1"/>
  <c r="BC551" i="3"/>
  <c r="BD551" i="3"/>
  <c r="BE551" i="3"/>
  <c r="BF551" i="3"/>
  <c r="BG551" i="3"/>
  <c r="BH551" i="3"/>
  <c r="BI551" i="3"/>
  <c r="BJ551" i="3"/>
  <c r="BK551" i="3"/>
  <c r="BM551" i="3"/>
  <c r="BN551" i="3"/>
  <c r="BO551" i="3"/>
  <c r="BL551" i="3" s="1"/>
  <c r="BP551" i="3"/>
  <c r="BQ551" i="3"/>
  <c r="BR551" i="3"/>
  <c r="BS551" i="3"/>
  <c r="BT551" i="3"/>
  <c r="H552" i="3"/>
  <c r="AC552" i="3"/>
  <c r="G552" i="3"/>
  <c r="BB552" i="3"/>
  <c r="BC552" i="3"/>
  <c r="BD552" i="3"/>
  <c r="BE552" i="3"/>
  <c r="BA552" i="3" s="1"/>
  <c r="BF552" i="3"/>
  <c r="BG552" i="3"/>
  <c r="BH552" i="3"/>
  <c r="BI552" i="3"/>
  <c r="BJ552" i="3"/>
  <c r="BK552" i="3"/>
  <c r="BM552" i="3"/>
  <c r="BN552" i="3"/>
  <c r="BO552" i="3"/>
  <c r="BP552" i="3"/>
  <c r="BR552" i="3"/>
  <c r="BS552" i="3"/>
  <c r="BT552" i="3"/>
  <c r="H553" i="3"/>
  <c r="AC553" i="3"/>
  <c r="G553" i="3" s="1"/>
  <c r="BB553" i="3"/>
  <c r="BC553" i="3"/>
  <c r="BD553" i="3"/>
  <c r="BE553" i="3"/>
  <c r="BA553" i="3" s="1"/>
  <c r="BF553" i="3"/>
  <c r="BG553" i="3"/>
  <c r="BH553" i="3"/>
  <c r="BI553" i="3"/>
  <c r="BJ553" i="3"/>
  <c r="BK553" i="3"/>
  <c r="BM553" i="3"/>
  <c r="BN553" i="3"/>
  <c r="BO553" i="3"/>
  <c r="BP553" i="3"/>
  <c r="BQ553" i="3"/>
  <c r="BR553" i="3"/>
  <c r="BS553" i="3"/>
  <c r="BT553" i="3"/>
  <c r="H554" i="3"/>
  <c r="AC554" i="3"/>
  <c r="G554" i="3" s="1"/>
  <c r="BB554" i="3"/>
  <c r="BC554" i="3"/>
  <c r="BD554" i="3"/>
  <c r="BE554" i="3"/>
  <c r="BA554" i="3" s="1"/>
  <c r="AZ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A559" i="3" s="1"/>
  <c r="BC559" i="3"/>
  <c r="BD559" i="3"/>
  <c r="BE559" i="3"/>
  <c r="BF559" i="3"/>
  <c r="BG559" i="3"/>
  <c r="BH559" i="3"/>
  <c r="BI559" i="3"/>
  <c r="BJ559" i="3"/>
  <c r="BK559" i="3"/>
  <c r="BM559" i="3"/>
  <c r="BN559" i="3"/>
  <c r="BO559" i="3"/>
  <c r="BL559"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AZ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A568" i="3" s="1"/>
  <c r="BC568" i="3"/>
  <c r="BD568" i="3"/>
  <c r="BE568" i="3"/>
  <c r="BF568" i="3"/>
  <c r="BG568" i="3"/>
  <c r="BH568" i="3"/>
  <c r="BI568" i="3"/>
  <c r="BJ568" i="3"/>
  <c r="BK568" i="3"/>
  <c r="BM568" i="3"/>
  <c r="BN568" i="3"/>
  <c r="BO568" i="3"/>
  <c r="BL568" i="3" s="1"/>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c r="J30" i="36"/>
  <c r="H30" i="36"/>
  <c r="U30" i="36"/>
  <c r="F30" i="36"/>
  <c r="AA30" i="36" s="1"/>
  <c r="C26" i="35"/>
  <c r="C79" i="35" s="1"/>
  <c r="F26" i="35" s="1"/>
  <c r="J31" i="35"/>
  <c r="AC31" i="35" s="1"/>
  <c r="H31" i="35"/>
  <c r="AB31" i="35" s="1"/>
  <c r="F31" i="35"/>
  <c r="AA31" i="35" s="1"/>
  <c r="D87" i="35"/>
  <c r="E87" i="35" s="1"/>
  <c r="F87" i="35" s="1"/>
  <c r="G87" i="35" s="1"/>
  <c r="H34" i="37"/>
  <c r="AB34" i="37"/>
  <c r="D101" i="37"/>
  <c r="F34" i="37"/>
  <c r="AA34" i="37" s="1"/>
  <c r="D99" i="37"/>
  <c r="E99" i="37"/>
  <c r="H42" i="34"/>
  <c r="J42" i="34"/>
  <c r="W42" i="34" s="1"/>
  <c r="F42" i="34"/>
  <c r="J38" i="34"/>
  <c r="D114" i="34"/>
  <c r="E114" i="34" s="1"/>
  <c r="F114" i="34" s="1"/>
  <c r="G114" i="34" s="1"/>
  <c r="H114" i="34" s="1"/>
  <c r="I114" i="34" s="1"/>
  <c r="J114" i="34" s="1"/>
  <c r="K114" i="34" s="1"/>
  <c r="L114" i="34" s="1"/>
  <c r="M114" i="34" s="1"/>
  <c r="F38" i="34"/>
  <c r="D112" i="34"/>
  <c r="E112" i="34"/>
  <c r="F112" i="34"/>
  <c r="G112" i="34"/>
  <c r="H112" i="34" s="1"/>
  <c r="I112" i="34"/>
  <c r="J112" i="34" s="1"/>
  <c r="K112" i="34" s="1"/>
  <c r="L112" i="34" s="1"/>
  <c r="M112" i="34" s="1"/>
  <c r="F40" i="33"/>
  <c r="S40" i="33" s="1"/>
  <c r="J41" i="33"/>
  <c r="AC41" i="33" s="1"/>
  <c r="D113" i="33"/>
  <c r="F37" i="33"/>
  <c r="AA37" i="33"/>
  <c r="D111" i="33"/>
  <c r="E111" i="33"/>
  <c r="F111" i="33"/>
  <c r="G111" i="33"/>
  <c r="H111" i="33" s="1"/>
  <c r="I111" i="33" s="1"/>
  <c r="J111" i="33" s="1"/>
  <c r="K111" i="33"/>
  <c r="L111" i="33" s="1"/>
  <c r="M111" i="33"/>
  <c r="S515" i="31"/>
  <c r="S517" i="31"/>
  <c r="S519" i="31"/>
  <c r="S521" i="31"/>
  <c r="S523" i="31"/>
  <c r="F41" i="21"/>
  <c r="J41" i="21"/>
  <c r="AC41" i="21"/>
  <c r="H41" i="21"/>
  <c r="U41" i="21"/>
  <c r="D83" i="39"/>
  <c r="E83" i="39" s="1"/>
  <c r="D78" i="40"/>
  <c r="F13" i="40"/>
  <c r="S13" i="40"/>
  <c r="B122" i="40"/>
  <c r="F42" i="40"/>
  <c r="AA42" i="40" s="1"/>
  <c r="B120" i="40"/>
  <c r="H41" i="40" s="1"/>
  <c r="B118" i="40"/>
  <c r="F40" i="40"/>
  <c r="D117" i="40"/>
  <c r="E117" i="40" s="1"/>
  <c r="F117" i="40"/>
  <c r="G117" i="40"/>
  <c r="H117" i="40" s="1"/>
  <c r="I117" i="40" s="1"/>
  <c r="J117" i="40" s="1"/>
  <c r="K117" i="40"/>
  <c r="L117" i="40"/>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s="1"/>
  <c r="B103" i="40"/>
  <c r="J33" i="40" s="1"/>
  <c r="D102" i="40"/>
  <c r="E102" i="40"/>
  <c r="F102" i="40" s="1"/>
  <c r="G102" i="40"/>
  <c r="H102" i="40"/>
  <c r="I102" i="40" s="1"/>
  <c r="J102" i="40" s="1"/>
  <c r="K102" i="40" s="1"/>
  <c r="L102" i="40" s="1"/>
  <c r="M102" i="40" s="1"/>
  <c r="D100" i="40"/>
  <c r="E100" i="40"/>
  <c r="D98" i="40"/>
  <c r="E98" i="40"/>
  <c r="B97" i="40"/>
  <c r="D94" i="40"/>
  <c r="E94" i="40" s="1"/>
  <c r="F94" i="40" s="1"/>
  <c r="G94" i="40" s="1"/>
  <c r="D92" i="40"/>
  <c r="E92" i="40" s="1"/>
  <c r="D90" i="40"/>
  <c r="E90" i="40" s="1"/>
  <c r="H21" i="40"/>
  <c r="AB21" i="40"/>
  <c r="D88" i="40"/>
  <c r="E88" i="40"/>
  <c r="D86" i="40"/>
  <c r="E86" i="40"/>
  <c r="F86" i="40" s="1"/>
  <c r="G86" i="40" s="1"/>
  <c r="J17" i="40"/>
  <c r="B83" i="40"/>
  <c r="B81" i="40"/>
  <c r="B79" i="40"/>
  <c r="F14" i="40" s="1"/>
  <c r="S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c r="Q36" i="40"/>
  <c r="Z36" i="40" s="1"/>
  <c r="Q35" i="40"/>
  <c r="Z35" i="40" s="1"/>
  <c r="Q34" i="40"/>
  <c r="Z34" i="40" s="1"/>
  <c r="Q33" i="40"/>
  <c r="Z33" i="40"/>
  <c r="Q32" i="40"/>
  <c r="Z32" i="40" s="1"/>
  <c r="Q30" i="40"/>
  <c r="Z30" i="40"/>
  <c r="Q29" i="40"/>
  <c r="Z29" i="40" s="1"/>
  <c r="Q25" i="40"/>
  <c r="Z25" i="40"/>
  <c r="Q23" i="40"/>
  <c r="Z23" i="40" s="1"/>
  <c r="Q21" i="40"/>
  <c r="Z21" i="40" s="1"/>
  <c r="Q19" i="40"/>
  <c r="Z19" i="40" s="1"/>
  <c r="Q17" i="40"/>
  <c r="Z17" i="40"/>
  <c r="Q16" i="40"/>
  <c r="Z16" i="40" s="1"/>
  <c r="Q15" i="40"/>
  <c r="Z15" i="40"/>
  <c r="Q14" i="40"/>
  <c r="Z14" i="40" s="1"/>
  <c r="Q13" i="40"/>
  <c r="Z13" i="40"/>
  <c r="Q12" i="40"/>
  <c r="Z12" i="40" s="1"/>
  <c r="Q11" i="40"/>
  <c r="Z11" i="40" s="1"/>
  <c r="C9" i="40"/>
  <c r="C65" i="40" s="1"/>
  <c r="D126" i="39"/>
  <c r="E126" i="39" s="1"/>
  <c r="D122" i="39"/>
  <c r="E122" i="39" s="1"/>
  <c r="B116" i="39"/>
  <c r="D111" i="39"/>
  <c r="E111" i="39" s="1"/>
  <c r="F111" i="39"/>
  <c r="G111" i="39"/>
  <c r="H111" i="39" s="1"/>
  <c r="I111" i="39" s="1"/>
  <c r="J111" i="39" s="1"/>
  <c r="K111" i="39"/>
  <c r="L111" i="39"/>
  <c r="M111" i="39" s="1"/>
  <c r="D109" i="39"/>
  <c r="E109" i="39"/>
  <c r="F109" i="39"/>
  <c r="G109" i="39" s="1"/>
  <c r="H109" i="39"/>
  <c r="I109" i="39" s="1"/>
  <c r="J109" i="39" s="1"/>
  <c r="K109" i="39" s="1"/>
  <c r="L109" i="39" s="1"/>
  <c r="M109" i="39" s="1"/>
  <c r="D107" i="39"/>
  <c r="E107" i="39" s="1"/>
  <c r="F107" i="39"/>
  <c r="G107" i="39"/>
  <c r="H107" i="39"/>
  <c r="I107" i="39" s="1"/>
  <c r="J107" i="39" s="1"/>
  <c r="K107" i="39" s="1"/>
  <c r="L107" i="39"/>
  <c r="M107" i="39" s="1"/>
  <c r="D103" i="39"/>
  <c r="E103" i="39" s="1"/>
  <c r="F103" i="39" s="1"/>
  <c r="G103" i="39" s="1"/>
  <c r="D101" i="39"/>
  <c r="E101" i="39" s="1"/>
  <c r="Q41" i="39"/>
  <c r="Z41" i="39" s="1"/>
  <c r="Q42" i="39"/>
  <c r="Z42" i="39"/>
  <c r="Q43" i="39"/>
  <c r="Q44" i="39"/>
  <c r="Z44" i="39"/>
  <c r="Q45" i="39"/>
  <c r="Z45" i="39" s="1"/>
  <c r="Q46" i="39"/>
  <c r="Z46" i="39"/>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B106" i="39"/>
  <c r="D99" i="39"/>
  <c r="E99" i="39" s="1"/>
  <c r="D97" i="39"/>
  <c r="E97" i="39" s="1"/>
  <c r="D95" i="39"/>
  <c r="E95" i="39" s="1"/>
  <c r="F95" i="39" s="1"/>
  <c r="G95" i="39" s="1"/>
  <c r="D93" i="39"/>
  <c r="E93" i="39" s="1"/>
  <c r="F93" i="39" s="1"/>
  <c r="G93" i="39" s="1"/>
  <c r="D91" i="39"/>
  <c r="E91" i="39" s="1"/>
  <c r="B88" i="39"/>
  <c r="H16" i="39" s="1"/>
  <c r="U16" i="39" s="1"/>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s="1"/>
  <c r="Q25" i="39"/>
  <c r="Z25" i="39" s="1"/>
  <c r="Q23" i="39"/>
  <c r="Z23" i="39" s="1"/>
  <c r="Q21" i="39"/>
  <c r="Z21" i="39"/>
  <c r="Q19" i="39"/>
  <c r="Z19" i="39" s="1"/>
  <c r="Q17" i="39"/>
  <c r="Z17" i="39"/>
  <c r="Q16" i="39"/>
  <c r="Z16" i="39" s="1"/>
  <c r="Q15" i="39"/>
  <c r="Z15" i="39" s="1"/>
  <c r="Q14" i="39"/>
  <c r="Z14" i="39"/>
  <c r="Q13" i="39"/>
  <c r="Z13" i="39" s="1"/>
  <c r="Q12" i="39"/>
  <c r="Z12" i="39"/>
  <c r="Q11" i="39"/>
  <c r="Z11" i="39" s="1"/>
  <c r="U10" i="39"/>
  <c r="C9" i="39"/>
  <c r="C70" i="39" s="1"/>
  <c r="C20" i="36"/>
  <c r="C20" i="35"/>
  <c r="C16" i="36"/>
  <c r="C16" i="35"/>
  <c r="C14" i="36"/>
  <c r="C14" i="35"/>
  <c r="B80" i="37"/>
  <c r="B110" i="37"/>
  <c r="J39" i="37"/>
  <c r="AC39" i="37" s="1"/>
  <c r="B108" i="37"/>
  <c r="C23" i="37"/>
  <c r="C19" i="37"/>
  <c r="C17" i="37"/>
  <c r="C15" i="37"/>
  <c r="B112" i="37"/>
  <c r="D107" i="37"/>
  <c r="E107" i="37" s="1"/>
  <c r="F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c r="B82" i="37"/>
  <c r="D79" i="37"/>
  <c r="E79" i="37"/>
  <c r="D75" i="37"/>
  <c r="E75" i="37" s="1"/>
  <c r="F75" i="37" s="1"/>
  <c r="G75" i="37" s="1"/>
  <c r="D73" i="37"/>
  <c r="E73" i="37"/>
  <c r="F73" i="37" s="1"/>
  <c r="G73" i="37"/>
  <c r="D71" i="37"/>
  <c r="E71" i="37"/>
  <c r="F71" i="37" s="1"/>
  <c r="G71" i="37"/>
  <c r="F15" i="37"/>
  <c r="AA15" i="37" s="1"/>
  <c r="B68" i="37"/>
  <c r="H14" i="37"/>
  <c r="AB14" i="37" s="1"/>
  <c r="U14" i="37"/>
  <c r="B66" i="37"/>
  <c r="B64" i="37"/>
  <c r="D63" i="37"/>
  <c r="E63" i="37"/>
  <c r="F63" i="37" s="1"/>
  <c r="G63" i="37" s="1"/>
  <c r="H63" i="37" s="1"/>
  <c r="I63" i="37"/>
  <c r="J63" i="37"/>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Q30" i="37"/>
  <c r="Z30" i="37"/>
  <c r="J30" i="37"/>
  <c r="W30" i="37" s="1"/>
  <c r="H30" i="37"/>
  <c r="AB30" i="37"/>
  <c r="F30" i="37"/>
  <c r="S30" i="37" s="1"/>
  <c r="Q29" i="37"/>
  <c r="Z29" i="37" s="1"/>
  <c r="H29" i="37"/>
  <c r="U29" i="37"/>
  <c r="Q28" i="37"/>
  <c r="Z28" i="37" s="1"/>
  <c r="Q27" i="37"/>
  <c r="Z27" i="37"/>
  <c r="Q26" i="37"/>
  <c r="Z26" i="37" s="1"/>
  <c r="J26" i="37"/>
  <c r="AC26" i="37" s="1"/>
  <c r="H26" i="37"/>
  <c r="AB26" i="37"/>
  <c r="F26" i="37"/>
  <c r="AA26" i="37"/>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H8" i="37"/>
  <c r="AB8" i="37"/>
  <c r="F8" i="37"/>
  <c r="C7" i="37"/>
  <c r="C52" i="37" s="1"/>
  <c r="D52" i="37" s="1"/>
  <c r="E52" i="37" s="1"/>
  <c r="F52" i="37" s="1"/>
  <c r="G52" i="37" s="1"/>
  <c r="H52" i="37" s="1"/>
  <c r="I52" i="37" s="1"/>
  <c r="J52" i="37" s="1"/>
  <c r="K52" i="37" s="1"/>
  <c r="J31" i="36"/>
  <c r="W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c r="G81" i="36" s="1"/>
  <c r="H81" i="36" s="1"/>
  <c r="I81" i="36" s="1"/>
  <c r="J81" i="36"/>
  <c r="K81" i="36" s="1"/>
  <c r="L81" i="36" s="1"/>
  <c r="M81" i="36" s="1"/>
  <c r="F79" i="36"/>
  <c r="E79" i="36"/>
  <c r="D79" i="36"/>
  <c r="C79" i="36"/>
  <c r="B93" i="36"/>
  <c r="J33" i="36" s="1"/>
  <c r="B91" i="36"/>
  <c r="B95" i="36"/>
  <c r="H34" i="36"/>
  <c r="D83" i="36"/>
  <c r="E83" i="36"/>
  <c r="F83" i="36" s="1"/>
  <c r="G83" i="36" s="1"/>
  <c r="H83" i="36" s="1"/>
  <c r="I83" i="36" s="1"/>
  <c r="J83" i="36" s="1"/>
  <c r="K83" i="36" s="1"/>
  <c r="L83" i="36" s="1"/>
  <c r="M83" i="36" s="1"/>
  <c r="D78" i="36"/>
  <c r="J26" i="36"/>
  <c r="W26" i="36" s="1"/>
  <c r="B75" i="36"/>
  <c r="B73" i="36"/>
  <c r="H24" i="36" s="1"/>
  <c r="AB24" i="36" s="1"/>
  <c r="J24" i="36"/>
  <c r="W24" i="36" s="1"/>
  <c r="B71" i="36"/>
  <c r="H23" i="36" s="1"/>
  <c r="D70" i="36"/>
  <c r="H22" i="36"/>
  <c r="AB22" i="36" s="1"/>
  <c r="D68" i="36"/>
  <c r="E68" i="36"/>
  <c r="F68" i="36" s="1"/>
  <c r="D64" i="36"/>
  <c r="E64" i="36" s="1"/>
  <c r="F64" i="36"/>
  <c r="G64" i="36"/>
  <c r="J16" i="36"/>
  <c r="W16" i="36" s="1"/>
  <c r="D62" i="36"/>
  <c r="E62" i="36"/>
  <c r="B59" i="36"/>
  <c r="F13" i="36" s="1"/>
  <c r="S13" i="36" s="1"/>
  <c r="B57" i="36"/>
  <c r="J12" i="36" s="1"/>
  <c r="AC12" i="36" s="1"/>
  <c r="B55" i="36"/>
  <c r="F54" i="36"/>
  <c r="G54" i="36"/>
  <c r="H54" i="36" s="1"/>
  <c r="I54" i="36"/>
  <c r="J10" i="36"/>
  <c r="W10"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c r="H26" i="36"/>
  <c r="AB26" i="36" s="1"/>
  <c r="Q25" i="36"/>
  <c r="Z25" i="36"/>
  <c r="Q24" i="36"/>
  <c r="Z24" i="36" s="1"/>
  <c r="Q23" i="36"/>
  <c r="Z23" i="36" s="1"/>
  <c r="Q22" i="36"/>
  <c r="Z22" i="36" s="1"/>
  <c r="J22" i="36"/>
  <c r="AC22" i="36"/>
  <c r="Q20" i="36"/>
  <c r="Z20" i="36" s="1"/>
  <c r="Q16" i="36"/>
  <c r="Z16" i="36"/>
  <c r="Q14" i="36"/>
  <c r="Z14" i="36" s="1"/>
  <c r="Q13" i="36"/>
  <c r="Z13" i="36" s="1"/>
  <c r="Q12" i="36"/>
  <c r="Z12" i="36" s="1"/>
  <c r="Q11" i="36"/>
  <c r="Z11" i="36" s="1"/>
  <c r="Q10" i="36"/>
  <c r="Z10" i="36"/>
  <c r="F10" i="36"/>
  <c r="AA10" i="36" s="1"/>
  <c r="Q9" i="36"/>
  <c r="Z9" i="36"/>
  <c r="J9" i="36"/>
  <c r="AC9" i="36" s="1"/>
  <c r="H9" i="36"/>
  <c r="AB9" i="36" s="1"/>
  <c r="F9" i="36"/>
  <c r="AA9" i="36" s="1"/>
  <c r="J8" i="36"/>
  <c r="AC8" i="36" s="1"/>
  <c r="H8" i="36"/>
  <c r="U8" i="36" s="1"/>
  <c r="F8" i="36"/>
  <c r="AA8" i="36"/>
  <c r="C7" i="36"/>
  <c r="D89" i="35"/>
  <c r="E89" i="35" s="1"/>
  <c r="F89" i="35" s="1"/>
  <c r="G89" i="35" s="1"/>
  <c r="H89" i="35" s="1"/>
  <c r="I89" i="35" s="1"/>
  <c r="J89" i="35" s="1"/>
  <c r="K89" i="35" s="1"/>
  <c r="L89" i="35" s="1"/>
  <c r="M89" i="35" s="1"/>
  <c r="H30" i="35"/>
  <c r="AB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J36" i="35" s="1"/>
  <c r="W36" i="35" s="1"/>
  <c r="B99" i="35"/>
  <c r="B97" i="35"/>
  <c r="B77" i="35"/>
  <c r="F25" i="35" s="1"/>
  <c r="B75" i="35"/>
  <c r="J24" i="35" s="1"/>
  <c r="AC24" i="35" s="1"/>
  <c r="B73" i="35"/>
  <c r="B57" i="35"/>
  <c r="H11" i="35" s="1"/>
  <c r="B61" i="35"/>
  <c r="B59" i="35"/>
  <c r="H12" i="35"/>
  <c r="B131" i="34"/>
  <c r="F47" i="34" s="1"/>
  <c r="B129" i="34"/>
  <c r="B127" i="34"/>
  <c r="B99" i="34"/>
  <c r="F32" i="34" s="1"/>
  <c r="AA32" i="34" s="1"/>
  <c r="B97" i="34"/>
  <c r="F31" i="34" s="1"/>
  <c r="B95" i="34"/>
  <c r="B93" i="34"/>
  <c r="B75" i="34"/>
  <c r="F14" i="34" s="1"/>
  <c r="AA14" i="34" s="1"/>
  <c r="B73" i="34"/>
  <c r="H13" i="34" s="1"/>
  <c r="B71" i="34"/>
  <c r="B130" i="33"/>
  <c r="B128" i="33"/>
  <c r="F45" i="33" s="1"/>
  <c r="S45" i="33" s="1"/>
  <c r="H45" i="33"/>
  <c r="U45" i="33" s="1"/>
  <c r="B126" i="33"/>
  <c r="J44" i="33" s="1"/>
  <c r="B98" i="33"/>
  <c r="F31" i="33"/>
  <c r="AA31" i="33" s="1"/>
  <c r="B96" i="33"/>
  <c r="B94" i="33"/>
  <c r="H29" i="33" s="1"/>
  <c r="AB29" i="33" s="1"/>
  <c r="B74" i="33"/>
  <c r="B72" i="33"/>
  <c r="B70" i="33"/>
  <c r="J12" i="33" s="1"/>
  <c r="AC12" i="33" s="1"/>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D64" i="35"/>
  <c r="E64" i="35" s="1"/>
  <c r="F56" i="35"/>
  <c r="G56" i="35" s="1"/>
  <c r="H56" i="35" s="1"/>
  <c r="I56" i="35" s="1"/>
  <c r="C53" i="35"/>
  <c r="H9" i="35" s="1"/>
  <c r="P39" i="35"/>
  <c r="P38" i="35"/>
  <c r="V37" i="35"/>
  <c r="T37" i="35"/>
  <c r="R37" i="35"/>
  <c r="P37" i="35"/>
  <c r="Q36" i="35"/>
  <c r="Z36" i="35" s="1"/>
  <c r="Q35" i="35"/>
  <c r="Z35" i="35" s="1"/>
  <c r="Q34" i="35"/>
  <c r="Z34" i="35"/>
  <c r="J34" i="35"/>
  <c r="AC34" i="35" s="1"/>
  <c r="H34" i="35"/>
  <c r="AB34" i="35" s="1"/>
  <c r="F34" i="35"/>
  <c r="AA34" i="35" s="1"/>
  <c r="Q33" i="35"/>
  <c r="Z33" i="35"/>
  <c r="Q32" i="35"/>
  <c r="Z32" i="35" s="1"/>
  <c r="H32" i="35"/>
  <c r="U32" i="35" s="1"/>
  <c r="F32" i="35"/>
  <c r="Q31" i="35"/>
  <c r="Z31" i="35"/>
  <c r="Q30" i="35"/>
  <c r="Z30" i="35" s="1"/>
  <c r="Q29" i="35"/>
  <c r="Z29" i="35" s="1"/>
  <c r="Q28" i="35"/>
  <c r="Z28" i="35" s="1"/>
  <c r="J28" i="35"/>
  <c r="W28" i="35" s="1"/>
  <c r="H28" i="35"/>
  <c r="AB28" i="35" s="1"/>
  <c r="F28" i="35"/>
  <c r="AA28" i="35" s="1"/>
  <c r="Q27" i="35"/>
  <c r="Z27" i="35"/>
  <c r="Q26" i="35"/>
  <c r="Z26" i="35" s="1"/>
  <c r="Q25" i="35"/>
  <c r="Z25" i="35"/>
  <c r="Q24" i="35"/>
  <c r="Z24" i="35" s="1"/>
  <c r="Q23" i="35"/>
  <c r="Z23" i="35" s="1"/>
  <c r="J23" i="35"/>
  <c r="AC23" i="35" s="1"/>
  <c r="Q22" i="35"/>
  <c r="Z22" i="35" s="1"/>
  <c r="Q20" i="35"/>
  <c r="Z20" i="35" s="1"/>
  <c r="Q16" i="35"/>
  <c r="Z16" i="35"/>
  <c r="Q14" i="35"/>
  <c r="Z14" i="35" s="1"/>
  <c r="Q13" i="35"/>
  <c r="Z13" i="35"/>
  <c r="Q12" i="35"/>
  <c r="Z12" i="35" s="1"/>
  <c r="J12" i="35"/>
  <c r="W12" i="35" s="1"/>
  <c r="F12" i="35"/>
  <c r="AA12" i="35" s="1"/>
  <c r="Q11" i="35"/>
  <c r="Z11" i="35"/>
  <c r="Q10" i="35"/>
  <c r="Z10" i="35" s="1"/>
  <c r="Q9" i="35"/>
  <c r="Z9" i="35"/>
  <c r="J9" i="35"/>
  <c r="W9" i="35" s="1"/>
  <c r="F9" i="35"/>
  <c r="AA9" i="35" s="1"/>
  <c r="J8" i="35"/>
  <c r="AC8" i="35" s="1"/>
  <c r="H8" i="35"/>
  <c r="U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s="1"/>
  <c r="H67" i="34" s="1"/>
  <c r="I67" i="34" s="1"/>
  <c r="H10" i="34"/>
  <c r="U10" i="34" s="1"/>
  <c r="AB10" i="34"/>
  <c r="D126" i="34"/>
  <c r="E126" i="34"/>
  <c r="F126" i="34"/>
  <c r="G126" i="34"/>
  <c r="D124" i="34"/>
  <c r="E124" i="34"/>
  <c r="F124" i="34"/>
  <c r="G124" i="34"/>
  <c r="H124" i="34" s="1"/>
  <c r="I124" i="34" s="1"/>
  <c r="J124" i="34" s="1"/>
  <c r="K124" i="34"/>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c r="H109" i="34" s="1"/>
  <c r="I109" i="34" s="1"/>
  <c r="J109" i="34" s="1"/>
  <c r="K109" i="34"/>
  <c r="L109" i="34"/>
  <c r="M109" i="34" s="1"/>
  <c r="J36" i="34"/>
  <c r="D107" i="34"/>
  <c r="E107" i="34"/>
  <c r="F35" i="34"/>
  <c r="M103" i="34"/>
  <c r="L103" i="34"/>
  <c r="K103" i="34"/>
  <c r="J103" i="34"/>
  <c r="I103" i="34"/>
  <c r="H103" i="34"/>
  <c r="G103" i="34"/>
  <c r="F103" i="34"/>
  <c r="E103" i="34"/>
  <c r="D103" i="34"/>
  <c r="C103" i="34"/>
  <c r="D102" i="34"/>
  <c r="E102" i="34"/>
  <c r="F102" i="34"/>
  <c r="G102" i="34"/>
  <c r="H102" i="34" s="1"/>
  <c r="I102" i="34"/>
  <c r="J102" i="34" s="1"/>
  <c r="K102" i="34" s="1"/>
  <c r="L102" i="34" s="1"/>
  <c r="M102" i="34" s="1"/>
  <c r="H33" i="34"/>
  <c r="D92" i="34"/>
  <c r="E92" i="34"/>
  <c r="F92" i="34" s="1"/>
  <c r="G92" i="34" s="1"/>
  <c r="H92" i="34" s="1"/>
  <c r="I92" i="34" s="1"/>
  <c r="J92" i="34" s="1"/>
  <c r="K92" i="34" s="1"/>
  <c r="L92" i="34" s="1"/>
  <c r="M92" i="34" s="1"/>
  <c r="B91" i="34"/>
  <c r="H28" i="34" s="1"/>
  <c r="U28" i="34" s="1"/>
  <c r="F28" i="34"/>
  <c r="S28" i="34" s="1"/>
  <c r="B89" i="34"/>
  <c r="J27" i="34" s="1"/>
  <c r="W27" i="34" s="1"/>
  <c r="D88" i="34"/>
  <c r="E88" i="34" s="1"/>
  <c r="F88" i="34"/>
  <c r="G88" i="34" s="1"/>
  <c r="H88" i="34" s="1"/>
  <c r="I88" i="34" s="1"/>
  <c r="J88" i="34" s="1"/>
  <c r="K88" i="34" s="1"/>
  <c r="L88" i="34" s="1"/>
  <c r="M88" i="34" s="1"/>
  <c r="D86" i="34"/>
  <c r="E86" i="34"/>
  <c r="D82" i="34"/>
  <c r="E82" i="34" s="1"/>
  <c r="F82" i="34"/>
  <c r="G82" i="34" s="1"/>
  <c r="D80" i="34"/>
  <c r="D78" i="34"/>
  <c r="D70" i="34"/>
  <c r="E70" i="34" s="1"/>
  <c r="F70" i="34" s="1"/>
  <c r="G70" i="34" s="1"/>
  <c r="H70" i="34"/>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s="1"/>
  <c r="Q43" i="34"/>
  <c r="Z43" i="34" s="1"/>
  <c r="F43" i="34"/>
  <c r="S43" i="34" s="1"/>
  <c r="Q42" i="34"/>
  <c r="Z42" i="34" s="1"/>
  <c r="Q41" i="34"/>
  <c r="Z41" i="34"/>
  <c r="Q40" i="34"/>
  <c r="Z40" i="34" s="1"/>
  <c r="F40" i="34"/>
  <c r="S40" i="34"/>
  <c r="Q39" i="34"/>
  <c r="Z39" i="34" s="1"/>
  <c r="J39" i="34"/>
  <c r="H39" i="34"/>
  <c r="U39" i="34" s="1"/>
  <c r="F39" i="34"/>
  <c r="S39" i="34" s="1"/>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s="1"/>
  <c r="D121" i="33"/>
  <c r="E121" i="33" s="1"/>
  <c r="F121" i="33" s="1"/>
  <c r="G121" i="33" s="1"/>
  <c r="H121" i="33" s="1"/>
  <c r="I121" i="33" s="1"/>
  <c r="J121" i="33" s="1"/>
  <c r="K121" i="33" s="1"/>
  <c r="L121" i="33" s="1"/>
  <c r="M121" i="33" s="1"/>
  <c r="F109" i="33"/>
  <c r="E109" i="33"/>
  <c r="D109" i="33"/>
  <c r="C109" i="33"/>
  <c r="D91" i="33"/>
  <c r="E91" i="33"/>
  <c r="F91" i="33" s="1"/>
  <c r="G91" i="33"/>
  <c r="H91" i="33" s="1"/>
  <c r="I91" i="33"/>
  <c r="J91" i="33" s="1"/>
  <c r="K91" i="33" s="1"/>
  <c r="L91" i="33" s="1"/>
  <c r="M91" i="33" s="1"/>
  <c r="B88" i="33"/>
  <c r="J26"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c r="G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c r="H101" i="33" s="1"/>
  <c r="I101" i="33" s="1"/>
  <c r="J101" i="33" s="1"/>
  <c r="K101" i="33" s="1"/>
  <c r="L101" i="33" s="1"/>
  <c r="M101" i="33" s="1"/>
  <c r="B92" i="33"/>
  <c r="J28" i="33" s="1"/>
  <c r="B90" i="33"/>
  <c r="H27" i="33" s="1"/>
  <c r="U27" i="33"/>
  <c r="D87" i="33"/>
  <c r="E87" i="33"/>
  <c r="F87" i="33" s="1"/>
  <c r="G87" i="33" s="1"/>
  <c r="H87" i="33" s="1"/>
  <c r="D85" i="33"/>
  <c r="E85" i="33"/>
  <c r="F85" i="33" s="1"/>
  <c r="G85" i="33" s="1"/>
  <c r="D81" i="33"/>
  <c r="E81" i="33"/>
  <c r="F81" i="33" s="1"/>
  <c r="G81" i="33" s="1"/>
  <c r="D79" i="33"/>
  <c r="E79" i="33"/>
  <c r="D77" i="33"/>
  <c r="E77" i="33"/>
  <c r="F77" i="33"/>
  <c r="G77" i="33"/>
  <c r="D69" i="33"/>
  <c r="E69" i="33"/>
  <c r="F69" i="33"/>
  <c r="G69" i="33"/>
  <c r="H69" i="33" s="1"/>
  <c r="I69" i="33"/>
  <c r="J69" i="33" s="1"/>
  <c r="K69" i="33"/>
  <c r="L69" i="33" s="1"/>
  <c r="M69" i="33" s="1"/>
  <c r="M67" i="33"/>
  <c r="L67" i="33"/>
  <c r="K67" i="33"/>
  <c r="J67" i="33"/>
  <c r="I67" i="33"/>
  <c r="H67" i="33"/>
  <c r="G67" i="33"/>
  <c r="F67" i="33"/>
  <c r="E67" i="33"/>
  <c r="D67" i="33"/>
  <c r="C67" i="33"/>
  <c r="G66" i="33"/>
  <c r="C63" i="33"/>
  <c r="F9" i="33" s="1"/>
  <c r="S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Q39" i="33"/>
  <c r="Z39" i="33" s="1"/>
  <c r="J39" i="33"/>
  <c r="AC39" i="33" s="1"/>
  <c r="Q38" i="33"/>
  <c r="Z38" i="33" s="1"/>
  <c r="J38" i="33"/>
  <c r="AC38" i="33"/>
  <c r="H38" i="33"/>
  <c r="AB38" i="33" s="1"/>
  <c r="F38" i="33"/>
  <c r="S38" i="33" s="1"/>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c r="Q12" i="33"/>
  <c r="Z12" i="33" s="1"/>
  <c r="W12" i="33"/>
  <c r="Q11" i="33"/>
  <c r="Z11" i="33" s="1"/>
  <c r="Q10" i="33"/>
  <c r="Z10" i="33" s="1"/>
  <c r="Q9" i="33"/>
  <c r="Z9" i="33" s="1"/>
  <c r="J9" i="33"/>
  <c r="AC9" i="33"/>
  <c r="AA9" i="33"/>
  <c r="J8" i="33"/>
  <c r="H8" i="33"/>
  <c r="AB8" i="33" s="1"/>
  <c r="F8" i="33"/>
  <c r="C7" i="33"/>
  <c r="C58" i="33" s="1"/>
  <c r="D58" i="33" s="1"/>
  <c r="E58" i="33" s="1"/>
  <c r="F58" i="33" s="1"/>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s="1"/>
  <c r="C15" i="20"/>
  <c r="B69" i="46"/>
  <c r="E54" i="21"/>
  <c r="F54" i="21" s="1"/>
  <c r="I54" i="21"/>
  <c r="J54" i="21" s="1"/>
  <c r="G54" i="21"/>
  <c r="H54" i="21" s="1"/>
  <c r="D125" i="21"/>
  <c r="E125" i="21"/>
  <c r="F125" i="21" s="1"/>
  <c r="D123" i="21"/>
  <c r="E123" i="21" s="1"/>
  <c r="F123" i="21" s="1"/>
  <c r="D119" i="21"/>
  <c r="D117" i="21"/>
  <c r="E117" i="21"/>
  <c r="F117" i="21" s="1"/>
  <c r="G117" i="21" s="1"/>
  <c r="D115" i="21"/>
  <c r="E115" i="21"/>
  <c r="F115" i="21"/>
  <c r="G115" i="21" s="1"/>
  <c r="H115" i="21" s="1"/>
  <c r="I115" i="21"/>
  <c r="J115" i="21" s="1"/>
  <c r="K115" i="21" s="1"/>
  <c r="L115" i="21" s="1"/>
  <c r="M115" i="21" s="1"/>
  <c r="D113" i="21"/>
  <c r="E113" i="21" s="1"/>
  <c r="F113" i="21" s="1"/>
  <c r="G113" i="21" s="1"/>
  <c r="D110" i="21"/>
  <c r="E110" i="21"/>
  <c r="F110" i="21" s="1"/>
  <c r="G110" i="21"/>
  <c r="H110" i="21" s="1"/>
  <c r="I110" i="21"/>
  <c r="J110" i="2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c r="I66" i="21" s="1"/>
  <c r="D111" i="21"/>
  <c r="E111" i="21"/>
  <c r="F111" i="21"/>
  <c r="C111" i="21"/>
  <c r="D79" i="21"/>
  <c r="E79" i="21" s="1"/>
  <c r="D85" i="21"/>
  <c r="E85" i="21" s="1"/>
  <c r="D81" i="21"/>
  <c r="E81" i="21" s="1"/>
  <c r="D77" i="21"/>
  <c r="E77" i="21" s="1"/>
  <c r="B130" i="21"/>
  <c r="J46" i="21" s="1"/>
  <c r="B128" i="21"/>
  <c r="B126" i="21"/>
  <c r="B98" i="21"/>
  <c r="B96" i="21"/>
  <c r="H30" i="21" s="1"/>
  <c r="U30" i="21" s="1"/>
  <c r="B94" i="21"/>
  <c r="B92" i="21"/>
  <c r="H28" i="21" s="1"/>
  <c r="U28" i="21" s="1"/>
  <c r="B90" i="21"/>
  <c r="B74" i="21"/>
  <c r="F14" i="21" s="1"/>
  <c r="AA14" i="21" s="1"/>
  <c r="B72" i="21"/>
  <c r="B70"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BB12" i="3"/>
  <c r="G9" i="12"/>
  <c r="K5" i="3"/>
  <c r="F20" i="6" s="1"/>
  <c r="E20" i="6" s="1"/>
  <c r="D9" i="12" s="1"/>
  <c r="J5" i="3"/>
  <c r="BE10" i="3"/>
  <c r="BD13" i="3"/>
  <c r="BE13" i="3"/>
  <c r="BF13" i="3"/>
  <c r="BG13" i="3"/>
  <c r="BH13" i="3"/>
  <c r="BI13" i="3"/>
  <c r="BJ13" i="3"/>
  <c r="BK13" i="3"/>
  <c r="BM13" i="3"/>
  <c r="BN13" i="3"/>
  <c r="BO13" i="3"/>
  <c r="BO5" i="3" s="1"/>
  <c r="BP13" i="3"/>
  <c r="BS13" i="3"/>
  <c r="BT13" i="3"/>
  <c r="BT5" i="3"/>
  <c r="BB570" i="3"/>
  <c r="BC570" i="3"/>
  <c r="BD570" i="3"/>
  <c r="BA570" i="3" s="1"/>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F5" i="3" s="1"/>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1" i="6" s="1"/>
  <c r="N5" i="3"/>
  <c r="O5" i="3"/>
  <c r="G22" i="6" s="1"/>
  <c r="G27" i="6" s="1"/>
  <c r="P5" i="3"/>
  <c r="Q5" i="3"/>
  <c r="R5" i="3"/>
  <c r="S5" i="3"/>
  <c r="T5" i="3"/>
  <c r="U5" i="3"/>
  <c r="V5" i="3"/>
  <c r="W5" i="3"/>
  <c r="X5" i="3"/>
  <c r="Y5" i="3"/>
  <c r="Z5" i="3"/>
  <c r="AA5" i="3"/>
  <c r="AB5" i="3"/>
  <c r="H570" i="3"/>
  <c r="H571" i="3"/>
  <c r="G571" i="3" s="1"/>
  <c r="H572" i="3"/>
  <c r="F5" i="3"/>
  <c r="F34" i="21"/>
  <c r="AA34" i="21" s="1"/>
  <c r="H34" i="21"/>
  <c r="U34" i="21" s="1"/>
  <c r="F43" i="21"/>
  <c r="AA43" i="21" s="1"/>
  <c r="S43" i="21"/>
  <c r="H38" i="21"/>
  <c r="AB38" i="21" s="1"/>
  <c r="H43" i="21"/>
  <c r="AB43" i="21"/>
  <c r="F32" i="21"/>
  <c r="S32" i="21" s="1"/>
  <c r="F38" i="21"/>
  <c r="S38" i="21" s="1"/>
  <c r="F36" i="21"/>
  <c r="S36" i="21" s="1"/>
  <c r="F39" i="21"/>
  <c r="AA39" i="21"/>
  <c r="J40" i="21"/>
  <c r="W40" i="21" s="1"/>
  <c r="H35" i="21"/>
  <c r="AB35" i="21"/>
  <c r="J8" i="21"/>
  <c r="H8" i="21"/>
  <c r="AB8" i="21" s="1"/>
  <c r="H10" i="21"/>
  <c r="U10" i="21" s="1"/>
  <c r="H39" i="21"/>
  <c r="AB39" i="21"/>
  <c r="J34" i="21"/>
  <c r="H36" i="21"/>
  <c r="U36" i="21" s="1"/>
  <c r="F35" i="21"/>
  <c r="AA35" i="21"/>
  <c r="J10" i="21"/>
  <c r="AC10" i="21" s="1"/>
  <c r="H26" i="21"/>
  <c r="AB26" i="21" s="1"/>
  <c r="J26" i="21"/>
  <c r="W26" i="21" s="1"/>
  <c r="F26" i="21"/>
  <c r="AA26" i="21" s="1"/>
  <c r="AB41" i="21"/>
  <c r="S41" i="21"/>
  <c r="AA41" i="21"/>
  <c r="W41" i="21"/>
  <c r="S10" i="39"/>
  <c r="U30" i="37"/>
  <c r="F39" i="37"/>
  <c r="S39" i="37"/>
  <c r="W39" i="37"/>
  <c r="F29" i="36"/>
  <c r="AA29" i="36" s="1"/>
  <c r="F16" i="36"/>
  <c r="S16" i="36" s="1"/>
  <c r="AA16" i="36"/>
  <c r="U22" i="36"/>
  <c r="W22" i="36"/>
  <c r="U26" i="36"/>
  <c r="AC31" i="36"/>
  <c r="W33" i="36"/>
  <c r="AC27" i="35"/>
  <c r="S34" i="35"/>
  <c r="W24" i="35"/>
  <c r="W31" i="35"/>
  <c r="U34" i="35"/>
  <c r="F36" i="34"/>
  <c r="S36" i="34"/>
  <c r="S34" i="34"/>
  <c r="H39" i="33"/>
  <c r="U39" i="33" s="1"/>
  <c r="AB39" i="33"/>
  <c r="F26" i="33"/>
  <c r="AA26" i="33" s="1"/>
  <c r="W38" i="33"/>
  <c r="S33" i="33"/>
  <c r="W33" i="33"/>
  <c r="U38" i="33"/>
  <c r="H39" i="37"/>
  <c r="AB39" i="37"/>
  <c r="AB27" i="35"/>
  <c r="S10" i="40"/>
  <c r="W10" i="40"/>
  <c r="S11" i="40"/>
  <c r="U11" i="40"/>
  <c r="S36" i="40"/>
  <c r="U36" i="40"/>
  <c r="S40" i="39"/>
  <c r="S36" i="39"/>
  <c r="C29" i="39"/>
  <c r="U36" i="39"/>
  <c r="H32" i="33"/>
  <c r="AB32" i="33" s="1"/>
  <c r="F100" i="40"/>
  <c r="G100" i="40" s="1"/>
  <c r="J27" i="36"/>
  <c r="W27" i="36"/>
  <c r="J34" i="36"/>
  <c r="W34" i="36"/>
  <c r="J30" i="35"/>
  <c r="AC30" i="35" s="1"/>
  <c r="F22" i="35"/>
  <c r="AA22" i="35"/>
  <c r="H10" i="35"/>
  <c r="U10" i="35" s="1"/>
  <c r="AC24" i="36"/>
  <c r="J29" i="36"/>
  <c r="F24" i="36"/>
  <c r="AA24" i="36" s="1"/>
  <c r="F34" i="36"/>
  <c r="S34" i="36"/>
  <c r="S10" i="36"/>
  <c r="AB8" i="36"/>
  <c r="H33" i="35"/>
  <c r="AB33" i="35"/>
  <c r="W8" i="35"/>
  <c r="F35" i="37"/>
  <c r="AA35" i="37" s="1"/>
  <c r="E101" i="37"/>
  <c r="F101" i="37"/>
  <c r="G101" i="37" s="1"/>
  <c r="H101" i="37"/>
  <c r="I101" i="37"/>
  <c r="J101" i="37" s="1"/>
  <c r="K101" i="37" s="1"/>
  <c r="L101" i="37" s="1"/>
  <c r="M101" i="37" s="1"/>
  <c r="J34" i="37"/>
  <c r="AA39" i="37"/>
  <c r="H43" i="34"/>
  <c r="U42" i="34"/>
  <c r="H36" i="34"/>
  <c r="AB36" i="34" s="1"/>
  <c r="F37" i="34"/>
  <c r="AA37" i="34" s="1"/>
  <c r="F33" i="34"/>
  <c r="AA33" i="34" s="1"/>
  <c r="S33" i="34"/>
  <c r="AA28" i="34"/>
  <c r="F19" i="34"/>
  <c r="AA19" i="34"/>
  <c r="J10" i="34"/>
  <c r="AC10" i="34" s="1"/>
  <c r="W8" i="34"/>
  <c r="J28" i="34"/>
  <c r="W28" i="34"/>
  <c r="E113" i="33"/>
  <c r="F36" i="33"/>
  <c r="S36" i="33"/>
  <c r="F19" i="33"/>
  <c r="S19" i="33"/>
  <c r="J19" i="33"/>
  <c r="AC19" i="33" s="1"/>
  <c r="W40" i="33"/>
  <c r="G125" i="21"/>
  <c r="AB30" i="36"/>
  <c r="AC34" i="36"/>
  <c r="S22" i="35"/>
  <c r="U34" i="37"/>
  <c r="AC43" i="34"/>
  <c r="AB42" i="34"/>
  <c r="AB40" i="34"/>
  <c r="W36" i="34"/>
  <c r="J19" i="34"/>
  <c r="AC19" i="34"/>
  <c r="F113" i="33"/>
  <c r="G113" i="33" s="1"/>
  <c r="H113" i="33"/>
  <c r="I113" i="33"/>
  <c r="J113" i="33"/>
  <c r="K113" i="33" s="1"/>
  <c r="L113" i="33" s="1"/>
  <c r="M113" i="33" s="1"/>
  <c r="H37" i="33"/>
  <c r="AB37" i="33" s="1"/>
  <c r="S37" i="33"/>
  <c r="W43" i="34"/>
  <c r="AA42" i="34"/>
  <c r="S42" i="34"/>
  <c r="AC38" i="34"/>
  <c r="W38" i="34"/>
  <c r="AA38" i="34"/>
  <c r="S38" i="34"/>
  <c r="J37" i="33"/>
  <c r="J44" i="34"/>
  <c r="AC44" i="34"/>
  <c r="F44" i="34"/>
  <c r="S44" i="34" s="1"/>
  <c r="J10" i="35"/>
  <c r="W10" i="35" s="1"/>
  <c r="AL5" i="3"/>
  <c r="BQ13" i="3"/>
  <c r="BL572" i="3"/>
  <c r="H14" i="21"/>
  <c r="U14" i="21" s="1"/>
  <c r="AB28" i="21"/>
  <c r="F28" i="21"/>
  <c r="S28" i="21" s="1"/>
  <c r="J28" i="21"/>
  <c r="AC28" i="21" s="1"/>
  <c r="J44" i="21"/>
  <c r="H44" i="21"/>
  <c r="AB44" i="21" s="1"/>
  <c r="F44" i="21"/>
  <c r="AA44" i="21" s="1"/>
  <c r="H26" i="33"/>
  <c r="U26" i="33" s="1"/>
  <c r="W28" i="33"/>
  <c r="F33" i="35"/>
  <c r="AA33" i="35" s="1"/>
  <c r="S33" i="35"/>
  <c r="J33" i="35"/>
  <c r="W33" i="35"/>
  <c r="F30" i="35"/>
  <c r="AA30" i="35" s="1"/>
  <c r="H10" i="36"/>
  <c r="AB10" i="36"/>
  <c r="F28" i="36"/>
  <c r="S28" i="36" s="1"/>
  <c r="F27" i="36"/>
  <c r="S27" i="36"/>
  <c r="H13" i="21"/>
  <c r="J13" i="21"/>
  <c r="W13" i="21" s="1"/>
  <c r="F13" i="21"/>
  <c r="AA13" i="21" s="1"/>
  <c r="H27" i="21"/>
  <c r="U27" i="21" s="1"/>
  <c r="AB27" i="21"/>
  <c r="J27" i="21"/>
  <c r="W27" i="21" s="1"/>
  <c r="F27" i="21"/>
  <c r="AA27" i="21"/>
  <c r="J29" i="21"/>
  <c r="AC29" i="21" s="1"/>
  <c r="H29" i="21"/>
  <c r="U29" i="21"/>
  <c r="F29" i="21"/>
  <c r="S29" i="21" s="1"/>
  <c r="J31" i="21"/>
  <c r="W31" i="21" s="1"/>
  <c r="H31" i="21"/>
  <c r="U31" i="21" s="1"/>
  <c r="F31" i="21"/>
  <c r="AA31" i="21" s="1"/>
  <c r="S31" i="21"/>
  <c r="J45" i="21"/>
  <c r="F45" i="21"/>
  <c r="AA45" i="21"/>
  <c r="H45" i="21"/>
  <c r="J27" i="33"/>
  <c r="AC27" i="33"/>
  <c r="F27" i="33"/>
  <c r="S27" i="33" s="1"/>
  <c r="F13" i="33"/>
  <c r="S13" i="33" s="1"/>
  <c r="J31" i="33"/>
  <c r="AC31" i="33"/>
  <c r="H31" i="33"/>
  <c r="U31" i="33" s="1"/>
  <c r="S31" i="33"/>
  <c r="J45" i="33"/>
  <c r="W45" i="33"/>
  <c r="H28" i="36"/>
  <c r="U28" i="36"/>
  <c r="J11" i="36"/>
  <c r="AC11" i="36" s="1"/>
  <c r="J13" i="36"/>
  <c r="AC13" i="36" s="1"/>
  <c r="W13" i="36"/>
  <c r="J29" i="37"/>
  <c r="W29" i="37"/>
  <c r="F29" i="37"/>
  <c r="AA29" i="37"/>
  <c r="F105" i="37"/>
  <c r="J37" i="37"/>
  <c r="AC37" i="37"/>
  <c r="H37" i="37"/>
  <c r="H40" i="37"/>
  <c r="AB40" i="37" s="1"/>
  <c r="U40" i="37"/>
  <c r="J40" i="37"/>
  <c r="AC40" i="37" s="1"/>
  <c r="F40" i="37"/>
  <c r="AA40" i="37"/>
  <c r="H14" i="33"/>
  <c r="AB14" i="33" s="1"/>
  <c r="U14" i="33"/>
  <c r="F14" i="33"/>
  <c r="AA14" i="33"/>
  <c r="J14" i="33"/>
  <c r="W14" i="33" s="1"/>
  <c r="AC14" i="33"/>
  <c r="H44" i="33"/>
  <c r="U44" i="33" s="1"/>
  <c r="J46" i="33"/>
  <c r="F46" i="33"/>
  <c r="S46" i="33" s="1"/>
  <c r="AA46" i="33"/>
  <c r="H46" i="33"/>
  <c r="J13" i="34"/>
  <c r="W13" i="34" s="1"/>
  <c r="F13" i="34"/>
  <c r="S13" i="34" s="1"/>
  <c r="J29" i="34"/>
  <c r="AC29" i="34" s="1"/>
  <c r="F29" i="34"/>
  <c r="S29" i="34"/>
  <c r="H29" i="34"/>
  <c r="U29" i="34" s="1"/>
  <c r="H31" i="34"/>
  <c r="H45" i="34"/>
  <c r="U45" i="34" s="1"/>
  <c r="J45" i="34"/>
  <c r="W45" i="34" s="1"/>
  <c r="F45" i="34"/>
  <c r="AA45" i="34" s="1"/>
  <c r="H47" i="34"/>
  <c r="AB47" i="34" s="1"/>
  <c r="U47" i="34"/>
  <c r="F13" i="35"/>
  <c r="J13" i="35"/>
  <c r="AC13" i="35"/>
  <c r="H13" i="35"/>
  <c r="U13" i="35" s="1"/>
  <c r="J25" i="35"/>
  <c r="AC25" i="35" s="1"/>
  <c r="J35" i="35"/>
  <c r="AC35" i="35" s="1"/>
  <c r="F35" i="35"/>
  <c r="S35" i="35"/>
  <c r="H35" i="35"/>
  <c r="J25" i="36"/>
  <c r="W25" i="36"/>
  <c r="F25" i="36"/>
  <c r="AA25" i="36" s="1"/>
  <c r="H25" i="36"/>
  <c r="AB25" i="36" s="1"/>
  <c r="H13" i="37"/>
  <c r="AB13" i="37" s="1"/>
  <c r="F13" i="37"/>
  <c r="AA13" i="37" s="1"/>
  <c r="S13" i="37"/>
  <c r="J13" i="37"/>
  <c r="F28" i="37"/>
  <c r="AA28" i="37"/>
  <c r="J28" i="37"/>
  <c r="AC28" i="37" s="1"/>
  <c r="H28" i="37"/>
  <c r="U28" i="37"/>
  <c r="H38" i="37"/>
  <c r="AB38" i="37" s="1"/>
  <c r="J38" i="37"/>
  <c r="AC38" i="37" s="1"/>
  <c r="F38" i="37"/>
  <c r="S38" i="37" s="1"/>
  <c r="F14" i="37"/>
  <c r="S14" i="37" s="1"/>
  <c r="AA14" i="37"/>
  <c r="F27" i="37"/>
  <c r="AA27" i="37" s="1"/>
  <c r="J14" i="37"/>
  <c r="W14" i="37"/>
  <c r="J27" i="37"/>
  <c r="W27" i="37" s="1"/>
  <c r="W35" i="35"/>
  <c r="AB13" i="35"/>
  <c r="J36" i="37"/>
  <c r="G105" i="37"/>
  <c r="AB28" i="36"/>
  <c r="AB45" i="33"/>
  <c r="AB31" i="33"/>
  <c r="AB27" i="33"/>
  <c r="S45" i="21"/>
  <c r="AC28" i="33"/>
  <c r="G529" i="3"/>
  <c r="G517" i="3"/>
  <c r="G508" i="3"/>
  <c r="G499" i="3"/>
  <c r="G493" i="3"/>
  <c r="G17" i="3"/>
  <c r="G565" i="3"/>
  <c r="G561" i="3"/>
  <c r="G549" i="3"/>
  <c r="G545" i="3"/>
  <c r="BL561" i="3"/>
  <c r="BL557" i="3"/>
  <c r="BL545" i="3"/>
  <c r="BL535" i="3"/>
  <c r="BL527" i="3"/>
  <c r="BL511" i="3"/>
  <c r="BL491" i="3"/>
  <c r="G16" i="3"/>
  <c r="BL563" i="3"/>
  <c r="AZ563" i="3" s="1"/>
  <c r="BL541" i="3"/>
  <c r="AZ541" i="3" s="1"/>
  <c r="G518" i="3"/>
  <c r="G514" i="3"/>
  <c r="BL503" i="3"/>
  <c r="BA569" i="3"/>
  <c r="BA565" i="3"/>
  <c r="BA557" i="3"/>
  <c r="AZ557" i="3"/>
  <c r="BA543" i="3"/>
  <c r="BA541" i="3"/>
  <c r="BA509" i="3"/>
  <c r="AZ509" i="3" s="1"/>
  <c r="BA493" i="3"/>
  <c r="BA487" i="3"/>
  <c r="AZ487" i="3" s="1"/>
  <c r="BA566" i="3"/>
  <c r="BA562" i="3"/>
  <c r="BA558" i="3"/>
  <c r="AZ558" i="3" s="1"/>
  <c r="BA546" i="3"/>
  <c r="AZ546" i="3" s="1"/>
  <c r="BA544" i="3"/>
  <c r="BA536" i="3"/>
  <c r="BA532" i="3"/>
  <c r="BA528" i="3"/>
  <c r="BA516" i="3"/>
  <c r="AZ516" i="3" s="1"/>
  <c r="BA508" i="3"/>
  <c r="BA492" i="3"/>
  <c r="AZ492" i="3"/>
  <c r="BA20" i="3"/>
  <c r="AZ20" i="3" s="1"/>
  <c r="G566" i="3"/>
  <c r="G562" i="3"/>
  <c r="G560" i="3"/>
  <c r="G558" i="3"/>
  <c r="G550" i="3"/>
  <c r="G546" i="3"/>
  <c r="AZ543" i="3"/>
  <c r="BA542" i="3"/>
  <c r="AC542" i="3"/>
  <c r="BQ542" i="3"/>
  <c r="BL542" i="3"/>
  <c r="AZ542" i="3" s="1"/>
  <c r="BQ568" i="3"/>
  <c r="BQ566" i="3"/>
  <c r="BL566" i="3" s="1"/>
  <c r="BQ564" i="3"/>
  <c r="BL564" i="3" s="1"/>
  <c r="BQ562" i="3"/>
  <c r="BL562" i="3"/>
  <c r="AZ562" i="3"/>
  <c r="BQ560" i="3"/>
  <c r="BQ558" i="3"/>
  <c r="BL558" i="3"/>
  <c r="BQ556" i="3"/>
  <c r="BQ554" i="3"/>
  <c r="BQ552" i="3"/>
  <c r="BQ550" i="3"/>
  <c r="BQ548" i="3"/>
  <c r="BQ546" i="3"/>
  <c r="BL546" i="3"/>
  <c r="BQ544" i="3"/>
  <c r="BL544" i="3"/>
  <c r="G544" i="3"/>
  <c r="G538" i="3"/>
  <c r="G534" i="3"/>
  <c r="BQ540" i="3"/>
  <c r="BQ538" i="3"/>
  <c r="BL538" i="3"/>
  <c r="BQ536" i="3"/>
  <c r="BL536" i="3" s="1"/>
  <c r="AZ536" i="3" s="1"/>
  <c r="BQ534" i="3"/>
  <c r="BQ532" i="3"/>
  <c r="BL532" i="3"/>
  <c r="BQ530" i="3"/>
  <c r="BQ528" i="3"/>
  <c r="BQ526" i="3"/>
  <c r="BL526" i="3"/>
  <c r="BQ524" i="3"/>
  <c r="BQ522" i="3"/>
  <c r="BQ520" i="3"/>
  <c r="BQ518" i="3"/>
  <c r="BL518" i="3" s="1"/>
  <c r="BQ516" i="3"/>
  <c r="BL516" i="3"/>
  <c r="BQ514" i="3"/>
  <c r="BL514" i="3"/>
  <c r="BQ512" i="3"/>
  <c r="BQ510" i="3"/>
  <c r="BQ508" i="3"/>
  <c r="BL508" i="3"/>
  <c r="AC506" i="3"/>
  <c r="BQ506" i="3"/>
  <c r="G502" i="3"/>
  <c r="G498" i="3"/>
  <c r="BQ504" i="3"/>
  <c r="BQ502" i="3"/>
  <c r="BL502" i="3"/>
  <c r="BQ500" i="3"/>
  <c r="BQ498" i="3"/>
  <c r="BQ496" i="3"/>
  <c r="AC494" i="3"/>
  <c r="G494" i="3" s="1"/>
  <c r="BQ494" i="3"/>
  <c r="G492" i="3"/>
  <c r="G488" i="3"/>
  <c r="G20" i="3"/>
  <c r="BQ492" i="3"/>
  <c r="BL492" i="3"/>
  <c r="BQ490" i="3"/>
  <c r="BQ488" i="3"/>
  <c r="BQ5" i="3" s="1"/>
  <c r="BQ486" i="3"/>
  <c r="BQ484" i="3"/>
  <c r="BL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H17" i="37"/>
  <c r="U17" i="37" s="1"/>
  <c r="F23" i="37"/>
  <c r="F79" i="37"/>
  <c r="G79" i="37" s="1"/>
  <c r="AB27" i="37"/>
  <c r="F39" i="33"/>
  <c r="AA39" i="33" s="1"/>
  <c r="F42" i="33"/>
  <c r="S42" i="33" s="1"/>
  <c r="AA42" i="33"/>
  <c r="F22" i="36"/>
  <c r="S22" i="36"/>
  <c r="H35" i="34"/>
  <c r="U35" i="34"/>
  <c r="F41" i="34"/>
  <c r="S41" i="34"/>
  <c r="H41" i="34"/>
  <c r="U41" i="34"/>
  <c r="J41" i="34"/>
  <c r="W41" i="34"/>
  <c r="F10" i="35"/>
  <c r="AA10" i="35" s="1"/>
  <c r="F24" i="35"/>
  <c r="AA24" i="35"/>
  <c r="H24" i="35"/>
  <c r="AB24" i="35" s="1"/>
  <c r="H23" i="37"/>
  <c r="AB23" i="37" s="1"/>
  <c r="J32" i="37"/>
  <c r="F36" i="37"/>
  <c r="AA36" i="37" s="1"/>
  <c r="S36" i="37"/>
  <c r="F37" i="37"/>
  <c r="AA37" i="37" s="1"/>
  <c r="AC41" i="34"/>
  <c r="H42" i="33"/>
  <c r="U42" i="33" s="1"/>
  <c r="J43" i="33"/>
  <c r="W43" i="33" s="1"/>
  <c r="AC43" i="33"/>
  <c r="J23" i="37"/>
  <c r="W23" i="37"/>
  <c r="F17" i="37"/>
  <c r="AA17" i="37" s="1"/>
  <c r="AC33" i="36"/>
  <c r="AC12" i="35"/>
  <c r="AC23" i="37"/>
  <c r="S27" i="37"/>
  <c r="U39" i="37"/>
  <c r="S25" i="37"/>
  <c r="AC36" i="34"/>
  <c r="AB8" i="34"/>
  <c r="AC45" i="33"/>
  <c r="AA36" i="21"/>
  <c r="S39" i="33"/>
  <c r="F43" i="33"/>
  <c r="S43" i="33" s="1"/>
  <c r="S10" i="35"/>
  <c r="G107" i="37"/>
  <c r="H107" i="37" s="1"/>
  <c r="I107" i="37" s="1"/>
  <c r="J107" i="37" s="1"/>
  <c r="K107" i="37" s="1"/>
  <c r="L107" i="37" s="1"/>
  <c r="M107" i="37" s="1"/>
  <c r="H19" i="34"/>
  <c r="AB19" i="34"/>
  <c r="J10" i="37"/>
  <c r="W10" i="37"/>
  <c r="J9" i="37"/>
  <c r="W9" i="37"/>
  <c r="H9" i="37"/>
  <c r="U9" i="37"/>
  <c r="F9" i="37"/>
  <c r="S9" i="37"/>
  <c r="F11" i="37"/>
  <c r="AA11" i="37" s="1"/>
  <c r="S11" i="37"/>
  <c r="J12" i="37"/>
  <c r="AC12" i="37"/>
  <c r="H12" i="37"/>
  <c r="AB12" i="37"/>
  <c r="F12" i="37"/>
  <c r="AA12" i="37"/>
  <c r="H15" i="37"/>
  <c r="U15" i="37"/>
  <c r="F31" i="37"/>
  <c r="AA31" i="37" s="1"/>
  <c r="S31" i="37"/>
  <c r="H31" i="37"/>
  <c r="AB31" i="37" s="1"/>
  <c r="J15" i="37"/>
  <c r="AC15" i="37" s="1"/>
  <c r="U12" i="37"/>
  <c r="AB10" i="37"/>
  <c r="J11" i="37"/>
  <c r="W11" i="37" s="1"/>
  <c r="F21" i="40"/>
  <c r="AA21" i="40" s="1"/>
  <c r="S21" i="40"/>
  <c r="W36" i="40"/>
  <c r="U40" i="39"/>
  <c r="F90" i="40"/>
  <c r="G90" i="40" s="1"/>
  <c r="J21" i="40"/>
  <c r="W21" i="40" s="1"/>
  <c r="S27" i="31"/>
  <c r="G515" i="3"/>
  <c r="G507" i="3"/>
  <c r="BA15" i="3"/>
  <c r="AZ15" i="3" s="1"/>
  <c r="BL17" i="3"/>
  <c r="BL15" i="3"/>
  <c r="BA14" i="3"/>
  <c r="J57" i="39"/>
  <c r="H13" i="40"/>
  <c r="U13" i="40" s="1"/>
  <c r="H12" i="48"/>
  <c r="I4" i="4"/>
  <c r="K141" i="21"/>
  <c r="K143" i="21"/>
  <c r="K144" i="21"/>
  <c r="W9" i="33"/>
  <c r="G297" i="3"/>
  <c r="BL298" i="3"/>
  <c r="G299" i="3"/>
  <c r="BL300" i="3"/>
  <c r="BA302" i="3"/>
  <c r="AZ302" i="3" s="1"/>
  <c r="BA303" i="3"/>
  <c r="BL303" i="3"/>
  <c r="AZ303" i="3" s="1"/>
  <c r="G304" i="3"/>
  <c r="BA305" i="3"/>
  <c r="AZ305" i="3"/>
  <c r="G321" i="3"/>
  <c r="BL322" i="3"/>
  <c r="AZ322" i="3" s="1"/>
  <c r="G323" i="3"/>
  <c r="BL324" i="3"/>
  <c r="BA326" i="3"/>
  <c r="AZ326" i="3"/>
  <c r="BA327" i="3"/>
  <c r="BL327" i="3"/>
  <c r="AZ327" i="3"/>
  <c r="G328" i="3"/>
  <c r="BA329" i="3"/>
  <c r="AZ329" i="3"/>
  <c r="G337" i="3"/>
  <c r="BL338" i="3"/>
  <c r="AZ338" i="3" s="1"/>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s="1"/>
  <c r="G128" i="3"/>
  <c r="BA130" i="3"/>
  <c r="AZ130" i="3"/>
  <c r="BL131" i="3"/>
  <c r="G132" i="3"/>
  <c r="BA134" i="3"/>
  <c r="AZ134" i="3" s="1"/>
  <c r="BL135" i="3"/>
  <c r="AZ135" i="3"/>
  <c r="G136" i="3"/>
  <c r="BA138" i="3"/>
  <c r="AZ138" i="3"/>
  <c r="BL139" i="3"/>
  <c r="AZ139" i="3"/>
  <c r="G140" i="3"/>
  <c r="BA142" i="3"/>
  <c r="AZ142" i="3"/>
  <c r="BL143" i="3"/>
  <c r="AZ143" i="3" s="1"/>
  <c r="G144" i="3"/>
  <c r="BA146" i="3"/>
  <c r="AZ146" i="3"/>
  <c r="BL147" i="3"/>
  <c r="AZ147" i="3" s="1"/>
  <c r="G148" i="3"/>
  <c r="BA150" i="3"/>
  <c r="AZ150" i="3"/>
  <c r="BL151" i="3"/>
  <c r="BA153" i="3"/>
  <c r="AZ153" i="3"/>
  <c r="G155" i="3"/>
  <c r="BA157" i="3"/>
  <c r="AZ157" i="3" s="1"/>
  <c r="BL158" i="3"/>
  <c r="G159" i="3"/>
  <c r="BA161" i="3"/>
  <c r="BL162" i="3"/>
  <c r="G163" i="3"/>
  <c r="BA165" i="3"/>
  <c r="AZ165" i="3" s="1"/>
  <c r="BL166" i="3"/>
  <c r="G167" i="3"/>
  <c r="BA169" i="3"/>
  <c r="AZ169" i="3" s="1"/>
  <c r="G171" i="3"/>
  <c r="BA173" i="3"/>
  <c r="AZ173" i="3"/>
  <c r="BL174" i="3"/>
  <c r="G175" i="3"/>
  <c r="BA178" i="3"/>
  <c r="AZ178" i="3"/>
  <c r="BL179" i="3"/>
  <c r="G180" i="3"/>
  <c r="AZ31" i="3"/>
  <c r="AZ43" i="3"/>
  <c r="AZ51" i="3"/>
  <c r="AZ55" i="3"/>
  <c r="BL181" i="3"/>
  <c r="G182" i="3"/>
  <c r="BA184" i="3"/>
  <c r="AZ184" i="3"/>
  <c r="BL185" i="3"/>
  <c r="G186" i="3"/>
  <c r="BA188" i="3"/>
  <c r="AZ188" i="3"/>
  <c r="BL189" i="3"/>
  <c r="G190" i="3"/>
  <c r="BA192" i="3"/>
  <c r="BL193" i="3"/>
  <c r="AZ193" i="3" s="1"/>
  <c r="G194" i="3"/>
  <c r="BA196" i="3"/>
  <c r="AZ196" i="3" s="1"/>
  <c r="BL197" i="3"/>
  <c r="G198" i="3"/>
  <c r="BA200" i="3"/>
  <c r="AZ200" i="3" s="1"/>
  <c r="BL201" i="3"/>
  <c r="AZ201" i="3" s="1"/>
  <c r="AZ66" i="3"/>
  <c r="AZ74" i="3"/>
  <c r="AZ78" i="3"/>
  <c r="AZ185" i="3"/>
  <c r="AZ86" i="3"/>
  <c r="AZ94"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c r="BA331" i="3"/>
  <c r="AZ331" i="3" s="1"/>
  <c r="BL331" i="3"/>
  <c r="G332" i="3"/>
  <c r="G335" i="3"/>
  <c r="BL336" i="3"/>
  <c r="BA338" i="3"/>
  <c r="BA339" i="3"/>
  <c r="AZ339" i="3" s="1"/>
  <c r="BL339" i="3"/>
  <c r="G340" i="3"/>
  <c r="G343" i="3"/>
  <c r="BL344" i="3"/>
  <c r="BA346" i="3"/>
  <c r="AZ346" i="3" s="1"/>
  <c r="BA347" i="3"/>
  <c r="BL347" i="3"/>
  <c r="G348" i="3"/>
  <c r="G351" i="3"/>
  <c r="BL352" i="3"/>
  <c r="BA354" i="3"/>
  <c r="AZ354" i="3" s="1"/>
  <c r="BA355" i="3"/>
  <c r="AZ355" i="3" s="1"/>
  <c r="BL355" i="3"/>
  <c r="G356" i="3"/>
  <c r="AZ127" i="3"/>
  <c r="BA358" i="3"/>
  <c r="AZ358" i="3" s="1"/>
  <c r="BA359" i="3"/>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62" i="3"/>
  <c r="AZ174" i="3"/>
  <c r="AZ179" i="3"/>
  <c r="AZ187" i="3"/>
  <c r="AZ191"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s="1"/>
  <c r="G372" i="3"/>
  <c r="BA374" i="3"/>
  <c r="AZ374" i="3"/>
  <c r="BL375" i="3"/>
  <c r="G376" i="3"/>
  <c r="BA378" i="3"/>
  <c r="AZ378" i="3"/>
  <c r="BL379" i="3"/>
  <c r="AZ379" i="3"/>
  <c r="G380" i="3"/>
  <c r="BA382" i="3"/>
  <c r="AZ382" i="3" s="1"/>
  <c r="BL383" i="3"/>
  <c r="G384" i="3"/>
  <c r="AZ249" i="3"/>
  <c r="AZ253" i="3"/>
  <c r="AZ261" i="3"/>
  <c r="AZ375" i="3"/>
  <c r="AZ383" i="3"/>
  <c r="AZ270" i="3"/>
  <c r="AZ286" i="3"/>
  <c r="AZ313" i="3"/>
  <c r="AZ315" i="3"/>
  <c r="AZ319" i="3"/>
  <c r="AZ335" i="3"/>
  <c r="AZ347" i="3"/>
  <c r="AZ351" i="3"/>
  <c r="AZ361" i="3"/>
  <c r="AZ369" i="3"/>
  <c r="AZ385" i="3"/>
  <c r="AZ410" i="3"/>
  <c r="AZ414" i="3"/>
  <c r="AZ422" i="3"/>
  <c r="AZ426" i="3"/>
  <c r="AZ430" i="3"/>
  <c r="AZ438" i="3"/>
  <c r="AZ471" i="3"/>
  <c r="AZ475" i="3"/>
  <c r="AZ479" i="3"/>
  <c r="H7" i="48"/>
  <c r="H16" i="48"/>
  <c r="H9" i="48"/>
  <c r="H8" i="48"/>
  <c r="C12" i="46"/>
  <c r="AB15" i="37"/>
  <c r="U43" i="21"/>
  <c r="AA13" i="40"/>
  <c r="E78" i="40"/>
  <c r="F78" i="40" s="1"/>
  <c r="G78" i="40" s="1"/>
  <c r="H78" i="40" s="1"/>
  <c r="I78" i="40" s="1"/>
  <c r="J78" i="40" s="1"/>
  <c r="K78" i="40" s="1"/>
  <c r="L78" i="40" s="1"/>
  <c r="M78" i="40" s="1"/>
  <c r="R16" i="4"/>
  <c r="P16" i="4"/>
  <c r="G4" i="4"/>
  <c r="S37" i="34"/>
  <c r="AC26" i="36"/>
  <c r="H11" i="37"/>
  <c r="AB11" i="37"/>
  <c r="W37" i="37"/>
  <c r="U32" i="33"/>
  <c r="AZ508" i="3"/>
  <c r="AC10" i="36"/>
  <c r="AB45" i="34"/>
  <c r="AC14" i="37"/>
  <c r="AC29" i="37"/>
  <c r="J33" i="34"/>
  <c r="AC33" i="34" s="1"/>
  <c r="J40" i="34"/>
  <c r="AC40" i="34" s="1"/>
  <c r="W40" i="34"/>
  <c r="S24" i="36"/>
  <c r="W42" i="33"/>
  <c r="J35" i="34"/>
  <c r="W35" i="34"/>
  <c r="F107" i="34"/>
  <c r="G107" i="34" s="1"/>
  <c r="H107" i="34" s="1"/>
  <c r="I107" i="34" s="1"/>
  <c r="J107" i="34" s="1"/>
  <c r="K107" i="34" s="1"/>
  <c r="L107" i="34" s="1"/>
  <c r="M107" i="34" s="1"/>
  <c r="S30" i="36"/>
  <c r="H16" i="36"/>
  <c r="AB16" i="36"/>
  <c r="H35" i="37"/>
  <c r="U35" i="37" s="1"/>
  <c r="AB35" i="37"/>
  <c r="S26" i="21"/>
  <c r="U39" i="21"/>
  <c r="J32" i="21"/>
  <c r="AC32" i="21" s="1"/>
  <c r="F40" i="21"/>
  <c r="AA40" i="21" s="1"/>
  <c r="S40" i="21"/>
  <c r="H40" i="21"/>
  <c r="E119" i="21"/>
  <c r="F119" i="21"/>
  <c r="G119" i="21"/>
  <c r="H119" i="21" s="1"/>
  <c r="I119" i="21" s="1"/>
  <c r="J119" i="21" s="1"/>
  <c r="K119" i="21" s="1"/>
  <c r="L119" i="21" s="1"/>
  <c r="M119" i="21" s="1"/>
  <c r="AA8" i="33"/>
  <c r="S8" i="33"/>
  <c r="H66" i="33"/>
  <c r="F10" i="33"/>
  <c r="S10" i="33" s="1"/>
  <c r="F11" i="33"/>
  <c r="S11" i="33"/>
  <c r="J15" i="33"/>
  <c r="AC15" i="33" s="1"/>
  <c r="H19" i="33"/>
  <c r="AB19" i="33"/>
  <c r="F32" i="33"/>
  <c r="AA32" i="33" s="1"/>
  <c r="J32" i="33"/>
  <c r="AC32" i="33"/>
  <c r="F35" i="33"/>
  <c r="AA35" i="33" s="1"/>
  <c r="F11" i="34"/>
  <c r="AA11" i="34" s="1"/>
  <c r="S11" i="34"/>
  <c r="E80" i="34"/>
  <c r="F80" i="34" s="1"/>
  <c r="H17" i="34"/>
  <c r="AB17" i="34"/>
  <c r="AC27" i="34"/>
  <c r="S12" i="35"/>
  <c r="J13" i="33"/>
  <c r="W13" i="33"/>
  <c r="H13" i="33"/>
  <c r="U13" i="33"/>
  <c r="F29" i="33"/>
  <c r="AA29" i="33" s="1"/>
  <c r="J12" i="34"/>
  <c r="AC12" i="34"/>
  <c r="H12" i="34"/>
  <c r="U12" i="34" s="1"/>
  <c r="F12" i="34"/>
  <c r="S12" i="34"/>
  <c r="J14" i="34"/>
  <c r="W14" i="34" s="1"/>
  <c r="S14" i="34"/>
  <c r="H14" i="34"/>
  <c r="U14" i="34" s="1"/>
  <c r="AB14" i="34"/>
  <c r="H30" i="34"/>
  <c r="AB30" i="34"/>
  <c r="F30" i="34"/>
  <c r="AA30" i="34" s="1"/>
  <c r="S30" i="34"/>
  <c r="J30" i="34"/>
  <c r="W30" i="34"/>
  <c r="H32" i="34"/>
  <c r="AB32" i="34"/>
  <c r="J32" i="34"/>
  <c r="AC32" i="34" s="1"/>
  <c r="W32" i="34"/>
  <c r="H46" i="34"/>
  <c r="AB46" i="34"/>
  <c r="F46" i="34"/>
  <c r="S46" i="34" s="1"/>
  <c r="AA46" i="34"/>
  <c r="J46" i="34"/>
  <c r="AC46" i="34"/>
  <c r="J11" i="35"/>
  <c r="AC11" i="35" s="1"/>
  <c r="F96" i="37"/>
  <c r="G96" i="37" s="1"/>
  <c r="H96" i="37" s="1"/>
  <c r="I96" i="37" s="1"/>
  <c r="J96" i="37" s="1"/>
  <c r="K96" i="37" s="1"/>
  <c r="L96" i="37" s="1"/>
  <c r="M96" i="37" s="1"/>
  <c r="H32" i="37"/>
  <c r="U32" i="37" s="1"/>
  <c r="AB32" i="37"/>
  <c r="F19" i="39"/>
  <c r="S19" i="39" s="1"/>
  <c r="H19" i="39"/>
  <c r="U19" i="39" s="1"/>
  <c r="J19" i="39"/>
  <c r="W19" i="39"/>
  <c r="F99" i="37"/>
  <c r="AC27" i="37"/>
  <c r="S45" i="34"/>
  <c r="W40" i="37"/>
  <c r="W27" i="33"/>
  <c r="AA44" i="34"/>
  <c r="U43" i="34"/>
  <c r="AB43" i="34"/>
  <c r="S35" i="37"/>
  <c r="BL571" i="3"/>
  <c r="BE5" i="3"/>
  <c r="AB40" i="33"/>
  <c r="U40" i="33"/>
  <c r="AA35" i="34"/>
  <c r="S35" i="34"/>
  <c r="E90" i="34"/>
  <c r="H27" i="34"/>
  <c r="AB27" i="34"/>
  <c r="AB8"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E78" i="36"/>
  <c r="F78" i="36" s="1"/>
  <c r="G78" i="36"/>
  <c r="H78" i="36" s="1"/>
  <c r="I78" i="36" s="1"/>
  <c r="J78" i="36" s="1"/>
  <c r="K78" i="36" s="1"/>
  <c r="L78" i="36" s="1"/>
  <c r="M78" i="36" s="1"/>
  <c r="F26" i="36"/>
  <c r="S26" i="36"/>
  <c r="U34" i="36"/>
  <c r="AB34" i="36"/>
  <c r="F33" i="36"/>
  <c r="AA33" i="36"/>
  <c r="H27" i="36"/>
  <c r="AB27" i="36"/>
  <c r="AA31" i="36"/>
  <c r="AB29" i="37"/>
  <c r="AC30" i="37"/>
  <c r="AC31" i="37"/>
  <c r="W31" i="37"/>
  <c r="F21" i="39"/>
  <c r="S21" i="39" s="1"/>
  <c r="H21" i="39"/>
  <c r="U21" i="39" s="1"/>
  <c r="J21" i="39"/>
  <c r="W21" i="39" s="1"/>
  <c r="F33" i="39"/>
  <c r="S33" i="39" s="1"/>
  <c r="H33" i="39"/>
  <c r="AB33" i="39" s="1"/>
  <c r="U33" i="39"/>
  <c r="J33" i="39"/>
  <c r="J44" i="39"/>
  <c r="W44" i="39" s="1"/>
  <c r="F46" i="39"/>
  <c r="AA46" i="39" s="1"/>
  <c r="S46" i="39"/>
  <c r="H46" i="39"/>
  <c r="J46" i="39"/>
  <c r="W46" i="39"/>
  <c r="F29" i="39"/>
  <c r="AA29" i="39" s="1"/>
  <c r="F34" i="39"/>
  <c r="AA34" i="39" s="1"/>
  <c r="H34" i="39"/>
  <c r="AB34" i="39" s="1"/>
  <c r="J34" i="39"/>
  <c r="AC34" i="39" s="1"/>
  <c r="F39" i="39"/>
  <c r="AA39" i="39" s="1"/>
  <c r="H39" i="39"/>
  <c r="AB39" i="39" s="1"/>
  <c r="J39" i="39"/>
  <c r="W30" i="36"/>
  <c r="AC30" i="36"/>
  <c r="J37" i="39"/>
  <c r="W37" i="39" s="1"/>
  <c r="BA567" i="3"/>
  <c r="BL565" i="3"/>
  <c r="AZ565" i="3"/>
  <c r="BA564" i="3"/>
  <c r="BA563" i="3"/>
  <c r="BL554" i="3"/>
  <c r="BL549" i="3"/>
  <c r="BL547" i="3"/>
  <c r="BA547" i="3"/>
  <c r="AZ547" i="3" s="1"/>
  <c r="BA538" i="3"/>
  <c r="AZ538" i="3"/>
  <c r="BL531" i="3"/>
  <c r="BA530" i="3"/>
  <c r="BL529" i="3"/>
  <c r="BA529" i="3"/>
  <c r="BA527" i="3"/>
  <c r="AZ527" i="3"/>
  <c r="BA518" i="3"/>
  <c r="BL517" i="3"/>
  <c r="AZ517" i="3" s="1"/>
  <c r="BA517" i="3"/>
  <c r="BA515" i="3"/>
  <c r="BA514" i="3"/>
  <c r="AZ514" i="3" s="1"/>
  <c r="BA513" i="3"/>
  <c r="BL512" i="3"/>
  <c r="BA510" i="3"/>
  <c r="BL509" i="3"/>
  <c r="BL507" i="3"/>
  <c r="BL506" i="3"/>
  <c r="BL505" i="3"/>
  <c r="BL504" i="3"/>
  <c r="BA500" i="3"/>
  <c r="BL499" i="3"/>
  <c r="BL497" i="3"/>
  <c r="BA495" i="3"/>
  <c r="BA494" i="3"/>
  <c r="BA491" i="3"/>
  <c r="AZ491" i="3" s="1"/>
  <c r="BL490" i="3"/>
  <c r="BL489" i="3"/>
  <c r="BL486" i="3"/>
  <c r="BA482" i="3"/>
  <c r="AZ482" i="3" s="1"/>
  <c r="BA18" i="3"/>
  <c r="F36" i="44"/>
  <c r="H38" i="34"/>
  <c r="U38" i="34"/>
  <c r="H30" i="40"/>
  <c r="AB30" i="40"/>
  <c r="J30" i="40"/>
  <c r="W30" i="40" s="1"/>
  <c r="AC30" i="40"/>
  <c r="F38" i="40"/>
  <c r="AA38" i="40" s="1"/>
  <c r="AA36" i="34"/>
  <c r="S35" i="21"/>
  <c r="AB10" i="21"/>
  <c r="E106" i="33"/>
  <c r="H34" i="33"/>
  <c r="U34" i="33" s="1"/>
  <c r="F34" i="33"/>
  <c r="S34" i="33" s="1"/>
  <c r="F41" i="33"/>
  <c r="S41" i="33" s="1"/>
  <c r="AC34" i="34"/>
  <c r="W34" i="34"/>
  <c r="AA39" i="34"/>
  <c r="E78" i="34"/>
  <c r="F78" i="34" s="1"/>
  <c r="G78" i="34" s="1"/>
  <c r="F15" i="34"/>
  <c r="AA15" i="34" s="1"/>
  <c r="H22" i="35"/>
  <c r="AB22" i="35"/>
  <c r="H23" i="35"/>
  <c r="U23" i="35" s="1"/>
  <c r="F23" i="35"/>
  <c r="U31" i="36"/>
  <c r="S8" i="37"/>
  <c r="AA8" i="37"/>
  <c r="F14" i="39"/>
  <c r="AA14" i="39" s="1"/>
  <c r="H14" i="39"/>
  <c r="AB14" i="39" s="1"/>
  <c r="J14" i="39"/>
  <c r="AC14" i="39" s="1"/>
  <c r="F15" i="40"/>
  <c r="AA15" i="40" s="1"/>
  <c r="J15" i="40"/>
  <c r="H15" i="40"/>
  <c r="U15" i="40" s="1"/>
  <c r="AB15" i="40"/>
  <c r="F92" i="40"/>
  <c r="G92" i="40" s="1"/>
  <c r="H23" i="40"/>
  <c r="U23" i="40"/>
  <c r="AB41" i="40"/>
  <c r="F41" i="40"/>
  <c r="AA41" i="40" s="1"/>
  <c r="H36" i="33"/>
  <c r="AB36" i="33"/>
  <c r="H37" i="34"/>
  <c r="AB37" i="34" s="1"/>
  <c r="H15" i="39"/>
  <c r="U15" i="39" s="1"/>
  <c r="J15" i="39"/>
  <c r="AC15" i="39" s="1"/>
  <c r="F45" i="39"/>
  <c r="AA45" i="39" s="1"/>
  <c r="H45" i="39"/>
  <c r="U45" i="39" s="1"/>
  <c r="J45" i="39"/>
  <c r="AC45" i="39" s="1"/>
  <c r="F47" i="39"/>
  <c r="S47" i="39" s="1"/>
  <c r="AA47" i="39"/>
  <c r="H47" i="39"/>
  <c r="AB47" i="39" s="1"/>
  <c r="J47" i="39"/>
  <c r="AC47" i="39" s="1"/>
  <c r="W47" i="39"/>
  <c r="F41" i="39"/>
  <c r="AA41" i="39" s="1"/>
  <c r="J25" i="40"/>
  <c r="AC25" i="40"/>
  <c r="J32" i="40"/>
  <c r="H32" i="40"/>
  <c r="AB32" i="40" s="1"/>
  <c r="H35" i="40"/>
  <c r="AB35" i="40"/>
  <c r="F35" i="40"/>
  <c r="AA35" i="40" s="1"/>
  <c r="J35" i="40"/>
  <c r="AC35" i="40"/>
  <c r="J38" i="39"/>
  <c r="H38" i="39"/>
  <c r="AB38" i="39" s="1"/>
  <c r="J16" i="40"/>
  <c r="W16" i="40" s="1"/>
  <c r="H42" i="40"/>
  <c r="H40" i="40"/>
  <c r="U40" i="40"/>
  <c r="H34" i="40"/>
  <c r="AB34" i="40" s="1"/>
  <c r="AZ391" i="3"/>
  <c r="AZ407" i="3"/>
  <c r="AZ415" i="3"/>
  <c r="AZ454" i="3"/>
  <c r="B41" i="1"/>
  <c r="J42" i="40"/>
  <c r="AC42" i="40" s="1"/>
  <c r="J40" i="40"/>
  <c r="AC40" i="40"/>
  <c r="J34" i="40"/>
  <c r="AC34" i="40" s="1"/>
  <c r="F32" i="40"/>
  <c r="AA32" i="40"/>
  <c r="AZ428" i="3"/>
  <c r="AZ436" i="3"/>
  <c r="AZ452" i="3"/>
  <c r="M1" i="46"/>
  <c r="M6" i="46"/>
  <c r="M10" i="46"/>
  <c r="N2" i="46"/>
  <c r="N5" i="46"/>
  <c r="F58" i="46"/>
  <c r="H63" i="46" s="1"/>
  <c r="N7" i="46"/>
  <c r="AZ456" i="3"/>
  <c r="AZ458" i="3"/>
  <c r="AZ466" i="3"/>
  <c r="AZ474" i="3"/>
  <c r="AZ477" i="3"/>
  <c r="AZ388" i="3"/>
  <c r="AZ207" i="3"/>
  <c r="AZ212" i="3"/>
  <c r="AZ215" i="3"/>
  <c r="AZ220" i="3"/>
  <c r="AZ223" i="3"/>
  <c r="AZ228" i="3"/>
  <c r="AZ231" i="3"/>
  <c r="AZ236" i="3"/>
  <c r="AZ239" i="3"/>
  <c r="AZ244" i="3"/>
  <c r="AZ247" i="3"/>
  <c r="AZ252" i="3"/>
  <c r="AZ255" i="3"/>
  <c r="AZ260" i="3"/>
  <c r="AZ273" i="3"/>
  <c r="AZ281" i="3"/>
  <c r="AZ289" i="3"/>
  <c r="AZ121" i="3"/>
  <c r="AZ124" i="3"/>
  <c r="AZ137" i="3"/>
  <c r="AZ152" i="3"/>
  <c r="M7" i="46"/>
  <c r="M11" i="46"/>
  <c r="N3" i="46"/>
  <c r="N6" i="46"/>
  <c r="N10" i="46"/>
  <c r="F69" i="46"/>
  <c r="H71" i="46" s="1"/>
  <c r="AZ164" i="3"/>
  <c r="AZ180" i="3"/>
  <c r="AZ40" i="3"/>
  <c r="AZ48" i="3"/>
  <c r="AZ56" i="3"/>
  <c r="AZ63" i="3"/>
  <c r="AZ71" i="3"/>
  <c r="AZ91" i="3"/>
  <c r="AZ112" i="3"/>
  <c r="J13" i="40"/>
  <c r="W13" i="40"/>
  <c r="W40" i="40"/>
  <c r="F27" i="43"/>
  <c r="F66" i="9"/>
  <c r="P72" i="9" s="1"/>
  <c r="W35" i="40"/>
  <c r="U41" i="40"/>
  <c r="J23" i="40"/>
  <c r="AC23" i="40"/>
  <c r="F23" i="40"/>
  <c r="AC15" i="40"/>
  <c r="W15" i="40"/>
  <c r="AB23" i="35"/>
  <c r="H15" i="34"/>
  <c r="AB15" i="34"/>
  <c r="J15" i="34"/>
  <c r="H41" i="33"/>
  <c r="U41" i="33" s="1"/>
  <c r="F30" i="40"/>
  <c r="AA30" i="40"/>
  <c r="H100" i="40"/>
  <c r="I100" i="40" s="1"/>
  <c r="J100" i="40" s="1"/>
  <c r="K100" i="40" s="1"/>
  <c r="L100" i="40" s="1"/>
  <c r="M100" i="40" s="1"/>
  <c r="AB38" i="34"/>
  <c r="AZ529" i="3"/>
  <c r="AZ549" i="3"/>
  <c r="G99" i="37"/>
  <c r="H99" i="37" s="1"/>
  <c r="F33" i="37"/>
  <c r="U46" i="34"/>
  <c r="AC30" i="34"/>
  <c r="W12" i="34"/>
  <c r="AC13" i="33"/>
  <c r="U17" i="34"/>
  <c r="W32" i="33"/>
  <c r="H15" i="33"/>
  <c r="U15" i="33"/>
  <c r="AA11" i="33"/>
  <c r="W34" i="40"/>
  <c r="AB42" i="40"/>
  <c r="U42" i="40"/>
  <c r="AC16" i="40"/>
  <c r="H25" i="40"/>
  <c r="U47" i="39"/>
  <c r="J37" i="34"/>
  <c r="J36" i="33"/>
  <c r="W36" i="33"/>
  <c r="S41" i="40"/>
  <c r="AB23" i="40"/>
  <c r="S15" i="34"/>
  <c r="AA34" i="33"/>
  <c r="F106" i="33"/>
  <c r="G106" i="33" s="1"/>
  <c r="H106" i="33"/>
  <c r="I106" i="33" s="1"/>
  <c r="J106" i="33" s="1"/>
  <c r="K106" i="33" s="1"/>
  <c r="L106" i="33" s="1"/>
  <c r="M106" i="33" s="1"/>
  <c r="J34" i="33"/>
  <c r="AC34" i="33" s="1"/>
  <c r="U30" i="40"/>
  <c r="AC39" i="39"/>
  <c r="W39" i="39"/>
  <c r="S39" i="39"/>
  <c r="U34" i="39"/>
  <c r="AC33" i="39"/>
  <c r="W33" i="39"/>
  <c r="AA33" i="39"/>
  <c r="U11" i="36"/>
  <c r="F90" i="34"/>
  <c r="G90" i="34"/>
  <c r="H90" i="34" s="1"/>
  <c r="I90" i="34"/>
  <c r="J90" i="34"/>
  <c r="K90" i="34" s="1"/>
  <c r="L90" i="34" s="1"/>
  <c r="M90" i="34" s="1"/>
  <c r="F27" i="34"/>
  <c r="AA27" i="34" s="1"/>
  <c r="S27" i="34"/>
  <c r="AA19" i="39"/>
  <c r="F32" i="37"/>
  <c r="S32" i="37"/>
  <c r="U32" i="34"/>
  <c r="AB13" i="33"/>
  <c r="G80" i="34"/>
  <c r="F17" i="34"/>
  <c r="AA17" i="34" s="1"/>
  <c r="J17" i="34"/>
  <c r="AC17" i="34"/>
  <c r="H11" i="34"/>
  <c r="J35" i="33"/>
  <c r="AC35" i="33" s="1"/>
  <c r="W35" i="33"/>
  <c r="H11" i="33"/>
  <c r="U11" i="33" s="1"/>
  <c r="H10" i="33"/>
  <c r="U10" i="33" s="1"/>
  <c r="I66" i="33"/>
  <c r="J10" i="33"/>
  <c r="U11" i="37"/>
  <c r="AC13" i="40"/>
  <c r="J11" i="34"/>
  <c r="S17" i="34"/>
  <c r="AC36" i="33"/>
  <c r="F25" i="40"/>
  <c r="AA25" i="40" s="1"/>
  <c r="J11" i="33"/>
  <c r="W11" i="33" s="1"/>
  <c r="H33" i="37"/>
  <c r="AB33" i="37" s="1"/>
  <c r="W15" i="34"/>
  <c r="AC15" i="34"/>
  <c r="W23" i="40"/>
  <c r="AP11" i="1"/>
  <c r="B11" i="1"/>
  <c r="E11" i="1"/>
  <c r="K11" i="1"/>
  <c r="M11" i="1" s="1"/>
  <c r="B9" i="1"/>
  <c r="E9" i="1"/>
  <c r="B7" i="1"/>
  <c r="E7" i="1" s="1"/>
  <c r="K7" i="1"/>
  <c r="M7" i="1" s="1"/>
  <c r="C20" i="43"/>
  <c r="F6" i="1"/>
  <c r="AP6" i="1" s="1"/>
  <c r="G11" i="1"/>
  <c r="M22" i="44"/>
  <c r="F32" i="15"/>
  <c r="F59" i="15" s="1"/>
  <c r="F29" i="12"/>
  <c r="F31" i="43"/>
  <c r="AC25" i="36"/>
  <c r="S8" i="36"/>
  <c r="AA26" i="36"/>
  <c r="AA28" i="36"/>
  <c r="H20" i="36"/>
  <c r="U20" i="36" s="1"/>
  <c r="G68" i="36"/>
  <c r="J20" i="36"/>
  <c r="AC20" i="36" s="1"/>
  <c r="F20" i="36"/>
  <c r="S20" i="36"/>
  <c r="F62" i="36"/>
  <c r="G62" i="36" s="1"/>
  <c r="J14" i="36"/>
  <c r="W14" i="36" s="1"/>
  <c r="H14" i="36"/>
  <c r="U14" i="36" s="1"/>
  <c r="F14" i="36"/>
  <c r="W20" i="36"/>
  <c r="U27" i="36"/>
  <c r="U9" i="36"/>
  <c r="S33" i="36"/>
  <c r="AA27" i="36"/>
  <c r="AC33" i="35"/>
  <c r="U22" i="35"/>
  <c r="U33" i="35"/>
  <c r="AC10" i="35"/>
  <c r="W13" i="35"/>
  <c r="AC18" i="35"/>
  <c r="U18" i="35"/>
  <c r="AB18" i="35"/>
  <c r="AA35" i="35"/>
  <c r="AB9" i="37"/>
  <c r="W12" i="37"/>
  <c r="AA9" i="37"/>
  <c r="S17" i="37"/>
  <c r="S33" i="37"/>
  <c r="AA33" i="37"/>
  <c r="AA32" i="37"/>
  <c r="J33" i="37"/>
  <c r="W33" i="37"/>
  <c r="I99" i="37"/>
  <c r="J99" i="37" s="1"/>
  <c r="K99" i="37" s="1"/>
  <c r="L99" i="37" s="1"/>
  <c r="M99" i="37" s="1"/>
  <c r="S29" i="37"/>
  <c r="J19" i="37"/>
  <c r="AC19" i="37" s="1"/>
  <c r="F19" i="37"/>
  <c r="S19" i="37" s="1"/>
  <c r="AA19" i="37"/>
  <c r="H19" i="37"/>
  <c r="J17" i="37"/>
  <c r="AC17" i="37" s="1"/>
  <c r="S15" i="37"/>
  <c r="AC10" i="37"/>
  <c r="AC21" i="37"/>
  <c r="W21" i="37"/>
  <c r="AC9" i="37"/>
  <c r="U8" i="37"/>
  <c r="AB21" i="37"/>
  <c r="U21" i="37"/>
  <c r="S37" i="37"/>
  <c r="S40" i="37"/>
  <c r="S10" i="37"/>
  <c r="W46" i="34"/>
  <c r="AA40" i="34"/>
  <c r="W33" i="34"/>
  <c r="U30" i="34"/>
  <c r="S32" i="34"/>
  <c r="AA12" i="34"/>
  <c r="AC35" i="34"/>
  <c r="U44" i="34"/>
  <c r="U34" i="34"/>
  <c r="J25" i="34"/>
  <c r="AC25" i="34" s="1"/>
  <c r="H25" i="34"/>
  <c r="AB25" i="34" s="1"/>
  <c r="F25" i="34"/>
  <c r="J23" i="34"/>
  <c r="F86" i="34"/>
  <c r="G86" i="34"/>
  <c r="F23" i="34"/>
  <c r="H23" i="34"/>
  <c r="W17" i="34"/>
  <c r="W10" i="34"/>
  <c r="W44" i="34"/>
  <c r="W19" i="34"/>
  <c r="AC21" i="34"/>
  <c r="W21" i="34"/>
  <c r="U15" i="34"/>
  <c r="AB21" i="34"/>
  <c r="U21" i="34"/>
  <c r="U27" i="34"/>
  <c r="U19" i="34"/>
  <c r="AB41" i="34"/>
  <c r="AA41" i="34"/>
  <c r="S10" i="34"/>
  <c r="W34" i="33"/>
  <c r="AB11" i="33"/>
  <c r="U36" i="33"/>
  <c r="W31" i="33"/>
  <c r="U35" i="33"/>
  <c r="AB34" i="33"/>
  <c r="H25" i="33"/>
  <c r="AB25" i="33"/>
  <c r="J25" i="33"/>
  <c r="W25" i="33"/>
  <c r="I87" i="33"/>
  <c r="J87" i="33" s="1"/>
  <c r="K87" i="33" s="1"/>
  <c r="L87" i="33" s="1"/>
  <c r="M87" i="33" s="1"/>
  <c r="F25" i="33"/>
  <c r="J23" i="33"/>
  <c r="AC23" i="33" s="1"/>
  <c r="F23" i="33"/>
  <c r="S23" i="33" s="1"/>
  <c r="H23" i="33"/>
  <c r="U19" i="33"/>
  <c r="F79" i="33"/>
  <c r="G79" i="33"/>
  <c r="F17" i="33"/>
  <c r="S17" i="33" s="1"/>
  <c r="H17" i="33"/>
  <c r="J17" i="33"/>
  <c r="AC17" i="33" s="1"/>
  <c r="AB15" i="33"/>
  <c r="AC11" i="33"/>
  <c r="S14" i="33"/>
  <c r="AC21" i="33"/>
  <c r="W21" i="33"/>
  <c r="AB10" i="33"/>
  <c r="U25" i="33"/>
  <c r="AB21" i="33"/>
  <c r="U21" i="33"/>
  <c r="AA21" i="33"/>
  <c r="S21" i="33"/>
  <c r="AA36" i="33"/>
  <c r="W39" i="21"/>
  <c r="U35" i="21"/>
  <c r="W43" i="21"/>
  <c r="AC21" i="21"/>
  <c r="W21" i="21"/>
  <c r="W10" i="21"/>
  <c r="AC38" i="21"/>
  <c r="AB21" i="21"/>
  <c r="U21" i="21"/>
  <c r="AB29" i="21"/>
  <c r="S35" i="40"/>
  <c r="AB13" i="40"/>
  <c r="W11" i="40"/>
  <c r="U21" i="40"/>
  <c r="W25" i="40"/>
  <c r="U35" i="40"/>
  <c r="F37" i="40"/>
  <c r="AA37" i="40" s="1"/>
  <c r="J37" i="40"/>
  <c r="AC37" i="40"/>
  <c r="H37" i="40"/>
  <c r="AB37" i="40" s="1"/>
  <c r="G113" i="40"/>
  <c r="H113" i="40" s="1"/>
  <c r="I113" i="40"/>
  <c r="J113" i="40" s="1"/>
  <c r="K113" i="40" s="1"/>
  <c r="L113" i="40" s="1"/>
  <c r="M113" i="40" s="1"/>
  <c r="F39" i="40"/>
  <c r="AA39" i="40" s="1"/>
  <c r="S38" i="40"/>
  <c r="H39" i="40"/>
  <c r="J39" i="40"/>
  <c r="W39" i="40" s="1"/>
  <c r="W38" i="40"/>
  <c r="F29" i="40"/>
  <c r="S29" i="40" s="1"/>
  <c r="H29" i="40"/>
  <c r="J29" i="40"/>
  <c r="AC29" i="40" s="1"/>
  <c r="F98" i="40"/>
  <c r="G98" i="40" s="1"/>
  <c r="H98" i="40" s="1"/>
  <c r="I98" i="40" s="1"/>
  <c r="J98" i="40" s="1"/>
  <c r="K98" i="40" s="1"/>
  <c r="L98" i="40" s="1"/>
  <c r="M98" i="40" s="1"/>
  <c r="S30" i="40"/>
  <c r="S25" i="40"/>
  <c r="F88" i="40"/>
  <c r="G88" i="40" s="1"/>
  <c r="F19" i="40"/>
  <c r="S19" i="40" s="1"/>
  <c r="H19" i="40"/>
  <c r="J19" i="40"/>
  <c r="W17" i="40"/>
  <c r="AC17" i="40"/>
  <c r="F17" i="40"/>
  <c r="AA17" i="40"/>
  <c r="H17" i="40"/>
  <c r="AB17" i="40"/>
  <c r="AB40" i="40"/>
  <c r="U10" i="40"/>
  <c r="U27" i="40"/>
  <c r="AB27" i="40"/>
  <c r="S11" i="39"/>
  <c r="AB45" i="39"/>
  <c r="AC19" i="39"/>
  <c r="AC21" i="39"/>
  <c r="S14" i="39"/>
  <c r="U11" i="39"/>
  <c r="U31" i="39"/>
  <c r="AB31" i="39"/>
  <c r="S38" i="39"/>
  <c r="D18" i="9"/>
  <c r="M44" i="9" s="1"/>
  <c r="M20" i="15"/>
  <c r="D96" i="9"/>
  <c r="M18" i="15"/>
  <c r="A18" i="64"/>
  <c r="B74" i="63" s="1"/>
  <c r="C53" i="10"/>
  <c r="A25" i="64" s="1"/>
  <c r="A18" i="51"/>
  <c r="B14" i="63"/>
  <c r="BA16" i="3"/>
  <c r="BA17" i="3"/>
  <c r="AZ17" i="3"/>
  <c r="F3" i="35"/>
  <c r="K1" i="12"/>
  <c r="G3" i="46"/>
  <c r="BK5" i="3"/>
  <c r="BL18" i="3"/>
  <c r="BC5" i="3"/>
  <c r="BL16" i="3"/>
  <c r="AZ16" i="3" s="1"/>
  <c r="N8" i="46"/>
  <c r="N4" i="46"/>
  <c r="N1" i="46"/>
  <c r="F47" i="46"/>
  <c r="H47" i="46" s="1"/>
  <c r="M9" i="46"/>
  <c r="M2" i="46"/>
  <c r="N11" i="46"/>
  <c r="N9" i="46"/>
  <c r="M4" i="46"/>
  <c r="M12" i="46"/>
  <c r="M8" i="46"/>
  <c r="M3" i="46"/>
  <c r="M5" i="46"/>
  <c r="H6" i="48"/>
  <c r="H15" i="48"/>
  <c r="H5" i="48"/>
  <c r="H14" i="48"/>
  <c r="K17" i="46"/>
  <c r="H13" i="48"/>
  <c r="H11" i="48"/>
  <c r="D71" i="46"/>
  <c r="E69" i="46" s="1"/>
  <c r="B67" i="46" s="1"/>
  <c r="D84" i="46"/>
  <c r="E80" i="46" s="1"/>
  <c r="B78" i="46" s="1"/>
  <c r="D69" i="46"/>
  <c r="E47" i="46"/>
  <c r="E58" i="46"/>
  <c r="B56" i="46"/>
  <c r="A4" i="64"/>
  <c r="A4" i="51"/>
  <c r="B6" i="63" s="1"/>
  <c r="C51" i="10"/>
  <c r="A9" i="64" s="1"/>
  <c r="I100" i="46"/>
  <c r="C24" i="46"/>
  <c r="N100" i="46"/>
  <c r="H100" i="46"/>
  <c r="F108" i="46"/>
  <c r="B45" i="46"/>
  <c r="E100" i="46"/>
  <c r="G100" i="46"/>
  <c r="C100" i="46"/>
  <c r="J100" i="46"/>
  <c r="M100" i="46"/>
  <c r="U12" i="35"/>
  <c r="AB12" i="35"/>
  <c r="U13" i="37"/>
  <c r="S13" i="21"/>
  <c r="C24" i="9"/>
  <c r="C25" i="9"/>
  <c r="G9" i="1"/>
  <c r="G8" i="1"/>
  <c r="I20" i="46"/>
  <c r="L5" i="54"/>
  <c r="A3" i="55" s="1"/>
  <c r="B56" i="63" s="1"/>
  <c r="B39" i="63"/>
  <c r="K5" i="54"/>
  <c r="B38" i="63"/>
  <c r="T41" i="4"/>
  <c r="A17" i="51" s="1"/>
  <c r="B13" i="63" s="1"/>
  <c r="A17" i="64"/>
  <c r="B46" i="50"/>
  <c r="B4" i="63" s="1"/>
  <c r="C46" i="36"/>
  <c r="D46" i="36" s="1"/>
  <c r="E46" i="36" s="1"/>
  <c r="F46" i="36" s="1"/>
  <c r="G46" i="36" s="1"/>
  <c r="H46" i="36" s="1"/>
  <c r="O19" i="46"/>
  <c r="H10" i="48"/>
  <c r="K10" i="1"/>
  <c r="M10" i="1" s="1"/>
  <c r="O10" i="1" s="1"/>
  <c r="P10" i="1" s="1"/>
  <c r="S11" i="1"/>
  <c r="R11" i="1"/>
  <c r="S13" i="1"/>
  <c r="R13" i="1"/>
  <c r="B6" i="1"/>
  <c r="E6" i="1" s="1"/>
  <c r="B10" i="1"/>
  <c r="E10" i="1" s="1"/>
  <c r="S10" i="1"/>
  <c r="B8" i="1"/>
  <c r="E8" i="1" s="1"/>
  <c r="B12" i="1"/>
  <c r="E12" i="1" s="1"/>
  <c r="S12" i="1"/>
  <c r="F66" i="36"/>
  <c r="G66" i="36" s="1"/>
  <c r="H18" i="36"/>
  <c r="U16" i="36"/>
  <c r="AA34" i="36"/>
  <c r="AC27" i="36"/>
  <c r="W28" i="36"/>
  <c r="AA22" i="36"/>
  <c r="U10" i="36"/>
  <c r="W9" i="36"/>
  <c r="S9" i="36"/>
  <c r="U24" i="35"/>
  <c r="S24" i="35"/>
  <c r="W22" i="35"/>
  <c r="W35" i="37"/>
  <c r="AC33" i="37"/>
  <c r="U33" i="37"/>
  <c r="S12" i="37"/>
  <c r="U26" i="37"/>
  <c r="AB28" i="37"/>
  <c r="S28" i="37"/>
  <c r="U38" i="37"/>
  <c r="S26" i="37"/>
  <c r="AB35" i="34"/>
  <c r="AB29" i="34"/>
  <c r="AA29" i="34"/>
  <c r="S19" i="34"/>
  <c r="S8" i="34"/>
  <c r="AA19" i="33"/>
  <c r="AC25" i="33"/>
  <c r="S26" i="33"/>
  <c r="S15" i="33"/>
  <c r="S39" i="21"/>
  <c r="AA25" i="21"/>
  <c r="AA29" i="21"/>
  <c r="S27" i="21"/>
  <c r="AC27" i="21"/>
  <c r="W29" i="21"/>
  <c r="G96" i="40"/>
  <c r="J27" i="40"/>
  <c r="W27" i="40" s="1"/>
  <c r="W37" i="40"/>
  <c r="S17" i="40"/>
  <c r="U17" i="40"/>
  <c r="U38" i="40"/>
  <c r="S42" i="40"/>
  <c r="J31" i="39"/>
  <c r="W31" i="39" s="1"/>
  <c r="AC46" i="39"/>
  <c r="S34" i="39"/>
  <c r="W36" i="39"/>
  <c r="U14" i="39"/>
  <c r="W34" i="39"/>
  <c r="W10" i="39"/>
  <c r="W11" i="39"/>
  <c r="W40" i="39"/>
  <c r="S32" i="40"/>
  <c r="C27" i="39"/>
  <c r="C19" i="40"/>
  <c r="C17" i="39"/>
  <c r="C19" i="39"/>
  <c r="C21" i="39"/>
  <c r="C23" i="40"/>
  <c r="B51" i="46"/>
  <c r="B55" i="46"/>
  <c r="B59" i="46"/>
  <c r="B62" i="46"/>
  <c r="B66" i="46"/>
  <c r="B64" i="46"/>
  <c r="D24" i="15"/>
  <c r="AB20" i="36"/>
  <c r="AA20" i="36"/>
  <c r="AC14" i="36"/>
  <c r="AB14" i="36"/>
  <c r="U18" i="36"/>
  <c r="AB18" i="36"/>
  <c r="W19" i="37"/>
  <c r="AB19" i="37"/>
  <c r="U19" i="37"/>
  <c r="W17" i="37"/>
  <c r="U25" i="34"/>
  <c r="AA25" i="34"/>
  <c r="S25" i="34"/>
  <c r="W25" i="34"/>
  <c r="U23" i="34"/>
  <c r="AB23" i="34"/>
  <c r="AA23" i="34"/>
  <c r="S23" i="34"/>
  <c r="AC23" i="34"/>
  <c r="W23" i="34"/>
  <c r="W23" i="33"/>
  <c r="W17" i="33"/>
  <c r="AA17" i="33"/>
  <c r="U17" i="33"/>
  <c r="AB17" i="33"/>
  <c r="AB39" i="40"/>
  <c r="U39" i="40"/>
  <c r="S37" i="40"/>
  <c r="U29" i="40"/>
  <c r="AB29" i="40"/>
  <c r="W29" i="40"/>
  <c r="AA29" i="40"/>
  <c r="AA19" i="40"/>
  <c r="AB19" i="40"/>
  <c r="U19" i="40"/>
  <c r="AC27" i="40"/>
  <c r="A9" i="51"/>
  <c r="B9" i="63" s="1"/>
  <c r="J18" i="36"/>
  <c r="AC18" i="36" s="1"/>
  <c r="AE6" i="1"/>
  <c r="AG6" i="1"/>
  <c r="C45" i="9"/>
  <c r="H14" i="66" s="1"/>
  <c r="B7" i="66" s="1"/>
  <c r="K31" i="9"/>
  <c r="K32" i="9" s="1"/>
  <c r="N76" i="9"/>
  <c r="A25" i="51"/>
  <c r="B18" i="63" s="1"/>
  <c r="F38" i="46"/>
  <c r="D16" i="59"/>
  <c r="C15" i="59"/>
  <c r="D15" i="59"/>
  <c r="F16" i="59"/>
  <c r="F15" i="59"/>
  <c r="F14" i="59"/>
  <c r="F13" i="59"/>
  <c r="F12" i="59" s="1"/>
  <c r="F11" i="59" s="1"/>
  <c r="F10" i="59" s="1"/>
  <c r="F9" i="59" s="1"/>
  <c r="Y15" i="59"/>
  <c r="Z15" i="59"/>
  <c r="AA15" i="59"/>
  <c r="AB15" i="59"/>
  <c r="Y14" i="59"/>
  <c r="Z14" i="59"/>
  <c r="Y13" i="59"/>
  <c r="Z13" i="59" s="1"/>
  <c r="Y12" i="59"/>
  <c r="Z12" i="59" s="1"/>
  <c r="AB14" i="59"/>
  <c r="AB13" i="59"/>
  <c r="AB12" i="59"/>
  <c r="AA17" i="59"/>
  <c r="X15" i="59"/>
  <c r="X13" i="59"/>
  <c r="X12" i="59"/>
  <c r="AA13" i="59"/>
  <c r="AA12" i="59"/>
  <c r="H1" i="65"/>
  <c r="N17" i="46"/>
  <c r="J22" i="46"/>
  <c r="P13" i="1"/>
  <c r="AP7" i="1"/>
  <c r="I17" i="46"/>
  <c r="AC11" i="46"/>
  <c r="D100" i="46"/>
  <c r="H62" i="46"/>
  <c r="AF12" i="46"/>
  <c r="K100" i="46"/>
  <c r="AB12" i="46"/>
  <c r="AJ12" i="46"/>
  <c r="C101" i="46"/>
  <c r="Z11" i="46"/>
  <c r="Z13" i="46" s="1"/>
  <c r="AF11" i="46"/>
  <c r="H59" i="46"/>
  <c r="E10" i="46"/>
  <c r="E9" i="46"/>
  <c r="C7" i="46" s="1"/>
  <c r="E11" i="46"/>
  <c r="E8" i="46"/>
  <c r="AD12" i="46"/>
  <c r="AH12" i="46"/>
  <c r="C14" i="59"/>
  <c r="C13" i="59" s="1"/>
  <c r="C12" i="59" s="1"/>
  <c r="C11" i="59" s="1"/>
  <c r="T13" i="59"/>
  <c r="D12" i="59"/>
  <c r="G20" i="46"/>
  <c r="E41" i="46"/>
  <c r="C41" i="46"/>
  <c r="F10" i="67"/>
  <c r="E14" i="67"/>
  <c r="N7" i="65"/>
  <c r="F8" i="67"/>
  <c r="B10" i="67"/>
  <c r="N6" i="65"/>
  <c r="J3" i="65"/>
  <c r="F13" i="67"/>
  <c r="E11" i="67"/>
  <c r="F9" i="67"/>
  <c r="B12" i="67"/>
  <c r="B11" i="67"/>
  <c r="I6" i="65"/>
  <c r="N3" i="65"/>
  <c r="B14" i="67"/>
  <c r="B13" i="67"/>
  <c r="F11" i="67"/>
  <c r="B8" i="67"/>
  <c r="E13" i="67"/>
  <c r="E9" i="67"/>
  <c r="E8" i="67"/>
  <c r="N4" i="65"/>
  <c r="N5" i="65"/>
  <c r="E10" i="67"/>
  <c r="J5" i="65"/>
  <c r="B9" i="67"/>
  <c r="F12" i="67"/>
  <c r="E12" i="67"/>
  <c r="F14" i="67"/>
  <c r="I3" i="65"/>
  <c r="G23" i="43" l="1"/>
  <c r="G26" i="12"/>
  <c r="D26" i="44"/>
  <c r="G28" i="12"/>
  <c r="G27" i="12"/>
  <c r="G22" i="43"/>
  <c r="G21" i="43"/>
  <c r="D24" i="44"/>
  <c r="AB32" i="35"/>
  <c r="U28" i="35"/>
  <c r="W30" i="35"/>
  <c r="W32" i="35"/>
  <c r="S30" i="35"/>
  <c r="U30" i="35"/>
  <c r="S28" i="35"/>
  <c r="AC28" i="35"/>
  <c r="S34" i="21"/>
  <c r="F35" i="46"/>
  <c r="E17" i="46"/>
  <c r="J17" i="46"/>
  <c r="D17" i="46"/>
  <c r="F36" i="46"/>
  <c r="H70" i="46"/>
  <c r="H22" i="46"/>
  <c r="L17" i="46"/>
  <c r="F37" i="46"/>
  <c r="F33" i="46"/>
  <c r="H17" i="46"/>
  <c r="G17" i="46" s="1"/>
  <c r="C16" i="46" s="1"/>
  <c r="H58" i="46"/>
  <c r="H55" i="46"/>
  <c r="H87" i="46"/>
  <c r="H69" i="46"/>
  <c r="H53" i="46"/>
  <c r="H84" i="46"/>
  <c r="H80" i="46"/>
  <c r="H54" i="46"/>
  <c r="H65" i="46"/>
  <c r="H50" i="46"/>
  <c r="O17" i="46"/>
  <c r="H51" i="46"/>
  <c r="H113" i="46"/>
  <c r="C17" i="46"/>
  <c r="H85" i="46"/>
  <c r="H86" i="46"/>
  <c r="F39" i="46"/>
  <c r="H52" i="46"/>
  <c r="H72" i="46"/>
  <c r="H48" i="46"/>
  <c r="M17" i="46"/>
  <c r="X7" i="46"/>
  <c r="H49" i="46"/>
  <c r="F34" i="46"/>
  <c r="H83" i="46"/>
  <c r="H82" i="46"/>
  <c r="U25" i="40"/>
  <c r="AB25" i="40"/>
  <c r="W46" i="21"/>
  <c r="AC46" i="21"/>
  <c r="AA25" i="35"/>
  <c r="S25" i="35"/>
  <c r="AZ559" i="3"/>
  <c r="C109" i="46"/>
  <c r="C102" i="46"/>
  <c r="S5" i="46" s="1"/>
  <c r="S39" i="40"/>
  <c r="E8" i="6"/>
  <c r="E53" i="40" s="1"/>
  <c r="W19" i="40"/>
  <c r="AC19" i="40"/>
  <c r="W11" i="34"/>
  <c r="AC11" i="34"/>
  <c r="AB13" i="34"/>
  <c r="U13" i="34"/>
  <c r="AA31" i="34"/>
  <c r="S31" i="34"/>
  <c r="AA47" i="34"/>
  <c r="S47" i="34"/>
  <c r="U11" i="35"/>
  <c r="AB11" i="35"/>
  <c r="AZ534" i="3"/>
  <c r="AZ418" i="3"/>
  <c r="AC10" i="33"/>
  <c r="W10" i="33"/>
  <c r="F23" i="39"/>
  <c r="AA23" i="39" s="1"/>
  <c r="H23" i="39"/>
  <c r="AB23" i="39" s="1"/>
  <c r="F97" i="39"/>
  <c r="G97" i="39" s="1"/>
  <c r="S37" i="39"/>
  <c r="AA37" i="39"/>
  <c r="S25" i="33"/>
  <c r="AA25" i="33"/>
  <c r="AB11" i="34"/>
  <c r="U11" i="34"/>
  <c r="AC37" i="34"/>
  <c r="W37" i="34"/>
  <c r="AZ161" i="3"/>
  <c r="AZ570" i="3"/>
  <c r="AC33" i="40"/>
  <c r="W33" i="40"/>
  <c r="AZ485" i="3"/>
  <c r="AZ483" i="3"/>
  <c r="AZ481" i="3"/>
  <c r="AC44" i="33"/>
  <c r="W44" i="33"/>
  <c r="F8" i="59"/>
  <c r="F7" i="59" s="1"/>
  <c r="F6" i="59" s="1"/>
  <c r="F5" i="59" s="1"/>
  <c r="V5" i="59" s="1"/>
  <c r="V9" i="59"/>
  <c r="AA13" i="36"/>
  <c r="V13" i="59"/>
  <c r="U23" i="33"/>
  <c r="AB23" i="33"/>
  <c r="F28" i="6"/>
  <c r="AZ568" i="3"/>
  <c r="AZ551" i="3"/>
  <c r="AZ539" i="3"/>
  <c r="AZ521" i="3"/>
  <c r="AZ496" i="3"/>
  <c r="AZ488" i="3"/>
  <c r="S11" i="36"/>
  <c r="AA11" i="36"/>
  <c r="S13" i="35"/>
  <c r="AA13" i="35"/>
  <c r="F19" i="6"/>
  <c r="E19" i="6" s="1"/>
  <c r="I4" i="6"/>
  <c r="C13" i="39" s="1"/>
  <c r="C11" i="21" s="1"/>
  <c r="AB23" i="36"/>
  <c r="U23" i="36"/>
  <c r="BH5" i="3"/>
  <c r="C10" i="59"/>
  <c r="D11" i="59"/>
  <c r="AC37" i="39"/>
  <c r="W38" i="37"/>
  <c r="W8" i="36"/>
  <c r="AC11" i="37"/>
  <c r="U29" i="33"/>
  <c r="AC32" i="40"/>
  <c r="W32" i="40"/>
  <c r="AA30" i="37"/>
  <c r="U26" i="21"/>
  <c r="BL13" i="3"/>
  <c r="B73" i="46"/>
  <c r="B53" i="46"/>
  <c r="H30" i="33"/>
  <c r="J30" i="33"/>
  <c r="F32" i="36"/>
  <c r="J32" i="36"/>
  <c r="BA522" i="3"/>
  <c r="AZ522" i="3" s="1"/>
  <c r="BL519" i="3"/>
  <c r="G484" i="3"/>
  <c r="AZ412" i="3"/>
  <c r="BJ5" i="3"/>
  <c r="B80" i="46"/>
  <c r="C17" i="40"/>
  <c r="J25" i="37"/>
  <c r="H25" i="37"/>
  <c r="S27" i="35"/>
  <c r="H14" i="40"/>
  <c r="F28" i="69"/>
  <c r="M18" i="69"/>
  <c r="F32" i="69"/>
  <c r="F59" i="69" s="1"/>
  <c r="F34" i="44"/>
  <c r="F72" i="9"/>
  <c r="F70" i="9"/>
  <c r="F30" i="44"/>
  <c r="F28" i="15"/>
  <c r="C28" i="15" s="1"/>
  <c r="J14" i="40"/>
  <c r="W38" i="39"/>
  <c r="AC38" i="39"/>
  <c r="F33" i="40"/>
  <c r="AA23" i="35"/>
  <c r="S23" i="35"/>
  <c r="AZ18" i="3"/>
  <c r="AZ500" i="3"/>
  <c r="AZ518" i="3"/>
  <c r="H44" i="39"/>
  <c r="U44" i="39" s="1"/>
  <c r="U38" i="21"/>
  <c r="S14" i="21"/>
  <c r="AZ300" i="3"/>
  <c r="AB44" i="33"/>
  <c r="AA13" i="33"/>
  <c r="S22" i="31"/>
  <c r="AC8" i="21"/>
  <c r="W8" i="21"/>
  <c r="BI5" i="3"/>
  <c r="W8" i="33"/>
  <c r="AC8" i="33"/>
  <c r="AA40" i="40"/>
  <c r="S40" i="40"/>
  <c r="BL567" i="3"/>
  <c r="AZ567" i="3" s="1"/>
  <c r="BL523" i="3"/>
  <c r="AZ523" i="3" s="1"/>
  <c r="BA519" i="3"/>
  <c r="AZ519" i="3" s="1"/>
  <c r="BA484" i="3"/>
  <c r="AZ484" i="3" s="1"/>
  <c r="BL483" i="3"/>
  <c r="BN5" i="3"/>
  <c r="G29" i="6" s="1"/>
  <c r="W39" i="33"/>
  <c r="S35" i="33"/>
  <c r="AC45" i="34"/>
  <c r="S8" i="35"/>
  <c r="S29" i="36"/>
  <c r="AC16" i="36"/>
  <c r="S23" i="37"/>
  <c r="AA23" i="37"/>
  <c r="AZ566" i="3"/>
  <c r="U36" i="37"/>
  <c r="AB14" i="21"/>
  <c r="J31" i="34"/>
  <c r="F30" i="33"/>
  <c r="H13" i="36"/>
  <c r="H32" i="36"/>
  <c r="F11" i="35"/>
  <c r="J29" i="33"/>
  <c r="B70" i="46"/>
  <c r="C23" i="39"/>
  <c r="F9" i="21"/>
  <c r="S9" i="21" s="1"/>
  <c r="J9" i="21"/>
  <c r="AC9" i="21" s="1"/>
  <c r="F12" i="33"/>
  <c r="U33" i="34"/>
  <c r="AB33" i="34"/>
  <c r="F23" i="36"/>
  <c r="BL533" i="3"/>
  <c r="BA533" i="3"/>
  <c r="BL528" i="3"/>
  <c r="AZ528" i="3" s="1"/>
  <c r="BA486" i="3"/>
  <c r="AZ486" i="3" s="1"/>
  <c r="AZ409" i="3"/>
  <c r="AZ495" i="3"/>
  <c r="U35" i="35"/>
  <c r="AB35" i="35"/>
  <c r="AB31" i="34"/>
  <c r="U31" i="34"/>
  <c r="AB46" i="33"/>
  <c r="U46" i="33"/>
  <c r="U45" i="21"/>
  <c r="AB45" i="21"/>
  <c r="W34" i="37"/>
  <c r="AC34" i="37"/>
  <c r="B38" i="9"/>
  <c r="E38" i="9" s="1"/>
  <c r="E22" i="6"/>
  <c r="AC26" i="33"/>
  <c r="W26" i="33"/>
  <c r="AB29" i="36"/>
  <c r="U29" i="36"/>
  <c r="BA550" i="3"/>
  <c r="AZ550" i="3" s="1"/>
  <c r="BL520" i="3"/>
  <c r="AZ520" i="3" s="1"/>
  <c r="AZ512" i="3"/>
  <c r="AZ501" i="3"/>
  <c r="BM5" i="3"/>
  <c r="F29" i="6" s="1"/>
  <c r="BL397" i="3"/>
  <c r="AZ397" i="3" s="1"/>
  <c r="D14" i="59"/>
  <c r="AF13" i="46"/>
  <c r="S29" i="33"/>
  <c r="AA14" i="36"/>
  <c r="S14" i="36"/>
  <c r="S32" i="33"/>
  <c r="U37" i="34"/>
  <c r="U8" i="21"/>
  <c r="AB17" i="37"/>
  <c r="U43" i="33"/>
  <c r="AB43" i="33"/>
  <c r="AZ532" i="3"/>
  <c r="H25" i="35"/>
  <c r="F44" i="33"/>
  <c r="U13" i="21"/>
  <c r="AB13" i="21"/>
  <c r="H46" i="21"/>
  <c r="AC44" i="21"/>
  <c r="W44" i="21"/>
  <c r="AA32" i="35"/>
  <c r="S32" i="35"/>
  <c r="AC36" i="35"/>
  <c r="BA560" i="3"/>
  <c r="BL552" i="3"/>
  <c r="AZ552" i="3" s="1"/>
  <c r="BA548" i="3"/>
  <c r="AZ548" i="3" s="1"/>
  <c r="BL496" i="3"/>
  <c r="AC39" i="40"/>
  <c r="AA23" i="33"/>
  <c r="S45" i="39"/>
  <c r="AC13" i="34"/>
  <c r="BA13" i="3"/>
  <c r="H101" i="46"/>
  <c r="H103" i="46" s="1"/>
  <c r="N104" i="45"/>
  <c r="S15" i="40"/>
  <c r="AC26" i="21"/>
  <c r="M20" i="44"/>
  <c r="AC14" i="34"/>
  <c r="AB19" i="39"/>
  <c r="J29" i="39"/>
  <c r="AC29" i="39" s="1"/>
  <c r="S23" i="40"/>
  <c r="AA23" i="40"/>
  <c r="H73" i="46"/>
  <c r="H75" i="46"/>
  <c r="H76" i="46"/>
  <c r="H61" i="46"/>
  <c r="H66" i="46"/>
  <c r="H60" i="46"/>
  <c r="H33" i="40"/>
  <c r="J16" i="39"/>
  <c r="AC16" i="39" s="1"/>
  <c r="W12" i="36"/>
  <c r="U8" i="33"/>
  <c r="H37" i="39"/>
  <c r="H29" i="39"/>
  <c r="U29" i="39" s="1"/>
  <c r="F44" i="39"/>
  <c r="S44" i="39" s="1"/>
  <c r="AA32" i="21"/>
  <c r="AZ323" i="3"/>
  <c r="U31" i="37"/>
  <c r="U23" i="37"/>
  <c r="AC32" i="37"/>
  <c r="W32" i="37"/>
  <c r="AC36" i="37"/>
  <c r="W36" i="37"/>
  <c r="J47" i="34"/>
  <c r="F28" i="33"/>
  <c r="F46" i="21"/>
  <c r="J30" i="21"/>
  <c r="J14" i="21"/>
  <c r="AC42" i="34"/>
  <c r="S34" i="37"/>
  <c r="F12" i="36"/>
  <c r="B37" i="9"/>
  <c r="E37" i="9" s="1"/>
  <c r="E21" i="6"/>
  <c r="F12" i="21"/>
  <c r="H12" i="21"/>
  <c r="W8" i="37"/>
  <c r="AC8" i="37"/>
  <c r="F16" i="40"/>
  <c r="H16" i="40"/>
  <c r="BL569" i="3"/>
  <c r="AZ569" i="3" s="1"/>
  <c r="BL560" i="3"/>
  <c r="BL556" i="3"/>
  <c r="AZ556" i="3" s="1"/>
  <c r="G556" i="3"/>
  <c r="BA555" i="3"/>
  <c r="AZ555" i="3" s="1"/>
  <c r="BL553" i="3"/>
  <c r="AZ553" i="3" s="1"/>
  <c r="BL540" i="3"/>
  <c r="AZ540" i="3" s="1"/>
  <c r="BL537" i="3"/>
  <c r="AZ537" i="3" s="1"/>
  <c r="BA526" i="3"/>
  <c r="AZ526" i="3" s="1"/>
  <c r="BA524" i="3"/>
  <c r="AZ524" i="3" s="1"/>
  <c r="BL510" i="3"/>
  <c r="AZ510" i="3" s="1"/>
  <c r="BL500" i="3"/>
  <c r="BL498" i="3"/>
  <c r="AZ498" i="3" s="1"/>
  <c r="G495" i="3"/>
  <c r="D13" i="59"/>
  <c r="H77" i="46"/>
  <c r="H74" i="46"/>
  <c r="Z7" i="46"/>
  <c r="H64" i="46"/>
  <c r="W18" i="36"/>
  <c r="U37" i="40"/>
  <c r="B48" i="46"/>
  <c r="W45" i="39"/>
  <c r="S34" i="40"/>
  <c r="AB42" i="33"/>
  <c r="W34" i="35"/>
  <c r="S25" i="36"/>
  <c r="W11" i="35"/>
  <c r="BD5" i="3"/>
  <c r="W42" i="40"/>
  <c r="W28" i="21"/>
  <c r="S44" i="21"/>
  <c r="AB26" i="33"/>
  <c r="AB41" i="33"/>
  <c r="U37" i="33"/>
  <c r="W29" i="34"/>
  <c r="W28" i="37"/>
  <c r="AC9" i="35"/>
  <c r="U25" i="36"/>
  <c r="D86" i="9"/>
  <c r="AA41" i="33"/>
  <c r="U39" i="39"/>
  <c r="W14" i="39"/>
  <c r="F71" i="9"/>
  <c r="U34" i="40"/>
  <c r="U38" i="39"/>
  <c r="U32" i="40"/>
  <c r="F16" i="39"/>
  <c r="BB5" i="3"/>
  <c r="AZ564" i="3"/>
  <c r="U46" i="39"/>
  <c r="AB46" i="39"/>
  <c r="W26" i="37"/>
  <c r="W19" i="33"/>
  <c r="AB12" i="34"/>
  <c r="W15" i="33"/>
  <c r="AA10" i="33"/>
  <c r="AB40" i="21"/>
  <c r="U40" i="21"/>
  <c r="H32" i="21"/>
  <c r="U32" i="21" s="1"/>
  <c r="AA45" i="33"/>
  <c r="W25" i="35"/>
  <c r="AZ359" i="3"/>
  <c r="AC21" i="40"/>
  <c r="W15" i="37"/>
  <c r="F36" i="35"/>
  <c r="AA43" i="33"/>
  <c r="AB28" i="34"/>
  <c r="AZ544" i="3"/>
  <c r="AA27" i="33"/>
  <c r="AA28" i="21"/>
  <c r="AB31" i="21"/>
  <c r="AA38" i="37"/>
  <c r="AC13" i="37"/>
  <c r="W13" i="37"/>
  <c r="AA13" i="34"/>
  <c r="AC46" i="33"/>
  <c r="W46" i="33"/>
  <c r="U37" i="37"/>
  <c r="AB37" i="37"/>
  <c r="W11" i="36"/>
  <c r="W45" i="21"/>
  <c r="AC45" i="21"/>
  <c r="AC31" i="21"/>
  <c r="AC13" i="21"/>
  <c r="H28" i="33"/>
  <c r="U44" i="21"/>
  <c r="F30" i="21"/>
  <c r="W37" i="33"/>
  <c r="AC37" i="33"/>
  <c r="U36" i="34"/>
  <c r="AC29" i="36"/>
  <c r="W29" i="36"/>
  <c r="U24" i="36"/>
  <c r="AC40" i="21"/>
  <c r="J12" i="21"/>
  <c r="W34" i="21"/>
  <c r="AC34" i="21"/>
  <c r="H9" i="21"/>
  <c r="AB9" i="21" s="1"/>
  <c r="BG5" i="3"/>
  <c r="E13" i="6" s="1"/>
  <c r="H9" i="33"/>
  <c r="H12" i="33"/>
  <c r="AA38" i="33"/>
  <c r="AA40" i="33"/>
  <c r="AC39" i="34"/>
  <c r="W39" i="34"/>
  <c r="AA43" i="34"/>
  <c r="H9" i="34"/>
  <c r="F9" i="34"/>
  <c r="J9" i="34"/>
  <c r="H36" i="35"/>
  <c r="H12" i="36"/>
  <c r="J23" i="36"/>
  <c r="E124" i="39"/>
  <c r="F124" i="39" s="1"/>
  <c r="G124" i="39" s="1"/>
  <c r="H124" i="39" s="1"/>
  <c r="I124" i="39" s="1"/>
  <c r="J124" i="39" s="1"/>
  <c r="K124" i="39" s="1"/>
  <c r="L124" i="39" s="1"/>
  <c r="M124" i="39" s="1"/>
  <c r="H42" i="39"/>
  <c r="J42" i="39"/>
  <c r="F42" i="39"/>
  <c r="AA14" i="40"/>
  <c r="BA545" i="3"/>
  <c r="AZ545" i="3" s="1"/>
  <c r="G542" i="3"/>
  <c r="G541" i="3"/>
  <c r="BA535" i="3"/>
  <c r="AZ535" i="3" s="1"/>
  <c r="BA531" i="3"/>
  <c r="AZ531" i="3" s="1"/>
  <c r="BL530" i="3"/>
  <c r="AZ530" i="3" s="1"/>
  <c r="G530" i="3"/>
  <c r="BL513" i="3"/>
  <c r="AZ513" i="3" s="1"/>
  <c r="BA507" i="3"/>
  <c r="AZ507" i="3" s="1"/>
  <c r="G506" i="3"/>
  <c r="BA504" i="3"/>
  <c r="AZ504" i="3" s="1"/>
  <c r="BA490" i="3"/>
  <c r="AZ490" i="3" s="1"/>
  <c r="BS5" i="3"/>
  <c r="AC5" i="3"/>
  <c r="G532" i="3"/>
  <c r="G503" i="3"/>
  <c r="C20" i="46"/>
  <c r="J41" i="40"/>
  <c r="H33" i="36"/>
  <c r="AB39" i="34"/>
  <c r="W23" i="35"/>
  <c r="G536" i="3"/>
  <c r="G533" i="3"/>
  <c r="F34" i="69"/>
  <c r="M20" i="69"/>
  <c r="F34" i="15"/>
  <c r="F61" i="15" s="1"/>
  <c r="AZ393" i="3"/>
  <c r="AZ451" i="3"/>
  <c r="AZ468" i="3"/>
  <c r="AZ400" i="3"/>
  <c r="AZ389" i="3"/>
  <c r="AZ424" i="3"/>
  <c r="AZ432" i="3"/>
  <c r="AZ447" i="3"/>
  <c r="AZ462" i="3"/>
  <c r="AZ470" i="3"/>
  <c r="AZ472" i="3"/>
  <c r="AZ478" i="3"/>
  <c r="AZ480" i="3"/>
  <c r="AZ368" i="3"/>
  <c r="AZ264" i="3"/>
  <c r="AZ291" i="3"/>
  <c r="AZ294" i="3"/>
  <c r="AZ145" i="3"/>
  <c r="AZ148" i="3"/>
  <c r="AZ92" i="3"/>
  <c r="B16" i="59"/>
  <c r="B15" i="59" s="1"/>
  <c r="B14" i="59" s="1"/>
  <c r="B13" i="59" s="1"/>
  <c r="S17" i="59"/>
  <c r="AB10" i="59"/>
  <c r="BL14" i="3"/>
  <c r="AZ14" i="3" s="1"/>
  <c r="BL392" i="3"/>
  <c r="BL394" i="3"/>
  <c r="AZ394" i="3" s="1"/>
  <c r="G396" i="3"/>
  <c r="BL398" i="3"/>
  <c r="BA401" i="3"/>
  <c r="AZ401" i="3" s="1"/>
  <c r="G404" i="3"/>
  <c r="BL406" i="3"/>
  <c r="AZ406" i="3" s="1"/>
  <c r="BL409" i="3"/>
  <c r="BL412" i="3"/>
  <c r="G414" i="3"/>
  <c r="BA416" i="3"/>
  <c r="AZ416" i="3" s="1"/>
  <c r="G419" i="3"/>
  <c r="BL421" i="3"/>
  <c r="AZ421" i="3" s="1"/>
  <c r="BA425" i="3"/>
  <c r="AZ425" i="3" s="1"/>
  <c r="BA427" i="3"/>
  <c r="AZ427" i="3" s="1"/>
  <c r="BL429" i="3"/>
  <c r="AZ429" i="3" s="1"/>
  <c r="BA434" i="3"/>
  <c r="AZ434" i="3" s="1"/>
  <c r="BL437" i="3"/>
  <c r="G440" i="3"/>
  <c r="BA442" i="3"/>
  <c r="AZ442" i="3" s="1"/>
  <c r="G445" i="3"/>
  <c r="BA448" i="3"/>
  <c r="AZ448" i="3" s="1"/>
  <c r="BA453" i="3"/>
  <c r="AZ453" i="3" s="1"/>
  <c r="BL457" i="3"/>
  <c r="G460" i="3"/>
  <c r="BL465" i="3"/>
  <c r="G468" i="3"/>
  <c r="AZ473" i="3"/>
  <c r="AZ476" i="3"/>
  <c r="AZ334" i="3"/>
  <c r="AZ384" i="3"/>
  <c r="AZ259" i="3"/>
  <c r="BA265" i="3"/>
  <c r="AZ265" i="3" s="1"/>
  <c r="AZ266" i="3"/>
  <c r="AZ275" i="3"/>
  <c r="AZ283" i="3"/>
  <c r="AZ198" i="3"/>
  <c r="AZ72" i="3"/>
  <c r="BA390" i="3"/>
  <c r="AZ390" i="3" s="1"/>
  <c r="BA392" i="3"/>
  <c r="AZ392" i="3" s="1"/>
  <c r="BL395" i="3"/>
  <c r="AZ395" i="3" s="1"/>
  <c r="BA398" i="3"/>
  <c r="AZ398" i="3" s="1"/>
  <c r="BL400" i="3"/>
  <c r="BL403" i="3"/>
  <c r="AZ403" i="3" s="1"/>
  <c r="BL413" i="3"/>
  <c r="AZ413" i="3" s="1"/>
  <c r="G416" i="3"/>
  <c r="BL418" i="3"/>
  <c r="BL423" i="3"/>
  <c r="AZ423" i="3" s="1"/>
  <c r="G425" i="3"/>
  <c r="BL431" i="3"/>
  <c r="AZ431" i="3" s="1"/>
  <c r="G433" i="3"/>
  <c r="BA435" i="3"/>
  <c r="AZ435" i="3" s="1"/>
  <c r="BA437" i="3"/>
  <c r="BL439" i="3"/>
  <c r="AZ439" i="3" s="1"/>
  <c r="BL441" i="3"/>
  <c r="AZ441" i="3" s="1"/>
  <c r="BL444" i="3"/>
  <c r="AZ444" i="3" s="1"/>
  <c r="BL446" i="3"/>
  <c r="AZ446" i="3" s="1"/>
  <c r="G448" i="3"/>
  <c r="BA450" i="3"/>
  <c r="AZ450" i="3" s="1"/>
  <c r="G453" i="3"/>
  <c r="BA455" i="3"/>
  <c r="AZ455" i="3" s="1"/>
  <c r="BA457" i="3"/>
  <c r="AZ457" i="3" s="1"/>
  <c r="BL459" i="3"/>
  <c r="AZ459" i="3" s="1"/>
  <c r="BL461" i="3"/>
  <c r="AZ461" i="3" s="1"/>
  <c r="G463" i="3"/>
  <c r="BA465" i="3"/>
  <c r="BL467" i="3"/>
  <c r="AZ467" i="3" s="1"/>
  <c r="BL469" i="3"/>
  <c r="AZ469" i="3" s="1"/>
  <c r="G471" i="3"/>
  <c r="BA276" i="3"/>
  <c r="AZ276" i="3" s="1"/>
  <c r="AZ120" i="3"/>
  <c r="AZ129" i="3"/>
  <c r="AZ29" i="3"/>
  <c r="AZ49" i="3"/>
  <c r="I21" i="57"/>
  <c r="D1" i="57" s="1"/>
  <c r="E10" i="57" s="1"/>
  <c r="D80" i="59"/>
  <c r="C79" i="59"/>
  <c r="D79" i="59" s="1"/>
  <c r="C59" i="59"/>
  <c r="D60" i="59"/>
  <c r="O60" i="59"/>
  <c r="V65" i="59"/>
  <c r="F64" i="59"/>
  <c r="F63" i="59" s="1"/>
  <c r="AB20" i="59"/>
  <c r="F21" i="59"/>
  <c r="AB21" i="59"/>
  <c r="AB17" i="59"/>
  <c r="AB3" i="59"/>
  <c r="AB18" i="59"/>
  <c r="AZ279" i="3"/>
  <c r="AZ149" i="3"/>
  <c r="AZ22" i="3"/>
  <c r="AZ60" i="3"/>
  <c r="C19" i="59"/>
  <c r="D19" i="59" s="1"/>
  <c r="D20" i="59"/>
  <c r="BA258" i="3"/>
  <c r="AZ258" i="3" s="1"/>
  <c r="BL268" i="3"/>
  <c r="AZ268" i="3" s="1"/>
  <c r="BL271" i="3"/>
  <c r="AZ271" i="3" s="1"/>
  <c r="BA282" i="3"/>
  <c r="AZ282" i="3" s="1"/>
  <c r="AZ287" i="3"/>
  <c r="BA288" i="3"/>
  <c r="AZ288" i="3" s="1"/>
  <c r="G291" i="3"/>
  <c r="BA292" i="3"/>
  <c r="AZ292" i="3" s="1"/>
  <c r="BA293" i="3"/>
  <c r="AZ293" i="3" s="1"/>
  <c r="BL117" i="3"/>
  <c r="AZ117" i="3" s="1"/>
  <c r="AZ125" i="3"/>
  <c r="BL129" i="3"/>
  <c r="AZ132" i="3"/>
  <c r="BA133" i="3"/>
  <c r="AZ133" i="3" s="1"/>
  <c r="BA136" i="3"/>
  <c r="AZ136" i="3" s="1"/>
  <c r="G142" i="3"/>
  <c r="G145" i="3"/>
  <c r="BL155" i="3"/>
  <c r="AZ155" i="3" s="1"/>
  <c r="BL156" i="3"/>
  <c r="AZ156" i="3" s="1"/>
  <c r="G157" i="3"/>
  <c r="BA159" i="3"/>
  <c r="AZ159" i="3" s="1"/>
  <c r="AZ172" i="3"/>
  <c r="BA189" i="3"/>
  <c r="AZ189" i="3" s="1"/>
  <c r="AZ38" i="3"/>
  <c r="AZ46" i="3"/>
  <c r="BL52" i="3"/>
  <c r="G54" i="3"/>
  <c r="BA59" i="3"/>
  <c r="AZ59" i="3" s="1"/>
  <c r="AZ61" i="3"/>
  <c r="AZ65" i="3"/>
  <c r="AZ67" i="3"/>
  <c r="BA77" i="3"/>
  <c r="AZ77" i="3" s="1"/>
  <c r="AZ85" i="3"/>
  <c r="AZ87" i="3"/>
  <c r="AZ93" i="3"/>
  <c r="BA97" i="3"/>
  <c r="BL108" i="3"/>
  <c r="BL110" i="3"/>
  <c r="AZ110" i="3" s="1"/>
  <c r="G112" i="3"/>
  <c r="K12" i="1"/>
  <c r="M12" i="1" s="1"/>
  <c r="Y23" i="59"/>
  <c r="Z23" i="59" s="1"/>
  <c r="AB7" i="59"/>
  <c r="BL257" i="3"/>
  <c r="AZ257" i="3" s="1"/>
  <c r="BA263" i="3"/>
  <c r="AZ263" i="3" s="1"/>
  <c r="G267" i="3"/>
  <c r="BA274" i="3"/>
  <c r="AZ274" i="3" s="1"/>
  <c r="G278" i="3"/>
  <c r="BL278" i="3"/>
  <c r="AZ278" i="3" s="1"/>
  <c r="BL279" i="3"/>
  <c r="G280" i="3"/>
  <c r="BL284" i="3"/>
  <c r="AZ284" i="3" s="1"/>
  <c r="G285" i="3"/>
  <c r="BA290" i="3"/>
  <c r="AZ290" i="3" s="1"/>
  <c r="BL295" i="3"/>
  <c r="AZ295" i="3" s="1"/>
  <c r="G296" i="3"/>
  <c r="G115" i="3"/>
  <c r="BL120" i="3"/>
  <c r="BL122" i="3"/>
  <c r="AZ122" i="3" s="1"/>
  <c r="G123" i="3"/>
  <c r="BA131" i="3"/>
  <c r="AZ131" i="3" s="1"/>
  <c r="BA140" i="3"/>
  <c r="AZ140" i="3" s="1"/>
  <c r="BA141" i="3"/>
  <c r="AZ141" i="3" s="1"/>
  <c r="BA144" i="3"/>
  <c r="AZ144" i="3" s="1"/>
  <c r="BA151" i="3"/>
  <c r="AZ151" i="3" s="1"/>
  <c r="BA158" i="3"/>
  <c r="AZ158" i="3" s="1"/>
  <c r="BL182" i="3"/>
  <c r="AZ182" i="3" s="1"/>
  <c r="G185" i="3"/>
  <c r="BL198" i="3"/>
  <c r="G201" i="3"/>
  <c r="G203" i="3"/>
  <c r="AZ30" i="3"/>
  <c r="BL35" i="3"/>
  <c r="AZ35" i="3" s="1"/>
  <c r="BA45" i="3"/>
  <c r="AZ45" i="3" s="1"/>
  <c r="BA50" i="3"/>
  <c r="AZ52" i="3"/>
  <c r="AZ108" i="3"/>
  <c r="C71" i="59"/>
  <c r="D71" i="59" s="1"/>
  <c r="D72" i="59"/>
  <c r="P58" i="59"/>
  <c r="P59" i="59"/>
  <c r="AA22" i="59"/>
  <c r="AA18" i="59"/>
  <c r="AA19" i="59"/>
  <c r="AA16" i="59"/>
  <c r="E23" i="59"/>
  <c r="E24" i="59" s="1"/>
  <c r="E25" i="59" s="1"/>
  <c r="U25" i="59" s="1"/>
  <c r="E27" i="59"/>
  <c r="E28" i="59" s="1"/>
  <c r="E29" i="59" s="1"/>
  <c r="U29" i="59" s="1"/>
  <c r="AA24" i="59"/>
  <c r="AA26" i="59"/>
  <c r="Y27" i="59"/>
  <c r="Z27" i="59" s="1"/>
  <c r="Y20" i="59"/>
  <c r="Z20" i="59" s="1"/>
  <c r="Y10" i="59"/>
  <c r="Z10" i="59" s="1"/>
  <c r="Y22" i="59"/>
  <c r="Z22" i="59" s="1"/>
  <c r="Y18" i="59"/>
  <c r="Z18" i="59" s="1"/>
  <c r="C32" i="59"/>
  <c r="D31" i="59"/>
  <c r="AI10" i="46"/>
  <c r="AI12" i="46"/>
  <c r="AC12" i="46"/>
  <c r="AC13" i="46" s="1"/>
  <c r="AC10" i="46"/>
  <c r="BL159" i="3"/>
  <c r="BA167" i="3"/>
  <c r="AZ167" i="3" s="1"/>
  <c r="BA168" i="3"/>
  <c r="AZ168" i="3" s="1"/>
  <c r="BA177" i="3"/>
  <c r="AZ177" i="3" s="1"/>
  <c r="BA181" i="3"/>
  <c r="AZ181" i="3" s="1"/>
  <c r="BL190" i="3"/>
  <c r="AZ190" i="3" s="1"/>
  <c r="G193" i="3"/>
  <c r="BA197" i="3"/>
  <c r="AZ197" i="3" s="1"/>
  <c r="BA202" i="3"/>
  <c r="AZ202" i="3" s="1"/>
  <c r="BL204" i="3"/>
  <c r="AZ204" i="3" s="1"/>
  <c r="G22" i="3"/>
  <c r="BA24" i="3"/>
  <c r="AZ24" i="3" s="1"/>
  <c r="BA27" i="3"/>
  <c r="AZ27" i="3" s="1"/>
  <c r="BA32" i="3"/>
  <c r="AZ32" i="3" s="1"/>
  <c r="BA36" i="3"/>
  <c r="AZ36" i="3" s="1"/>
  <c r="BA39" i="3"/>
  <c r="AZ39" i="3" s="1"/>
  <c r="BA41" i="3"/>
  <c r="AZ41" i="3" s="1"/>
  <c r="BL44" i="3"/>
  <c r="BA47" i="3"/>
  <c r="AZ47" i="3" s="1"/>
  <c r="BL49" i="3"/>
  <c r="G51" i="3"/>
  <c r="BA53" i="3"/>
  <c r="AZ53" i="3" s="1"/>
  <c r="BL62" i="3"/>
  <c r="G70" i="3"/>
  <c r="BL70" i="3"/>
  <c r="AZ70" i="3" s="1"/>
  <c r="BL73" i="3"/>
  <c r="AZ73" i="3" s="1"/>
  <c r="BL76" i="3"/>
  <c r="AZ76" i="3" s="1"/>
  <c r="BL77" i="3"/>
  <c r="G78" i="3"/>
  <c r="G83" i="3"/>
  <c r="G90" i="3"/>
  <c r="BL90" i="3"/>
  <c r="AZ90" i="3" s="1"/>
  <c r="BL93" i="3"/>
  <c r="BL96" i="3"/>
  <c r="AZ96" i="3" s="1"/>
  <c r="BL97" i="3"/>
  <c r="G98" i="3"/>
  <c r="G103" i="3"/>
  <c r="BL105" i="3"/>
  <c r="AZ105" i="3" s="1"/>
  <c r="BA109" i="3"/>
  <c r="AZ109" i="3" s="1"/>
  <c r="BA111" i="3"/>
  <c r="AZ111" i="3" s="1"/>
  <c r="S21" i="34"/>
  <c r="AA21" i="34"/>
  <c r="X19" i="59"/>
  <c r="X20" i="59"/>
  <c r="X21" i="59"/>
  <c r="AA30" i="59"/>
  <c r="Y17" i="59"/>
  <c r="Z17" i="59" s="1"/>
  <c r="X9" i="59"/>
  <c r="X10" i="59"/>
  <c r="X7" i="59"/>
  <c r="X3" i="59"/>
  <c r="X5" i="59"/>
  <c r="BL161" i="3"/>
  <c r="G162" i="3"/>
  <c r="BA166" i="3"/>
  <c r="AZ166" i="3" s="1"/>
  <c r="BA171" i="3"/>
  <c r="AZ171" i="3" s="1"/>
  <c r="BL176" i="3"/>
  <c r="AZ176" i="3" s="1"/>
  <c r="G179" i="3"/>
  <c r="BA183" i="3"/>
  <c r="AZ183" i="3" s="1"/>
  <c r="BA186" i="3"/>
  <c r="AZ186" i="3" s="1"/>
  <c r="BL192" i="3"/>
  <c r="AZ192" i="3" s="1"/>
  <c r="BL195" i="3"/>
  <c r="AZ195" i="3" s="1"/>
  <c r="BA199" i="3"/>
  <c r="AZ199" i="3" s="1"/>
  <c r="BL21" i="3"/>
  <c r="AZ21" i="3" s="1"/>
  <c r="BL23" i="3"/>
  <c r="AZ23" i="3" s="1"/>
  <c r="BL26" i="3"/>
  <c r="AZ26" i="3" s="1"/>
  <c r="BL29" i="3"/>
  <c r="G31" i="3"/>
  <c r="BA33" i="3"/>
  <c r="AZ33" i="3" s="1"/>
  <c r="G36" i="3"/>
  <c r="BL38" i="3"/>
  <c r="BA42" i="3"/>
  <c r="AZ42" i="3" s="1"/>
  <c r="BA44" i="3"/>
  <c r="BL50" i="3"/>
  <c r="BA54" i="3"/>
  <c r="AZ54" i="3" s="1"/>
  <c r="BA62" i="3"/>
  <c r="BL64" i="3"/>
  <c r="AZ64" i="3" s="1"/>
  <c r="G66" i="3"/>
  <c r="BA68" i="3"/>
  <c r="AZ68" i="3" s="1"/>
  <c r="BA69" i="3"/>
  <c r="AZ69" i="3" s="1"/>
  <c r="G72" i="3"/>
  <c r="G75" i="3"/>
  <c r="BL79" i="3"/>
  <c r="AZ79" i="3" s="1"/>
  <c r="G80" i="3"/>
  <c r="BL82" i="3"/>
  <c r="AZ82" i="3" s="1"/>
  <c r="BL84" i="3"/>
  <c r="AZ84" i="3" s="1"/>
  <c r="G86" i="3"/>
  <c r="BA88" i="3"/>
  <c r="AZ88" i="3" s="1"/>
  <c r="BA89" i="3"/>
  <c r="AZ89" i="3" s="1"/>
  <c r="G92" i="3"/>
  <c r="G95" i="3"/>
  <c r="BL99" i="3"/>
  <c r="AZ99" i="3" s="1"/>
  <c r="G100" i="3"/>
  <c r="BL102" i="3"/>
  <c r="AZ102" i="3" s="1"/>
  <c r="BL107" i="3"/>
  <c r="AZ107" i="3" s="1"/>
  <c r="G109" i="3"/>
  <c r="AA21" i="37"/>
  <c r="S21" i="37"/>
  <c r="Y30" i="59"/>
  <c r="Z30" i="59" s="1"/>
  <c r="Y31" i="59"/>
  <c r="Z31" i="59" s="1"/>
  <c r="B21" i="59"/>
  <c r="Y16" i="59"/>
  <c r="Z16" i="59" s="1"/>
  <c r="AA5" i="59"/>
  <c r="Y7" i="59"/>
  <c r="Z7" i="59" s="1"/>
  <c r="K1" i="43"/>
  <c r="G1" i="69"/>
  <c r="C42" i="1"/>
  <c r="J51" i="69"/>
  <c r="D76" i="59"/>
  <c r="C75" i="59"/>
  <c r="D75" i="59" s="1"/>
  <c r="AA27" i="59"/>
  <c r="C36" i="59"/>
  <c r="D35" i="59"/>
  <c r="C45" i="59"/>
  <c r="D44" i="59"/>
  <c r="D52" i="59"/>
  <c r="C53" i="59"/>
  <c r="N60" i="59"/>
  <c r="B59" i="59"/>
  <c r="A46" i="9"/>
  <c r="K41" i="9" s="1"/>
  <c r="K40" i="9"/>
  <c r="E15" i="59"/>
  <c r="E14" i="59" s="1"/>
  <c r="E13" i="59" s="1"/>
  <c r="X14" i="59"/>
  <c r="AA14" i="59"/>
  <c r="X11" i="59"/>
  <c r="AA11" i="59"/>
  <c r="D43" i="59"/>
  <c r="C23" i="59"/>
  <c r="Y21" i="59"/>
  <c r="Z21" i="59" s="1"/>
  <c r="Y19" i="59"/>
  <c r="Z19" i="59" s="1"/>
  <c r="Y25" i="59"/>
  <c r="Z25" i="59" s="1"/>
  <c r="C27" i="59"/>
  <c r="Y26" i="59"/>
  <c r="Z26" i="59" s="1"/>
  <c r="Q59" i="59"/>
  <c r="Q58" i="59"/>
  <c r="O61" i="59"/>
  <c r="D61" i="59"/>
  <c r="T73" i="59"/>
  <c r="D73" i="59"/>
  <c r="Y11" i="59"/>
  <c r="Z11" i="59" s="1"/>
  <c r="Y6" i="59"/>
  <c r="Z6" i="59" s="1"/>
  <c r="Y5" i="59"/>
  <c r="Z5" i="59" s="1"/>
  <c r="AB11" i="59"/>
  <c r="X22" i="59"/>
  <c r="AB22" i="59"/>
  <c r="F23" i="59"/>
  <c r="F24" i="59" s="1"/>
  <c r="F25" i="59" s="1"/>
  <c r="V25" i="59" s="1"/>
  <c r="E56" i="59"/>
  <c r="E57" i="59" s="1"/>
  <c r="U57" i="59" s="1"/>
  <c r="X18" i="59"/>
  <c r="AB19" i="59"/>
  <c r="X17" i="59"/>
  <c r="AB16" i="59"/>
  <c r="AA8" i="59"/>
  <c r="AA6" i="59"/>
  <c r="AA3" i="59"/>
  <c r="AA7" i="59"/>
  <c r="L16" i="4"/>
  <c r="X26" i="59"/>
  <c r="X30" i="59"/>
  <c r="AB30" i="59"/>
  <c r="E21" i="59"/>
  <c r="AA21" i="59"/>
  <c r="A28" i="64"/>
  <c r="X16" i="59"/>
  <c r="AB8" i="59"/>
  <c r="AB5" i="59"/>
  <c r="AB6" i="59"/>
  <c r="AA10" i="59"/>
  <c r="J51" i="15"/>
  <c r="X6" i="59"/>
  <c r="O7" i="1"/>
  <c r="P7" i="1" s="1"/>
  <c r="A30" i="51"/>
  <c r="B22" i="63" s="1"/>
  <c r="F64" i="35"/>
  <c r="G64" i="35" s="1"/>
  <c r="J14" i="35"/>
  <c r="AC14" i="35" s="1"/>
  <c r="H14" i="35"/>
  <c r="U31" i="35"/>
  <c r="H87" i="35"/>
  <c r="I87" i="35" s="1"/>
  <c r="J87" i="35" s="1"/>
  <c r="K87" i="35" s="1"/>
  <c r="L87" i="35" s="1"/>
  <c r="M87" i="35" s="1"/>
  <c r="H29" i="35"/>
  <c r="AB29" i="35" s="1"/>
  <c r="J29" i="35"/>
  <c r="AC29" i="35" s="1"/>
  <c r="F29" i="35"/>
  <c r="S29" i="35" s="1"/>
  <c r="AB10" i="35"/>
  <c r="AA26" i="35"/>
  <c r="S26" i="35"/>
  <c r="H26" i="35"/>
  <c r="J26" i="35"/>
  <c r="H20" i="35"/>
  <c r="F70" i="35"/>
  <c r="G70" i="35" s="1"/>
  <c r="J20" i="35"/>
  <c r="F20" i="35"/>
  <c r="H16" i="35"/>
  <c r="U16" i="35" s="1"/>
  <c r="F16" i="35"/>
  <c r="AA16" i="35" s="1"/>
  <c r="F66" i="35"/>
  <c r="G66" i="35" s="1"/>
  <c r="J16" i="35"/>
  <c r="F14" i="35"/>
  <c r="AA14" i="35" s="1"/>
  <c r="S18" i="35"/>
  <c r="AB16" i="35"/>
  <c r="S31" i="35"/>
  <c r="AB9" i="35"/>
  <c r="U9" i="35"/>
  <c r="S9" i="35"/>
  <c r="P75" i="15"/>
  <c r="F85" i="21"/>
  <c r="G85" i="21" s="1"/>
  <c r="J23" i="21"/>
  <c r="F23" i="21"/>
  <c r="AA23" i="21" s="1"/>
  <c r="H23" i="21"/>
  <c r="AB23" i="21" s="1"/>
  <c r="F81" i="21"/>
  <c r="G81" i="21" s="1"/>
  <c r="F19" i="21"/>
  <c r="AA19" i="21" s="1"/>
  <c r="J19" i="21"/>
  <c r="W19" i="21" s="1"/>
  <c r="H19" i="21"/>
  <c r="F17" i="21"/>
  <c r="S17" i="21" s="1"/>
  <c r="J17" i="21"/>
  <c r="AC17" i="21" s="1"/>
  <c r="F79" i="21"/>
  <c r="G79" i="21" s="1"/>
  <c r="H17" i="21"/>
  <c r="AB17" i="21" s="1"/>
  <c r="F77" i="21"/>
  <c r="G77" i="21" s="1"/>
  <c r="J15" i="21"/>
  <c r="W15" i="21" s="1"/>
  <c r="F15" i="21"/>
  <c r="S15" i="21" s="1"/>
  <c r="H15" i="21"/>
  <c r="U15" i="21" s="1"/>
  <c r="G123" i="21"/>
  <c r="H123" i="21" s="1"/>
  <c r="I123" i="21" s="1"/>
  <c r="J123" i="21" s="1"/>
  <c r="K123" i="21" s="1"/>
  <c r="L123" i="21" s="1"/>
  <c r="M123" i="21" s="1"/>
  <c r="F42" i="21"/>
  <c r="AA42" i="21" s="1"/>
  <c r="H42" i="21"/>
  <c r="J42" i="21"/>
  <c r="AC42" i="21" s="1"/>
  <c r="AC36" i="21"/>
  <c r="AB36" i="21"/>
  <c r="AA38" i="21"/>
  <c r="AB34" i="21"/>
  <c r="J37" i="21"/>
  <c r="H113" i="21"/>
  <c r="F37" i="21"/>
  <c r="H37" i="21"/>
  <c r="W32" i="21"/>
  <c r="AB16" i="39"/>
  <c r="W9" i="21"/>
  <c r="AA9" i="21"/>
  <c r="S8" i="21"/>
  <c r="W25" i="21"/>
  <c r="AB25" i="21"/>
  <c r="AB30" i="21"/>
  <c r="S21" i="21"/>
  <c r="S19" i="21"/>
  <c r="AA17" i="21"/>
  <c r="S10" i="21"/>
  <c r="U9" i="21"/>
  <c r="J23" i="39"/>
  <c r="AC23" i="39" s="1"/>
  <c r="AA44" i="39"/>
  <c r="AC44" i="39"/>
  <c r="AB44" i="39"/>
  <c r="W16" i="39"/>
  <c r="S15" i="39"/>
  <c r="AB15" i="39"/>
  <c r="W15" i="39"/>
  <c r="F126" i="39"/>
  <c r="G126" i="39" s="1"/>
  <c r="H126" i="39" s="1"/>
  <c r="I126" i="39" s="1"/>
  <c r="J126" i="39" s="1"/>
  <c r="K126" i="39" s="1"/>
  <c r="L126" i="39" s="1"/>
  <c r="M126" i="39" s="1"/>
  <c r="H43" i="39"/>
  <c r="J43" i="39"/>
  <c r="W43" i="39" s="1"/>
  <c r="F43" i="39"/>
  <c r="F122" i="39"/>
  <c r="G122" i="39" s="1"/>
  <c r="H122" i="39" s="1"/>
  <c r="I122" i="39" s="1"/>
  <c r="J122" i="39" s="1"/>
  <c r="K122" i="39" s="1"/>
  <c r="L122" i="39" s="1"/>
  <c r="M122" i="39" s="1"/>
  <c r="J41" i="39"/>
  <c r="AC41" i="39" s="1"/>
  <c r="H41" i="39"/>
  <c r="AB41" i="39" s="1"/>
  <c r="AC43" i="39"/>
  <c r="S41" i="39"/>
  <c r="W41" i="39"/>
  <c r="S31" i="39"/>
  <c r="AC31" i="39"/>
  <c r="H27" i="39"/>
  <c r="AB27" i="39" s="1"/>
  <c r="F101" i="39"/>
  <c r="G101" i="39" s="1"/>
  <c r="F27" i="39"/>
  <c r="AA27" i="39" s="1"/>
  <c r="J27" i="39"/>
  <c r="AC27" i="39" s="1"/>
  <c r="W27" i="39"/>
  <c r="S29" i="39"/>
  <c r="AB29" i="39"/>
  <c r="W29" i="39"/>
  <c r="H25" i="39"/>
  <c r="U25" i="39" s="1"/>
  <c r="F25" i="39"/>
  <c r="AA25" i="39" s="1"/>
  <c r="F99" i="39"/>
  <c r="G99" i="39" s="1"/>
  <c r="J25" i="39"/>
  <c r="AC25" i="39" s="1"/>
  <c r="AB25" i="39"/>
  <c r="U23" i="39"/>
  <c r="S23" i="39"/>
  <c r="AA21" i="39"/>
  <c r="AB21" i="39"/>
  <c r="F91" i="39"/>
  <c r="G91" i="39" s="1"/>
  <c r="F17" i="39"/>
  <c r="AA17" i="39" s="1"/>
  <c r="J17" i="39"/>
  <c r="W17" i="39" s="1"/>
  <c r="H17" i="39"/>
  <c r="U17" i="39" s="1"/>
  <c r="AC17" i="39"/>
  <c r="H13" i="39"/>
  <c r="F83" i="39"/>
  <c r="F13" i="39"/>
  <c r="S7" i="46"/>
  <c r="C23" i="46"/>
  <c r="AB11" i="46"/>
  <c r="AB13" i="46" s="1"/>
  <c r="AA11" i="46"/>
  <c r="AA13" i="46" s="1"/>
  <c r="E22" i="46"/>
  <c r="F22" i="46"/>
  <c r="J101" i="46"/>
  <c r="J102" i="46" s="1"/>
  <c r="AJ11" i="46"/>
  <c r="AJ13" i="46" s="1"/>
  <c r="M101" i="46"/>
  <c r="M107" i="46" s="1"/>
  <c r="D101" i="46"/>
  <c r="D109" i="46" s="1"/>
  <c r="S4" i="46"/>
  <c r="S2" i="46"/>
  <c r="S6" i="46"/>
  <c r="S3" i="46"/>
  <c r="G1" i="15"/>
  <c r="G1" i="44"/>
  <c r="G30" i="6"/>
  <c r="G31" i="6" s="1"/>
  <c r="J103" i="46"/>
  <c r="E29" i="6"/>
  <c r="K15" i="1" s="1"/>
  <c r="J107" i="46"/>
  <c r="H5" i="3"/>
  <c r="G13" i="3"/>
  <c r="C105" i="46"/>
  <c r="C107" i="46"/>
  <c r="D107" i="46"/>
  <c r="Y11" i="46"/>
  <c r="Y13" i="46" s="1"/>
  <c r="G22" i="46"/>
  <c r="F101" i="46"/>
  <c r="F106" i="46" s="1"/>
  <c r="I101" i="46"/>
  <c r="I104" i="46" s="1"/>
  <c r="N101" i="46"/>
  <c r="N107" i="46" s="1"/>
  <c r="AD11" i="46"/>
  <c r="AD13" i="46" s="1"/>
  <c r="G101" i="46"/>
  <c r="B113" i="46"/>
  <c r="L101" i="46"/>
  <c r="E101" i="46"/>
  <c r="K101" i="46"/>
  <c r="AG11" i="46"/>
  <c r="AG13" i="46" s="1"/>
  <c r="AH11" i="46"/>
  <c r="AH13" i="46" s="1"/>
  <c r="AI11" i="46"/>
  <c r="AE11" i="46"/>
  <c r="AE13" i="46" s="1"/>
  <c r="O11" i="1"/>
  <c r="P11" i="1" s="1"/>
  <c r="H105" i="46"/>
  <c r="C106" i="46"/>
  <c r="C103" i="46"/>
  <c r="C104" i="46"/>
  <c r="D106" i="46"/>
  <c r="H102" i="46"/>
  <c r="D103" i="46"/>
  <c r="J106" i="46"/>
  <c r="J105" i="46"/>
  <c r="J109" i="46"/>
  <c r="E14" i="6"/>
  <c r="M109" i="46"/>
  <c r="G6" i="1"/>
  <c r="G13" i="1"/>
  <c r="G12" i="1"/>
  <c r="K17" i="4"/>
  <c r="A22" i="51" s="1"/>
  <c r="B16" i="63" s="1"/>
  <c r="O40" i="9"/>
  <c r="R7" i="54" s="1"/>
  <c r="B52" i="63" s="1"/>
  <c r="C95" i="9"/>
  <c r="C92" i="9" s="1"/>
  <c r="C25" i="12"/>
  <c r="C31" i="43"/>
  <c r="C30" i="44"/>
  <c r="C27"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F31" i="15"/>
  <c r="F33" i="44"/>
  <c r="X8" i="59"/>
  <c r="Y8" i="59"/>
  <c r="Z8"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9" i="59"/>
  <c r="AA9" i="59"/>
  <c r="Y9" i="59"/>
  <c r="Z9" i="59" s="1"/>
  <c r="P22" i="46"/>
  <c r="P24" i="46"/>
  <c r="B68" i="40" s="1"/>
  <c r="P23" i="46"/>
  <c r="P25" i="46"/>
  <c r="B73" i="39" s="1"/>
  <c r="P21" i="46"/>
  <c r="J1" i="65"/>
  <c r="I1" i="65"/>
  <c r="C4" i="65"/>
  <c r="B39" i="1" s="1"/>
  <c r="I4" i="65"/>
  <c r="F40" i="15"/>
  <c r="F28" i="44"/>
  <c r="J17" i="44"/>
  <c r="F6" i="15"/>
  <c r="M24" i="15"/>
  <c r="L47" i="15"/>
  <c r="M30" i="44"/>
  <c r="M28" i="15"/>
  <c r="M11" i="44"/>
  <c r="J36" i="15"/>
  <c r="F9" i="44"/>
  <c r="I5" i="65"/>
  <c r="F15" i="44"/>
  <c r="M27" i="15"/>
  <c r="F9" i="15"/>
  <c r="M8" i="15"/>
  <c r="J4" i="65"/>
  <c r="J6" i="65"/>
  <c r="M9" i="15"/>
  <c r="M26" i="15"/>
  <c r="F37" i="15"/>
  <c r="F13" i="15"/>
  <c r="I7" i="65"/>
  <c r="L48" i="15"/>
  <c r="M23" i="15"/>
  <c r="F42" i="15"/>
  <c r="F26" i="15"/>
  <c r="F8" i="15"/>
  <c r="M26" i="44"/>
  <c r="J7" i="65"/>
  <c r="M22" i="15"/>
  <c r="C19" i="44"/>
  <c r="J15" i="15"/>
  <c r="F16" i="15"/>
  <c r="F36" i="15"/>
  <c r="M6" i="15"/>
  <c r="F38" i="15"/>
  <c r="E3" i="65"/>
  <c r="W14" i="35" l="1"/>
  <c r="AB32" i="21"/>
  <c r="W17" i="21"/>
  <c r="C5" i="46"/>
  <c r="D5" i="46"/>
  <c r="E20" i="46"/>
  <c r="P28" i="46" s="1"/>
  <c r="W29" i="35"/>
  <c r="K8" i="1"/>
  <c r="E9" i="12"/>
  <c r="M106" i="46"/>
  <c r="F107" i="46"/>
  <c r="H106" i="46"/>
  <c r="H107" i="46"/>
  <c r="AI13" i="46"/>
  <c r="D22" i="46"/>
  <c r="C21" i="46" s="1"/>
  <c r="W23" i="39"/>
  <c r="AA29" i="35"/>
  <c r="T53" i="59"/>
  <c r="D53" i="59"/>
  <c r="S21" i="59"/>
  <c r="B20" i="59"/>
  <c r="B19" i="59" s="1"/>
  <c r="AZ44" i="3"/>
  <c r="AZ50" i="3"/>
  <c r="B12" i="59"/>
  <c r="B11" i="59" s="1"/>
  <c r="B10" i="59" s="1"/>
  <c r="B9" i="59" s="1"/>
  <c r="S13" i="59"/>
  <c r="W41" i="40"/>
  <c r="AC41" i="40"/>
  <c r="AB42" i="39"/>
  <c r="U42" i="39"/>
  <c r="U36" i="35"/>
  <c r="AB36" i="35"/>
  <c r="G35" i="9"/>
  <c r="C43" i="9" s="1"/>
  <c r="K47" i="9" s="1"/>
  <c r="A14" i="55" s="1"/>
  <c r="B65" i="63" s="1"/>
  <c r="AC14" i="21"/>
  <c r="W14" i="21"/>
  <c r="AC47" i="34"/>
  <c r="W47" i="34"/>
  <c r="BA5" i="3"/>
  <c r="AZ13" i="3"/>
  <c r="AZ5" i="3" s="1"/>
  <c r="E3" i="6" s="1"/>
  <c r="AZ560" i="3"/>
  <c r="S23" i="36"/>
  <c r="AA23" i="36"/>
  <c r="W29" i="33"/>
  <c r="AC29" i="33"/>
  <c r="S30" i="33"/>
  <c r="AA30" i="33"/>
  <c r="AA32" i="36"/>
  <c r="S32" i="36"/>
  <c r="D10" i="59"/>
  <c r="C9" i="59"/>
  <c r="F11" i="21"/>
  <c r="J11" i="21"/>
  <c r="H11" i="21"/>
  <c r="U9" i="34"/>
  <c r="AB9" i="34"/>
  <c r="AC12" i="21"/>
  <c r="W12" i="21"/>
  <c r="S28" i="33"/>
  <c r="AA28" i="33"/>
  <c r="AB37" i="39"/>
  <c r="U37" i="39"/>
  <c r="AB33" i="40"/>
  <c r="U33" i="40"/>
  <c r="S12" i="33"/>
  <c r="AA12" i="33"/>
  <c r="AB13" i="36"/>
  <c r="U13" i="36"/>
  <c r="M102" i="46"/>
  <c r="E10" i="6"/>
  <c r="F27" i="6"/>
  <c r="E27" i="6" s="1"/>
  <c r="H109" i="46"/>
  <c r="M104" i="46"/>
  <c r="H104" i="46"/>
  <c r="S42" i="21"/>
  <c r="U29" i="35"/>
  <c r="U21" i="59"/>
  <c r="E20" i="59"/>
  <c r="E19" i="59" s="1"/>
  <c r="C28" i="59"/>
  <c r="D27" i="59"/>
  <c r="C24" i="59"/>
  <c r="D23" i="59"/>
  <c r="C37" i="59"/>
  <c r="D36" i="59"/>
  <c r="AZ62" i="3"/>
  <c r="O59" i="59"/>
  <c r="D59" i="59"/>
  <c r="O58" i="59"/>
  <c r="AZ465" i="3"/>
  <c r="AC9" i="34"/>
  <c r="W9" i="34"/>
  <c r="U12" i="33"/>
  <c r="AB12" i="33"/>
  <c r="U28" i="33"/>
  <c r="AB28" i="33"/>
  <c r="S36" i="35"/>
  <c r="AA36" i="35"/>
  <c r="AB16" i="40"/>
  <c r="U16" i="40"/>
  <c r="AB12" i="21"/>
  <c r="U12" i="21"/>
  <c r="AA12" i="36"/>
  <c r="S12" i="36"/>
  <c r="AC30" i="21"/>
  <c r="W30" i="21"/>
  <c r="AA44" i="33"/>
  <c r="S44" i="33"/>
  <c r="AA11" i="35"/>
  <c r="S11" i="35"/>
  <c r="AC31" i="34"/>
  <c r="W31" i="34"/>
  <c r="U25" i="37"/>
  <c r="AB25" i="37"/>
  <c r="W30" i="33"/>
  <c r="AC30" i="33"/>
  <c r="BL5" i="3"/>
  <c r="E32" i="6"/>
  <c r="L20" i="6" s="1"/>
  <c r="C9" i="12"/>
  <c r="K6" i="1"/>
  <c r="D3" i="21"/>
  <c r="E12" i="59"/>
  <c r="E11" i="59" s="1"/>
  <c r="E10" i="59" s="1"/>
  <c r="E9" i="59" s="1"/>
  <c r="U13" i="59"/>
  <c r="T45" i="59"/>
  <c r="D45" i="59"/>
  <c r="F20" i="59"/>
  <c r="F19" i="59" s="1"/>
  <c r="V21" i="59"/>
  <c r="U33" i="36"/>
  <c r="AB33" i="36"/>
  <c r="AC42" i="39"/>
  <c r="W42" i="39"/>
  <c r="AB12" i="36"/>
  <c r="U12" i="36"/>
  <c r="S30" i="21"/>
  <c r="AA30" i="21"/>
  <c r="AA16" i="39"/>
  <c r="S16" i="39"/>
  <c r="AA33" i="40"/>
  <c r="S33" i="40"/>
  <c r="AB14" i="40"/>
  <c r="U14" i="40"/>
  <c r="W32" i="36"/>
  <c r="AC32" i="36"/>
  <c r="F30" i="6"/>
  <c r="E28" i="6"/>
  <c r="J7" i="21"/>
  <c r="M103" i="46"/>
  <c r="M105" i="46"/>
  <c r="J104" i="46"/>
  <c r="E58" i="39"/>
  <c r="S25" i="39"/>
  <c r="U27" i="39"/>
  <c r="S23" i="21"/>
  <c r="AA15" i="21"/>
  <c r="AB15" i="21"/>
  <c r="N59" i="59"/>
  <c r="N58" i="59"/>
  <c r="C33" i="59"/>
  <c r="D32" i="59"/>
  <c r="O12" i="1"/>
  <c r="P12" i="1" s="1"/>
  <c r="AZ97" i="3"/>
  <c r="AZ437" i="3"/>
  <c r="F61" i="69"/>
  <c r="AA42" i="39"/>
  <c r="S42" i="39"/>
  <c r="AC23" i="36"/>
  <c r="W23" i="36"/>
  <c r="S9" i="34"/>
  <c r="AA9" i="34"/>
  <c r="AB9" i="33"/>
  <c r="U9" i="33"/>
  <c r="E15" i="6"/>
  <c r="E11" i="6"/>
  <c r="E5" i="6"/>
  <c r="E12" i="6"/>
  <c r="AA16" i="40"/>
  <c r="S16" i="40"/>
  <c r="S12" i="21"/>
  <c r="AA12" i="21"/>
  <c r="AA46" i="21"/>
  <c r="S46" i="21"/>
  <c r="U46" i="21"/>
  <c r="AB46" i="21"/>
  <c r="U25" i="35"/>
  <c r="AB25" i="35"/>
  <c r="D3" i="35"/>
  <c r="F9" i="12"/>
  <c r="K9" i="1"/>
  <c r="M9" i="1" s="1"/>
  <c r="AZ533" i="3"/>
  <c r="U32" i="36"/>
  <c r="AB32" i="36"/>
  <c r="B20" i="31"/>
  <c r="R22" i="31"/>
  <c r="B21" i="31" s="1"/>
  <c r="AC14" i="40"/>
  <c r="W14" i="40"/>
  <c r="C28" i="69"/>
  <c r="W25" i="37"/>
  <c r="AC25" i="37"/>
  <c r="AB30" i="33"/>
  <c r="U30" i="33"/>
  <c r="S17" i="39"/>
  <c r="U14" i="35"/>
  <c r="AB14" i="35"/>
  <c r="W26" i="35"/>
  <c r="AC26" i="35"/>
  <c r="U26" i="35"/>
  <c r="AB26" i="35"/>
  <c r="S20" i="35"/>
  <c r="AA20" i="35"/>
  <c r="AC20" i="35"/>
  <c r="W20" i="35"/>
  <c r="AB20" i="35"/>
  <c r="U20" i="35"/>
  <c r="W16" i="35"/>
  <c r="AC16" i="35"/>
  <c r="S16" i="35"/>
  <c r="S14" i="35"/>
  <c r="F11" i="69"/>
  <c r="M11" i="69"/>
  <c r="J10" i="69" s="1"/>
  <c r="W23" i="21"/>
  <c r="AC23" i="21"/>
  <c r="U23" i="21"/>
  <c r="AC19" i="21"/>
  <c r="AB19" i="21"/>
  <c r="U19" i="21"/>
  <c r="U17" i="21"/>
  <c r="AC15" i="21"/>
  <c r="W42" i="21"/>
  <c r="AB42" i="21"/>
  <c r="U42" i="21"/>
  <c r="U37" i="21"/>
  <c r="AB37" i="21"/>
  <c r="S37" i="21"/>
  <c r="AA37" i="21"/>
  <c r="W37" i="21"/>
  <c r="AC37" i="21"/>
  <c r="AA43" i="39"/>
  <c r="S43" i="39"/>
  <c r="AB43" i="39"/>
  <c r="U43" i="39"/>
  <c r="U41" i="39"/>
  <c r="S27" i="39"/>
  <c r="W25" i="39"/>
  <c r="AB17" i="39"/>
  <c r="G83" i="39"/>
  <c r="H83" i="39" s="1"/>
  <c r="I83" i="39" s="1"/>
  <c r="J83" i="39" s="1"/>
  <c r="K83" i="39" s="1"/>
  <c r="L83" i="39" s="1"/>
  <c r="M83" i="39" s="1"/>
  <c r="J13" i="39"/>
  <c r="AA13" i="39"/>
  <c r="S13" i="39"/>
  <c r="AB13" i="39"/>
  <c r="U13" i="39"/>
  <c r="D105" i="46"/>
  <c r="D104" i="46"/>
  <c r="D102" i="46"/>
  <c r="L19" i="6"/>
  <c r="N105" i="46"/>
  <c r="J53" i="15"/>
  <c r="F1" i="15" s="1"/>
  <c r="I54" i="15"/>
  <c r="J57" i="15"/>
  <c r="J55" i="15" s="1"/>
  <c r="J58" i="15" s="1"/>
  <c r="Q51" i="15" s="1"/>
  <c r="L56" i="15"/>
  <c r="F67" i="15"/>
  <c r="F50" i="15"/>
  <c r="L59" i="15"/>
  <c r="Q62" i="15" s="1"/>
  <c r="L58" i="15"/>
  <c r="Q61" i="15" s="1"/>
  <c r="F65" i="15"/>
  <c r="F63" i="15"/>
  <c r="C27" i="15"/>
  <c r="F64" i="15"/>
  <c r="Q72" i="15"/>
  <c r="M9" i="44"/>
  <c r="C29" i="44"/>
  <c r="I105" i="46"/>
  <c r="I106" i="46"/>
  <c r="N109" i="46"/>
  <c r="N106" i="46"/>
  <c r="F105" i="46"/>
  <c r="I109" i="46"/>
  <c r="I102" i="46"/>
  <c r="G5" i="3"/>
  <c r="B3" i="3" s="1"/>
  <c r="C33" i="21" s="1"/>
  <c r="N103" i="46"/>
  <c r="N104" i="46"/>
  <c r="F31" i="6"/>
  <c r="N102" i="46"/>
  <c r="F104" i="46"/>
  <c r="K107" i="46"/>
  <c r="K102" i="46"/>
  <c r="K104" i="46"/>
  <c r="K103" i="46"/>
  <c r="K105" i="46"/>
  <c r="K106" i="46"/>
  <c r="K109" i="46"/>
  <c r="L102" i="46"/>
  <c r="L104" i="46"/>
  <c r="L109" i="46"/>
  <c r="L107" i="46"/>
  <c r="L105" i="46"/>
  <c r="L106" i="46"/>
  <c r="L103" i="46"/>
  <c r="G106" i="46"/>
  <c r="G104" i="46"/>
  <c r="G103" i="46"/>
  <c r="G105" i="46"/>
  <c r="G109" i="46"/>
  <c r="G102" i="46"/>
  <c r="G107" i="46"/>
  <c r="F103" i="46"/>
  <c r="F109" i="46"/>
  <c r="F102" i="46"/>
  <c r="E104" i="46"/>
  <c r="E105" i="46"/>
  <c r="E102" i="46"/>
  <c r="E103" i="46"/>
  <c r="E106"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I115" i="46"/>
  <c r="J115" i="46" s="1"/>
  <c r="K115" i="46" s="1"/>
  <c r="L115" i="46" s="1"/>
  <c r="M115" i="46" s="1"/>
  <c r="B116" i="46"/>
  <c r="C116" i="46" s="1"/>
  <c r="I117" i="46"/>
  <c r="J117" i="46" s="1"/>
  <c r="K117" i="46" s="1"/>
  <c r="L117" i="46" s="1"/>
  <c r="M117" i="46" s="1"/>
  <c r="B115" i="46"/>
  <c r="D118" i="46"/>
  <c r="E118" i="46" s="1"/>
  <c r="F118" i="46" s="1"/>
  <c r="B117" i="46"/>
  <c r="C117" i="46" s="1"/>
  <c r="I107" i="46"/>
  <c r="I103" i="46"/>
  <c r="G16" i="1"/>
  <c r="H12" i="39" s="1"/>
  <c r="AB12" i="39" s="1"/>
  <c r="K20" i="6"/>
  <c r="K26" i="6"/>
  <c r="M26" i="6" s="1"/>
  <c r="I26" i="6" s="1"/>
  <c r="S26" i="6" s="1"/>
  <c r="K22" i="6"/>
  <c r="K23" i="6"/>
  <c r="M23" i="6" s="1"/>
  <c r="I23" i="6" s="1"/>
  <c r="S23" i="6" s="1"/>
  <c r="K21" i="6"/>
  <c r="K19" i="6"/>
  <c r="K24" i="6"/>
  <c r="M24" i="6" s="1"/>
  <c r="I24" i="6" s="1"/>
  <c r="S24" i="6" s="1"/>
  <c r="K25" i="6"/>
  <c r="M25" i="6" s="1"/>
  <c r="I25" i="6" s="1"/>
  <c r="S25" i="6" s="1"/>
  <c r="E60" i="40"/>
  <c r="E65" i="39"/>
  <c r="E16" i="6"/>
  <c r="E61" i="40"/>
  <c r="E66" i="39"/>
  <c r="J7" i="34"/>
  <c r="W7" i="34" s="1"/>
  <c r="H7" i="21"/>
  <c r="U7" i="21" s="1"/>
  <c r="F7" i="21"/>
  <c r="AA7" i="21" s="1"/>
  <c r="H7" i="35"/>
  <c r="U7" i="35" s="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M19" i="44"/>
  <c r="C19" i="46"/>
  <c r="F17" i="11"/>
  <c r="C17" i="11" s="1"/>
  <c r="C19" i="11" s="1"/>
  <c r="M13" i="44"/>
  <c r="J12" i="44" s="1"/>
  <c r="F11" i="15"/>
  <c r="M11" i="15"/>
  <c r="J10" i="15" s="1"/>
  <c r="F13" i="44"/>
  <c r="C12" i="44" s="1"/>
  <c r="M28" i="46"/>
  <c r="E2" i="65"/>
  <c r="F40" i="44"/>
  <c r="M6" i="69"/>
  <c r="F46" i="44"/>
  <c r="F18" i="44"/>
  <c r="J36" i="69"/>
  <c r="M28" i="44"/>
  <c r="F43" i="15"/>
  <c r="M24" i="44"/>
  <c r="F37" i="44"/>
  <c r="F16" i="69"/>
  <c r="M27" i="69"/>
  <c r="M8" i="44"/>
  <c r="F13" i="69"/>
  <c r="M25" i="44"/>
  <c r="F8" i="69"/>
  <c r="AE8" i="1"/>
  <c r="M23" i="44"/>
  <c r="M9" i="69"/>
  <c r="F10" i="44"/>
  <c r="F7" i="15"/>
  <c r="F8" i="44"/>
  <c r="F43" i="44"/>
  <c r="F42" i="69"/>
  <c r="F6" i="69"/>
  <c r="F43" i="69"/>
  <c r="F26" i="69"/>
  <c r="F38" i="44"/>
  <c r="M10" i="44"/>
  <c r="M22" i="69"/>
  <c r="M23" i="69"/>
  <c r="F38" i="69"/>
  <c r="F37" i="69"/>
  <c r="F40" i="69"/>
  <c r="F11" i="44"/>
  <c r="F36" i="69"/>
  <c r="F45" i="44"/>
  <c r="F7" i="69"/>
  <c r="M29" i="44"/>
  <c r="L48" i="44"/>
  <c r="F9" i="69"/>
  <c r="M29" i="69"/>
  <c r="M29" i="15"/>
  <c r="M24" i="69"/>
  <c r="L49" i="44"/>
  <c r="M28" i="69"/>
  <c r="L47" i="69"/>
  <c r="F39" i="44"/>
  <c r="M8" i="69"/>
  <c r="L48" i="69"/>
  <c r="J15" i="69"/>
  <c r="M31" i="44"/>
  <c r="M26" i="69"/>
  <c r="B40" i="1" l="1"/>
  <c r="F24" i="69" s="1"/>
  <c r="C34" i="46"/>
  <c r="N28" i="46"/>
  <c r="O28" i="46"/>
  <c r="C27" i="69"/>
  <c r="F65" i="69"/>
  <c r="L59" i="69"/>
  <c r="L58" i="69"/>
  <c r="Q73" i="44"/>
  <c r="L60" i="44"/>
  <c r="Q63" i="44" s="1"/>
  <c r="L59" i="44"/>
  <c r="Q75" i="44" s="1"/>
  <c r="J22" i="44"/>
  <c r="F70" i="69"/>
  <c r="Q72" i="69"/>
  <c r="C8" i="44"/>
  <c r="C34" i="44" s="1"/>
  <c r="I55" i="44"/>
  <c r="J54" i="44"/>
  <c r="F1" i="44" s="1"/>
  <c r="L57" i="44"/>
  <c r="J58" i="44"/>
  <c r="J56" i="44" s="1"/>
  <c r="J59" i="44" s="1"/>
  <c r="Q52" i="44" s="1"/>
  <c r="J60" i="44"/>
  <c r="J61" i="44"/>
  <c r="Q50" i="44" s="1"/>
  <c r="C36" i="44"/>
  <c r="F67" i="69"/>
  <c r="F50" i="69"/>
  <c r="M7" i="69"/>
  <c r="J6" i="69" s="1"/>
  <c r="F49" i="69"/>
  <c r="C6" i="69"/>
  <c r="C10" i="69" s="1"/>
  <c r="C5" i="69" s="1"/>
  <c r="J53" i="69"/>
  <c r="L56" i="69"/>
  <c r="L60" i="69"/>
  <c r="J57" i="69"/>
  <c r="J55" i="69" s="1"/>
  <c r="J58" i="69" s="1"/>
  <c r="Q51" i="69" s="1"/>
  <c r="J60" i="69"/>
  <c r="Q49" i="69" s="1"/>
  <c r="J59" i="69"/>
  <c r="C6" i="15"/>
  <c r="C32" i="15" s="1"/>
  <c r="M7" i="15"/>
  <c r="M17" i="15" s="1"/>
  <c r="F49" i="15"/>
  <c r="F58" i="15" s="1"/>
  <c r="F70" i="15"/>
  <c r="F63" i="69"/>
  <c r="F64" i="69"/>
  <c r="L27" i="6"/>
  <c r="D24" i="59"/>
  <c r="C25" i="59"/>
  <c r="S11" i="21"/>
  <c r="AA11" i="21"/>
  <c r="S7" i="21"/>
  <c r="J8" i="44"/>
  <c r="J20" i="44" s="1"/>
  <c r="E63" i="39"/>
  <c r="E58" i="40"/>
  <c r="K14" i="1"/>
  <c r="M14" i="1" s="1"/>
  <c r="O14" i="1" s="1"/>
  <c r="P14" i="1" s="1"/>
  <c r="E30" i="6"/>
  <c r="E31" i="6" s="1"/>
  <c r="C8" i="59"/>
  <c r="T9" i="59"/>
  <c r="D9" i="59"/>
  <c r="D12" i="11"/>
  <c r="C12" i="11" s="1"/>
  <c r="D21" i="12"/>
  <c r="C21" i="12" s="1"/>
  <c r="E8" i="59"/>
  <c r="E7" i="59" s="1"/>
  <c r="E6" i="59" s="1"/>
  <c r="E5" i="59" s="1"/>
  <c r="U5" i="59" s="1"/>
  <c r="U9" i="59"/>
  <c r="E6" i="6"/>
  <c r="D16" i="12"/>
  <c r="L38" i="9"/>
  <c r="B14" i="66" s="1"/>
  <c r="B1" i="66" s="1"/>
  <c r="C7" i="66" s="1"/>
  <c r="C21" i="4"/>
  <c r="O5" i="54" s="1"/>
  <c r="B45" i="63" s="1"/>
  <c r="D45" i="9"/>
  <c r="D16" i="43"/>
  <c r="C16" i="43" s="1"/>
  <c r="F33" i="21"/>
  <c r="J33" i="21"/>
  <c r="H33" i="21"/>
  <c r="O9" i="1"/>
  <c r="P9" i="1" s="1"/>
  <c r="E67" i="39"/>
  <c r="E62" i="40"/>
  <c r="T33" i="59"/>
  <c r="D33" i="59"/>
  <c r="Q16" i="1"/>
  <c r="M6" i="1"/>
  <c r="H16" i="1"/>
  <c r="AP16" i="1"/>
  <c r="F22" i="11" s="1"/>
  <c r="D37" i="59"/>
  <c r="T37" i="59"/>
  <c r="C29" i="59"/>
  <c r="D28" i="59"/>
  <c r="U11" i="21"/>
  <c r="AB11" i="21"/>
  <c r="B8" i="59"/>
  <c r="B7" i="59" s="1"/>
  <c r="B6" i="59" s="1"/>
  <c r="B5" i="59" s="1"/>
  <c r="S5" i="59" s="1"/>
  <c r="S9" i="59"/>
  <c r="E323" i="3"/>
  <c r="E59" i="40"/>
  <c r="E64" i="39"/>
  <c r="W11" i="21"/>
  <c r="AC11" i="21"/>
  <c r="K16" i="1"/>
  <c r="M8" i="1"/>
  <c r="AB7" i="35"/>
  <c r="T38" i="35" s="1"/>
  <c r="G38" i="35" s="1"/>
  <c r="G42" i="35" s="1"/>
  <c r="H42" i="35" s="1"/>
  <c r="C24" i="69"/>
  <c r="C52" i="69"/>
  <c r="AB7" i="21"/>
  <c r="AC13" i="39"/>
  <c r="W13" i="39"/>
  <c r="Q74" i="15"/>
  <c r="K27" i="6"/>
  <c r="S6" i="1"/>
  <c r="Q53" i="15"/>
  <c r="M21" i="6"/>
  <c r="I21" i="6" s="1"/>
  <c r="S21" i="6" s="1"/>
  <c r="S8" i="1"/>
  <c r="M22" i="6"/>
  <c r="I22" i="6" s="1"/>
  <c r="S22" i="6" s="1"/>
  <c r="S9" i="1"/>
  <c r="M20" i="6"/>
  <c r="I20" i="6" s="1"/>
  <c r="S20" i="6" s="1"/>
  <c r="S7" i="1"/>
  <c r="Q75" i="15"/>
  <c r="E13" i="3"/>
  <c r="AT6" i="3"/>
  <c r="E349" i="3"/>
  <c r="E504" i="3"/>
  <c r="E382" i="3"/>
  <c r="E164" i="3"/>
  <c r="E264" i="3"/>
  <c r="E209" i="3"/>
  <c r="E287" i="3"/>
  <c r="M19" i="6"/>
  <c r="I19" i="6" s="1"/>
  <c r="E137" i="3"/>
  <c r="V6" i="3"/>
  <c r="E68" i="3"/>
  <c r="E385" i="3"/>
  <c r="E549" i="3"/>
  <c r="E406" i="3"/>
  <c r="E470" i="3"/>
  <c r="E342" i="3"/>
  <c r="E303" i="3"/>
  <c r="E510" i="3"/>
  <c r="E246" i="3"/>
  <c r="E455" i="3"/>
  <c r="E528" i="3"/>
  <c r="E301" i="3"/>
  <c r="E351" i="3"/>
  <c r="E386" i="3"/>
  <c r="E37" i="3"/>
  <c r="E262" i="3"/>
  <c r="E147" i="3"/>
  <c r="E498" i="3"/>
  <c r="E99" i="3"/>
  <c r="E135" i="3"/>
  <c r="E227" i="3"/>
  <c r="E95" i="3"/>
  <c r="E369" i="3"/>
  <c r="I3" i="6"/>
  <c r="E419" i="3"/>
  <c r="E486" i="3"/>
  <c r="E292" i="3"/>
  <c r="E311" i="3"/>
  <c r="E439" i="3"/>
  <c r="E356" i="3"/>
  <c r="E244" i="3"/>
  <c r="E368" i="3"/>
  <c r="E361" i="3"/>
  <c r="E180" i="3"/>
  <c r="AG6" i="3"/>
  <c r="E67" i="3"/>
  <c r="E178" i="3"/>
  <c r="E297" i="3"/>
  <c r="E424" i="3"/>
  <c r="E117" i="3"/>
  <c r="E484" i="3"/>
  <c r="AL6" i="3"/>
  <c r="E188" i="3"/>
  <c r="E101" i="3"/>
  <c r="E263" i="3"/>
  <c r="E459" i="3"/>
  <c r="E481" i="3"/>
  <c r="E71" i="3"/>
  <c r="E572" i="3"/>
  <c r="E315" i="3"/>
  <c r="E551" i="3"/>
  <c r="E505" i="3"/>
  <c r="E214" i="3"/>
  <c r="E48" i="3"/>
  <c r="E59" i="3"/>
  <c r="H12" i="40"/>
  <c r="AB12" i="40" s="1"/>
  <c r="E82" i="3"/>
  <c r="E186" i="3"/>
  <c r="E231" i="3"/>
  <c r="E22" i="3"/>
  <c r="E86" i="3"/>
  <c r="E326" i="3"/>
  <c r="E240" i="3"/>
  <c r="E488" i="3"/>
  <c r="E516" i="3"/>
  <c r="E522" i="3"/>
  <c r="E364" i="3"/>
  <c r="E298" i="3"/>
  <c r="E16" i="3"/>
  <c r="E306" i="3"/>
  <c r="E302" i="3"/>
  <c r="E105" i="3"/>
  <c r="E543" i="3"/>
  <c r="E467" i="3"/>
  <c r="E533" i="3"/>
  <c r="E60" i="3"/>
  <c r="E14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50" i="3"/>
  <c r="E471" i="3"/>
  <c r="E408" i="3"/>
  <c r="E238" i="3"/>
  <c r="E44" i="3"/>
  <c r="E36" i="3"/>
  <c r="E237" i="3"/>
  <c r="E428" i="3"/>
  <c r="E100" i="3"/>
  <c r="E374"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283" i="3"/>
  <c r="E156" i="3"/>
  <c r="E49" i="3"/>
  <c r="E193" i="3"/>
  <c r="E104" i="3"/>
  <c r="E534" i="3"/>
  <c r="E387" i="3"/>
  <c r="R6" i="3"/>
  <c r="E125" i="3"/>
  <c r="AH6" i="3"/>
  <c r="P6" i="3"/>
  <c r="E84" i="3"/>
  <c r="AP6" i="3"/>
  <c r="E431" i="3"/>
  <c r="E70" i="3"/>
  <c r="E38" i="3"/>
  <c r="E151" i="3"/>
  <c r="E313" i="3"/>
  <c r="E53" i="3"/>
  <c r="E405" i="3"/>
  <c r="E411" i="3"/>
  <c r="E418" i="3"/>
  <c r="E414" i="3"/>
  <c r="E131" i="3"/>
  <c r="E165" i="3"/>
  <c r="E30" i="3"/>
  <c r="E367" i="3"/>
  <c r="E80" i="3"/>
  <c r="E141" i="3"/>
  <c r="E34" i="3"/>
  <c r="E550" i="3"/>
  <c r="E136" i="3"/>
  <c r="E85" i="3"/>
  <c r="E332" i="3"/>
  <c r="E139" i="3"/>
  <c r="E445" i="3"/>
  <c r="E556" i="3"/>
  <c r="E291" i="3"/>
  <c r="E527" i="3"/>
  <c r="E365" i="3"/>
  <c r="E248" i="3"/>
  <c r="E33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395" i="3"/>
  <c r="E270" i="3"/>
  <c r="E161" i="3"/>
  <c r="E295" i="3"/>
  <c r="E201" i="3"/>
  <c r="E274" i="3"/>
  <c r="E547" i="3"/>
  <c r="E33" i="3"/>
  <c r="E119" i="3"/>
  <c r="E97"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35" i="3"/>
  <c r="E483" i="3"/>
  <c r="E366" i="3"/>
  <c r="E532" i="3"/>
  <c r="E330" i="3"/>
  <c r="E340" i="3"/>
  <c r="E350" i="3"/>
  <c r="E521" i="3"/>
  <c r="E496" i="3"/>
  <c r="E130" i="3"/>
  <c r="E352" i="3"/>
  <c r="E461" i="3"/>
  <c r="E138" i="3"/>
  <c r="E328" i="3"/>
  <c r="E519" i="3"/>
  <c r="E155" i="3"/>
  <c r="E252" i="3"/>
  <c r="E346" i="3"/>
  <c r="E544" i="3"/>
  <c r="E541" i="3"/>
  <c r="E523" i="3"/>
  <c r="E557" i="3"/>
  <c r="AO6" i="3"/>
  <c r="E475" i="3"/>
  <c r="E421" i="3"/>
  <c r="E206" i="3"/>
  <c r="E132" i="3"/>
  <c r="E333" i="3"/>
  <c r="E91" i="3"/>
  <c r="E115" i="3"/>
  <c r="E359" i="3"/>
  <c r="E195" i="3"/>
  <c r="E391" i="3"/>
  <c r="E321" i="3"/>
  <c r="E127" i="3"/>
  <c r="E266" i="3"/>
  <c r="E215" i="3"/>
  <c r="I6" i="3"/>
  <c r="E548" i="3"/>
  <c r="Z6" i="3"/>
  <c r="E454" i="3"/>
  <c r="E520" i="3"/>
  <c r="AK6" i="3"/>
  <c r="E535" i="3"/>
  <c r="E427" i="3"/>
  <c r="E94" i="3"/>
  <c r="E294" i="3"/>
  <c r="E64" i="3"/>
  <c r="E343" i="3"/>
  <c r="E410" i="3"/>
  <c r="E109" i="3"/>
  <c r="E148" i="3"/>
  <c r="E412" i="3"/>
  <c r="E41" i="3"/>
  <c r="E202" i="3"/>
  <c r="E404" i="3"/>
  <c r="E415" i="3"/>
  <c r="E168" i="3"/>
  <c r="E247" i="3"/>
  <c r="E539" i="3"/>
  <c r="E52" i="3"/>
  <c r="U6" i="3"/>
  <c r="E73" i="3"/>
  <c r="E211" i="3"/>
  <c r="E416" i="3"/>
  <c r="E96" i="3"/>
  <c r="E160" i="3"/>
  <c r="E242" i="3"/>
  <c r="E133" i="3"/>
  <c r="E87" i="3"/>
  <c r="E458" i="3"/>
  <c r="E29" i="3"/>
  <c r="E256" i="3"/>
  <c r="E491" i="3"/>
  <c r="E319" i="3"/>
  <c r="E456" i="3"/>
  <c r="E569" i="3"/>
  <c r="AJ6" i="3"/>
  <c r="E546" i="3"/>
  <c r="E15" i="3"/>
  <c r="E251" i="3"/>
  <c r="E56" i="3"/>
  <c r="E122" i="3"/>
  <c r="E208" i="3"/>
  <c r="E485" i="3"/>
  <c r="E157" i="3"/>
  <c r="E89" i="3"/>
  <c r="E32" i="3"/>
  <c r="Q6" i="3"/>
  <c r="AE6" i="3"/>
  <c r="E560" i="3"/>
  <c r="E261" i="3"/>
  <c r="E107" i="3"/>
  <c r="E393" i="3"/>
  <c r="E480" i="3"/>
  <c r="E517" i="3"/>
  <c r="AQ6" i="3"/>
  <c r="E235" i="3"/>
  <c r="E120" i="3"/>
  <c r="E555" i="3"/>
  <c r="E499" i="3"/>
  <c r="E173" i="3"/>
  <c r="E260" i="3"/>
  <c r="E153" i="3"/>
  <c r="E14" i="3"/>
  <c r="E378" i="3"/>
  <c r="E562" i="3"/>
  <c r="E518" i="3"/>
  <c r="E167" i="3"/>
  <c r="E515" i="3"/>
  <c r="E494" i="3"/>
  <c r="E542" i="3"/>
  <c r="E254" i="3"/>
  <c r="E341" i="3"/>
  <c r="E316" i="3"/>
  <c r="E318" i="3"/>
  <c r="E380" i="3"/>
  <c r="E413" i="3"/>
  <c r="E241" i="3"/>
  <c r="E446" i="3"/>
  <c r="E437" i="3"/>
  <c r="E221" i="3"/>
  <c r="E31" i="3"/>
  <c r="AA6" i="3"/>
  <c r="E299" i="3"/>
  <c r="E103" i="3"/>
  <c r="E62" i="3"/>
  <c r="E230" i="3"/>
  <c r="AY6" i="3"/>
  <c r="E57" i="3"/>
  <c r="E434" i="3"/>
  <c r="E146" i="3"/>
  <c r="E388" i="3"/>
  <c r="E124" i="3"/>
  <c r="E409" i="3"/>
  <c r="E570" i="3"/>
  <c r="E55" i="3"/>
  <c r="E93" i="3"/>
  <c r="E114" i="3"/>
  <c r="E476" i="3"/>
  <c r="E564" i="3"/>
  <c r="E509" i="3"/>
  <c r="E18" i="3"/>
  <c r="E17" i="3"/>
  <c r="E322" i="3"/>
  <c r="E26" i="3"/>
  <c r="E329" i="3"/>
  <c r="E567" i="3"/>
  <c r="E371" i="3"/>
  <c r="E512" i="3"/>
  <c r="E514" i="3"/>
  <c r="E312" i="3"/>
  <c r="E182" i="3"/>
  <c r="E212" i="3"/>
  <c r="E524" i="3"/>
  <c r="E81" i="3"/>
  <c r="E493" i="3"/>
  <c r="E271" i="3"/>
  <c r="E76" i="3"/>
  <c r="E123" i="3"/>
  <c r="E121" i="3"/>
  <c r="E448" i="3"/>
  <c r="E243" i="3"/>
  <c r="E465" i="3"/>
  <c r="E116" i="3"/>
  <c r="L6" i="3"/>
  <c r="E507" i="3"/>
  <c r="E232" i="3"/>
  <c r="J6" i="3"/>
  <c r="E426" i="3"/>
  <c r="E460" i="3"/>
  <c r="E450" i="3"/>
  <c r="AN6" i="3"/>
  <c r="E381" i="3"/>
  <c r="E278" i="3"/>
  <c r="E376" i="3"/>
  <c r="E21" i="3"/>
  <c r="E140" i="3"/>
  <c r="E142" i="3"/>
  <c r="E468" i="3"/>
  <c r="E185" i="3"/>
  <c r="E27" i="3"/>
  <c r="E469" i="3"/>
  <c r="E92" i="3"/>
  <c r="E304" i="3"/>
  <c r="E441" i="3"/>
  <c r="E28" i="3"/>
  <c r="E407" i="3"/>
  <c r="E568" i="3"/>
  <c r="E245" i="3"/>
  <c r="E451" i="3"/>
  <c r="E305" i="3"/>
  <c r="E126" i="3"/>
  <c r="Y6" i="3"/>
  <c r="E477" i="3"/>
  <c r="E540" i="3"/>
  <c r="E134" i="3"/>
  <c r="AI6" i="3"/>
  <c r="E239" i="3"/>
  <c r="E234" i="3"/>
  <c r="E128" i="3"/>
  <c r="E176" i="3"/>
  <c r="E554" i="3"/>
  <c r="E525" i="3"/>
  <c r="K6" i="3"/>
  <c r="E353" i="3"/>
  <c r="E50" i="3"/>
  <c r="E236" i="3"/>
  <c r="E474" i="3"/>
  <c r="E171" i="3"/>
  <c r="E354" i="3"/>
  <c r="E531" i="3"/>
  <c r="E495" i="3"/>
  <c r="E344" i="3"/>
  <c r="E280" i="3"/>
  <c r="E492" i="3"/>
  <c r="E170" i="3"/>
  <c r="E447" i="3"/>
  <c r="E500" i="3"/>
  <c r="E293" i="3"/>
  <c r="E111" i="3"/>
  <c r="E39" i="3"/>
  <c r="E288" i="3"/>
  <c r="E88" i="3"/>
  <c r="E220" i="3"/>
  <c r="E453" i="3"/>
  <c r="E162" i="3"/>
  <c r="E229" i="3"/>
  <c r="E191" i="3"/>
  <c r="E355" i="3"/>
  <c r="E558" i="3"/>
  <c r="E436" i="3"/>
  <c r="E432" i="3"/>
  <c r="E339" i="3"/>
  <c r="E118" i="3"/>
  <c r="E506" i="3"/>
  <c r="E571" i="3"/>
  <c r="E497" i="3"/>
  <c r="E566" i="3"/>
  <c r="E553" i="3"/>
  <c r="E273" i="3"/>
  <c r="E563" i="3"/>
  <c r="E112" i="3"/>
  <c r="E268" i="3"/>
  <c r="E175" i="3"/>
  <c r="E565" i="3"/>
  <c r="E503" i="3"/>
  <c r="M6" i="3"/>
  <c r="E69" i="3"/>
  <c r="E152" i="3"/>
  <c r="E46" i="3"/>
  <c r="E457" i="3"/>
  <c r="X6" i="3"/>
  <c r="AD6" i="3"/>
  <c r="AC6" i="3" s="1"/>
  <c r="E327" i="3"/>
  <c r="E200" i="3"/>
  <c r="E389" i="3"/>
  <c r="E143" i="3"/>
  <c r="E552" i="3"/>
  <c r="E77" i="3"/>
  <c r="E430" i="3"/>
  <c r="E222" i="3"/>
  <c r="E83" i="3"/>
  <c r="E375" i="3"/>
  <c r="E282" i="3"/>
  <c r="E394" i="3"/>
  <c r="E348" i="3"/>
  <c r="E192" i="3"/>
  <c r="E20" i="3"/>
  <c r="E358" i="3"/>
  <c r="E377" i="3"/>
  <c r="E511" i="3"/>
  <c r="S6" i="3"/>
  <c r="AB6" i="3"/>
  <c r="E487" i="3"/>
  <c r="E310" i="3"/>
  <c r="E384" i="3"/>
  <c r="E501" i="3"/>
  <c r="E159" i="3"/>
  <c r="E267" i="3"/>
  <c r="E35" i="3"/>
  <c r="E19" i="3"/>
  <c r="E277" i="3"/>
  <c r="E108" i="3"/>
  <c r="E508" i="3"/>
  <c r="E24" i="3"/>
  <c r="E66" i="3"/>
  <c r="E224" i="3"/>
  <c r="E74" i="3"/>
  <c r="E309" i="3"/>
  <c r="E154" i="3"/>
  <c r="E372" i="3"/>
  <c r="E429" i="3"/>
  <c r="E275" i="3"/>
  <c r="E189" i="3"/>
  <c r="E438" i="3"/>
  <c r="E75" i="3"/>
  <c r="E463" i="3"/>
  <c r="E249" i="3"/>
  <c r="E464" i="3"/>
  <c r="C115" i="46"/>
  <c r="D113" i="46" s="1"/>
  <c r="F12" i="40"/>
  <c r="J12" i="39"/>
  <c r="J12" i="40"/>
  <c r="AC12" i="40" s="1"/>
  <c r="F12" i="39"/>
  <c r="AA12" i="39" s="1"/>
  <c r="U12" i="39"/>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C52" i="15"/>
  <c r="C20" i="11"/>
  <c r="C21" i="11" s="1"/>
  <c r="C22" i="11" s="1"/>
  <c r="C23" i="11" s="1"/>
  <c r="B2" i="11" s="1"/>
  <c r="C17" i="15"/>
  <c r="C18" i="44"/>
  <c r="F41" i="15"/>
  <c r="C16" i="15"/>
  <c r="C16" i="69"/>
  <c r="C17" i="69"/>
  <c r="F68" i="15" l="1"/>
  <c r="G43" i="35"/>
  <c r="H43" i="35" s="1"/>
  <c r="Q62" i="44"/>
  <c r="C7" i="44"/>
  <c r="C40" i="44" s="1"/>
  <c r="J6" i="15"/>
  <c r="J18" i="15" s="1"/>
  <c r="C10" i="15"/>
  <c r="C5" i="15" s="1"/>
  <c r="C38" i="15" s="1"/>
  <c r="Q54" i="44"/>
  <c r="Q76" i="44"/>
  <c r="R48" i="21"/>
  <c r="J18" i="69"/>
  <c r="J5" i="69"/>
  <c r="M16" i="1"/>
  <c r="C15" i="43"/>
  <c r="O6" i="1"/>
  <c r="U33" i="21"/>
  <c r="AB33" i="21"/>
  <c r="D25" i="59"/>
  <c r="T25" i="59"/>
  <c r="Q74" i="69"/>
  <c r="Q61" i="69"/>
  <c r="E37" i="46"/>
  <c r="L47" i="44"/>
  <c r="F24" i="43"/>
  <c r="C26" i="43" s="1"/>
  <c r="D24" i="43" s="1"/>
  <c r="F33" i="12"/>
  <c r="C34" i="12" s="1"/>
  <c r="D33" i="12" s="1"/>
  <c r="W33" i="21"/>
  <c r="AC33" i="21"/>
  <c r="V48" i="21" s="1"/>
  <c r="I48" i="21" s="1"/>
  <c r="F1" i="69"/>
  <c r="Q53" i="69"/>
  <c r="C48" i="69"/>
  <c r="C47" i="69" s="1"/>
  <c r="Q62" i="69"/>
  <c r="Q75" i="69"/>
  <c r="T48" i="21"/>
  <c r="G48" i="21" s="1"/>
  <c r="G52" i="21" s="1"/>
  <c r="H52" i="21" s="1"/>
  <c r="D22" i="12"/>
  <c r="C22" i="12" s="1"/>
  <c r="C20" i="12" s="1"/>
  <c r="D13" i="11"/>
  <c r="C13" i="11" s="1"/>
  <c r="G39" i="46"/>
  <c r="I39" i="46" s="1"/>
  <c r="S12" i="39"/>
  <c r="J7" i="44"/>
  <c r="J26" i="44" s="1"/>
  <c r="O8" i="1"/>
  <c r="P8" i="1" s="1"/>
  <c r="AA33" i="21"/>
  <c r="S33" i="21"/>
  <c r="C32" i="69"/>
  <c r="C33" i="69"/>
  <c r="C48" i="15"/>
  <c r="C47" i="15" s="1"/>
  <c r="D29" i="59"/>
  <c r="T29" i="59"/>
  <c r="D19" i="12"/>
  <c r="C19" i="12" s="1"/>
  <c r="C16" i="12"/>
  <c r="C7" i="59"/>
  <c r="D8" i="59"/>
  <c r="Q58" i="69"/>
  <c r="Q67" i="69"/>
  <c r="C38" i="69"/>
  <c r="W12" i="40"/>
  <c r="M27" i="6"/>
  <c r="S16" i="1"/>
  <c r="U12" i="40"/>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69" i="3"/>
  <c r="AY26" i="3"/>
  <c r="AY529" i="3"/>
  <c r="AY53" i="3"/>
  <c r="AY98" i="3"/>
  <c r="AY217" i="3"/>
  <c r="AY383" i="3"/>
  <c r="AY427" i="3"/>
  <c r="AY170" i="3"/>
  <c r="AY214"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481" i="3"/>
  <c r="AY204" i="3"/>
  <c r="AY216" i="3"/>
  <c r="AY28" i="3"/>
  <c r="AY311" i="3"/>
  <c r="AY257" i="3"/>
  <c r="AY254" i="3"/>
  <c r="AY359" i="3"/>
  <c r="AY437" i="3"/>
  <c r="AY493" i="3"/>
  <c r="AY273" i="3"/>
  <c r="AY64" i="3"/>
  <c r="AY158" i="3"/>
  <c r="AY443" i="3"/>
  <c r="AY219" i="3"/>
  <c r="AY549" i="3"/>
  <c r="AY129" i="3"/>
  <c r="AY74" i="3"/>
  <c r="AY291" i="3"/>
  <c r="AY422" i="3"/>
  <c r="AY324" i="3"/>
  <c r="AY258" i="3"/>
  <c r="AY168" i="3"/>
  <c r="AY295" i="3"/>
  <c r="AY16" i="3"/>
  <c r="AY253" i="3"/>
  <c r="AY525" i="3"/>
  <c r="AY386" i="3"/>
  <c r="AY445" i="3"/>
  <c r="AY224" i="3"/>
  <c r="AY430" i="3"/>
  <c r="AY207" i="3"/>
  <c r="AY259" i="3"/>
  <c r="AY365"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530" i="3"/>
  <c r="AY198" i="3"/>
  <c r="AY73" i="3"/>
  <c r="AY262" i="3"/>
  <c r="AY397" i="3"/>
  <c r="AY379" i="3"/>
  <c r="AY135" i="3"/>
  <c r="AY62" i="3"/>
  <c r="AY155" i="3"/>
  <c r="AY307" i="3"/>
  <c r="AY201" i="3"/>
  <c r="AY449" i="3"/>
  <c r="AY275" i="3"/>
  <c r="AY304" i="3"/>
  <c r="AY120" i="3"/>
  <c r="AY14" i="3"/>
  <c r="AY99" i="3"/>
  <c r="AY103" i="3"/>
  <c r="AY150" i="3"/>
  <c r="AY432" i="3"/>
  <c r="AY280" i="3"/>
  <c r="AY172" i="3"/>
  <c r="BS6" i="3"/>
  <c r="AY394" i="3"/>
  <c r="AY282" i="3"/>
  <c r="AY544" i="3"/>
  <c r="AY24" i="3"/>
  <c r="AY494" i="3"/>
  <c r="AY515" i="3"/>
  <c r="AY290" i="3"/>
  <c r="AY46" i="3"/>
  <c r="AY569" i="3"/>
  <c r="AY88" i="3"/>
  <c r="AY104" i="3"/>
  <c r="AY106" i="3"/>
  <c r="AY361" i="3"/>
  <c r="AY146" i="3"/>
  <c r="AY39" i="3"/>
  <c r="AY315" i="3"/>
  <c r="AY464" i="3"/>
  <c r="AY194" i="3"/>
  <c r="AY278" i="3"/>
  <c r="AY35" i="3"/>
  <c r="AY92" i="3"/>
  <c r="AY187" i="3"/>
  <c r="AY335" i="3"/>
  <c r="AY369" i="3"/>
  <c r="AY320" i="3"/>
  <c r="AY154" i="3"/>
  <c r="AY40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77" i="3"/>
  <c r="AY57" i="3"/>
  <c r="AY349" i="3"/>
  <c r="AY149" i="3"/>
  <c r="AY463" i="3"/>
  <c r="AY372" i="3"/>
  <c r="AY376" i="3"/>
  <c r="AY450" i="3"/>
  <c r="AY412" i="3"/>
  <c r="AY330" i="3"/>
  <c r="AY191" i="3"/>
  <c r="AY414" i="3"/>
  <c r="AY227" i="3"/>
  <c r="AY266" i="3"/>
  <c r="AY193" i="3"/>
  <c r="BL6" i="3"/>
  <c r="AY472"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BN6" i="3"/>
  <c r="AY145" i="3"/>
  <c r="AY233"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H6" i="3"/>
  <c r="E6" i="3" s="1"/>
  <c r="AA12" i="40"/>
  <c r="S12" i="40"/>
  <c r="AC12" i="39"/>
  <c r="W12" i="39"/>
  <c r="I27" i="6"/>
  <c r="S19" i="6"/>
  <c r="S27" i="6" s="1"/>
  <c r="H19" i="6"/>
  <c r="G33" i="46"/>
  <c r="I33" i="46" s="1"/>
  <c r="C27" i="46" s="1"/>
  <c r="E35" i="46"/>
  <c r="E36"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B3" i="11"/>
  <c r="B4" i="11"/>
  <c r="AE7" i="1"/>
  <c r="F7" i="67"/>
  <c r="J5" i="15" l="1"/>
  <c r="J26" i="15" s="1"/>
  <c r="J29" i="15" s="1"/>
  <c r="C59" i="69"/>
  <c r="C60" i="69"/>
  <c r="J28" i="44"/>
  <c r="J31" i="44" s="1"/>
  <c r="Q67" i="44" s="1"/>
  <c r="C59" i="15"/>
  <c r="C65" i="15"/>
  <c r="I52" i="21"/>
  <c r="J52" i="21" s="1"/>
  <c r="G53" i="21"/>
  <c r="H53" i="21" s="1"/>
  <c r="J26" i="69"/>
  <c r="J24" i="69"/>
  <c r="D7" i="59"/>
  <c r="C6" i="59"/>
  <c r="P6" i="1"/>
  <c r="O16" i="1"/>
  <c r="C65" i="69"/>
  <c r="N16" i="1"/>
  <c r="C29" i="43" s="1"/>
  <c r="C13" i="43"/>
  <c r="L16" i="1"/>
  <c r="E48" i="21"/>
  <c r="I53" i="21" s="1"/>
  <c r="J53" i="21" s="1"/>
  <c r="R49" i="21"/>
  <c r="T10" i="1"/>
  <c r="T11" i="1"/>
  <c r="T13" i="1"/>
  <c r="T12" i="1"/>
  <c r="T9" i="1"/>
  <c r="T6" i="1"/>
  <c r="T8" i="1"/>
  <c r="T7" i="1"/>
  <c r="D13" i="6"/>
  <c r="H22" i="6"/>
  <c r="D14" i="6"/>
  <c r="D6" i="6"/>
  <c r="H21" i="6"/>
  <c r="D10" i="6"/>
  <c r="H24" i="6"/>
  <c r="D26" i="6"/>
  <c r="D15" i="6"/>
  <c r="D19" i="6"/>
  <c r="R19" i="6" s="1"/>
  <c r="D8" i="6"/>
  <c r="K38" i="9"/>
  <c r="C14" i="66" s="1"/>
  <c r="B2" i="66" s="1"/>
  <c r="D7" i="66" s="1"/>
  <c r="D29" i="6"/>
  <c r="D20" i="6"/>
  <c r="H20" i="6"/>
  <c r="D24" i="6"/>
  <c r="H25" i="6"/>
  <c r="H26" i="6"/>
  <c r="C22" i="4"/>
  <c r="D28" i="6"/>
  <c r="D30" i="6" s="1"/>
  <c r="E68" i="39"/>
  <c r="D9" i="6"/>
  <c r="E63" i="40"/>
  <c r="D23" i="6"/>
  <c r="F45" i="9"/>
  <c r="D11" i="6"/>
  <c r="D12" i="6"/>
  <c r="D22" i="6"/>
  <c r="D21" i="6"/>
  <c r="R21" i="6" s="1"/>
  <c r="R8" i="1" s="1"/>
  <c r="D5" i="6"/>
  <c r="H23" i="6"/>
  <c r="D25" i="6"/>
  <c r="R25" i="6" s="1"/>
  <c r="E45" i="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69"/>
  <c r="C16" i="44"/>
  <c r="C14" i="15"/>
  <c r="F35" i="15"/>
  <c r="M21" i="15"/>
  <c r="C14" i="69"/>
  <c r="E7" i="67"/>
  <c r="B7" i="67"/>
  <c r="F68" i="69" l="1"/>
  <c r="J29" i="69"/>
  <c r="J24" i="15"/>
  <c r="Q58" i="44"/>
  <c r="Q49" i="44"/>
  <c r="Q55" i="44" s="1"/>
  <c r="J20" i="15"/>
  <c r="C34" i="15"/>
  <c r="F62" i="15"/>
  <c r="C61" i="15" s="1"/>
  <c r="D6" i="59"/>
  <c r="C5" i="59"/>
  <c r="C48" i="21"/>
  <c r="C49" i="21"/>
  <c r="B3" i="21" s="1"/>
  <c r="C14" i="43"/>
  <c r="C17" i="43"/>
  <c r="E52" i="21"/>
  <c r="F52" i="21" s="1"/>
  <c r="E53" i="21"/>
  <c r="F53" i="21" s="1"/>
  <c r="C15" i="12"/>
  <c r="P16" i="1"/>
  <c r="C13" i="12" s="1"/>
  <c r="C18" i="69"/>
  <c r="C15" i="69"/>
  <c r="B2" i="35"/>
  <c r="F10" i="12" s="1"/>
  <c r="H27" i="6"/>
  <c r="C15" i="15"/>
  <c r="C18" i="15"/>
  <c r="C20" i="44"/>
  <c r="C17" i="44"/>
  <c r="T16" i="1"/>
  <c r="R22" i="6"/>
  <c r="R9" i="1" s="1"/>
  <c r="R24" i="6"/>
  <c r="R6" i="1"/>
  <c r="R20" i="6"/>
  <c r="R7" i="1" s="1"/>
  <c r="A6" i="64"/>
  <c r="A20" i="51"/>
  <c r="B15" i="63" s="1"/>
  <c r="A6" i="51"/>
  <c r="B7" i="63" s="1"/>
  <c r="N5" i="54"/>
  <c r="B43" i="63" s="1"/>
  <c r="A20" i="64"/>
  <c r="D16" i="6"/>
  <c r="R23" i="6"/>
  <c r="D27" i="6"/>
  <c r="D31" i="6" s="1"/>
  <c r="R26" i="6"/>
  <c r="I65" i="40"/>
  <c r="H67" i="40"/>
  <c r="H72" i="39"/>
  <c r="I70" i="39"/>
  <c r="N46" i="36"/>
  <c r="E3" i="67"/>
  <c r="B2" i="67"/>
  <c r="D4" i="46"/>
  <c r="B3" i="46"/>
  <c r="B4" i="46"/>
  <c r="F35" i="69"/>
  <c r="M21" i="69"/>
  <c r="C18" i="43" l="1"/>
  <c r="C19" i="43" s="1"/>
  <c r="C25" i="43" s="1"/>
  <c r="C24" i="43" s="1"/>
  <c r="J20" i="69"/>
  <c r="F62" i="69"/>
  <c r="C61" i="69" s="1"/>
  <c r="C58" i="69" s="1"/>
  <c r="C34" i="69"/>
  <c r="C31" i="69" s="1"/>
  <c r="B2" i="21"/>
  <c r="C10" i="12" s="1"/>
  <c r="C8" i="12"/>
  <c r="C19" i="69"/>
  <c r="C20" i="69" s="1"/>
  <c r="C26" i="69" s="1"/>
  <c r="C17" i="12"/>
  <c r="C14" i="12"/>
  <c r="T5" i="59"/>
  <c r="D5" i="59"/>
  <c r="M20" i="46" s="1"/>
  <c r="B3" i="35"/>
  <c r="F8" i="12" s="1"/>
  <c r="C21" i="44"/>
  <c r="C22" i="44" s="1"/>
  <c r="C28" i="44" s="1"/>
  <c r="R27" i="6"/>
  <c r="R16" i="1"/>
  <c r="C19" i="15"/>
  <c r="C20" i="15" s="1"/>
  <c r="C26" i="15" s="1"/>
  <c r="I6" i="6"/>
  <c r="I5" i="6"/>
  <c r="O46" i="36"/>
  <c r="J7" i="36" s="1"/>
  <c r="F7" i="36"/>
  <c r="H7" i="36"/>
  <c r="J65" i="40"/>
  <c r="I67" i="40"/>
  <c r="J70" i="39"/>
  <c r="I72" i="39"/>
  <c r="B3" i="67"/>
  <c r="B4" i="67"/>
  <c r="C18" i="12" l="1"/>
  <c r="C23" i="12" s="1"/>
  <c r="C23" i="69"/>
  <c r="C29" i="69" s="1"/>
  <c r="K70" i="39"/>
  <c r="J72" i="39"/>
  <c r="U7" i="36"/>
  <c r="AB7" i="36"/>
  <c r="T36" i="36" s="1"/>
  <c r="G36" i="36" s="1"/>
  <c r="AC7" i="36"/>
  <c r="V36" i="36" s="1"/>
  <c r="I36" i="36" s="1"/>
  <c r="W7" i="36"/>
  <c r="J67" i="40"/>
  <c r="K65" i="40"/>
  <c r="S7" i="36"/>
  <c r="AA7" i="36"/>
  <c r="R36" i="36" s="1"/>
  <c r="J14" i="69" l="1"/>
  <c r="J19" i="69"/>
  <c r="J17" i="69" s="1"/>
  <c r="C36" i="69"/>
  <c r="C13" i="69"/>
  <c r="Q50" i="69"/>
  <c r="C56" i="69"/>
  <c r="C63" i="69" s="1"/>
  <c r="R37" i="36"/>
  <c r="E36" i="36"/>
  <c r="I41" i="36" s="1"/>
  <c r="J41" i="36" s="1"/>
  <c r="K67" i="40"/>
  <c r="L65" i="40"/>
  <c r="G41" i="36"/>
  <c r="H41" i="36" s="1"/>
  <c r="G40" i="36"/>
  <c r="H40" i="36" s="1"/>
  <c r="I40" i="36"/>
  <c r="J40" i="36" s="1"/>
  <c r="L70" i="39"/>
  <c r="K72" i="39"/>
  <c r="C37" i="69" l="1"/>
  <c r="C30" i="69" s="1"/>
  <c r="C39" i="69" s="1"/>
  <c r="Q71" i="69"/>
  <c r="J35" i="69"/>
  <c r="C55" i="69"/>
  <c r="C64" i="69" s="1"/>
  <c r="C57" i="69" s="1"/>
  <c r="C66" i="69" s="1"/>
  <c r="C67" i="69" s="1"/>
  <c r="C70" i="69" s="1"/>
  <c r="J13" i="69"/>
  <c r="J23" i="69" s="1"/>
  <c r="J22" i="69"/>
  <c r="L72" i="39"/>
  <c r="M70" i="39"/>
  <c r="M65" i="40"/>
  <c r="L67" i="40"/>
  <c r="E40" i="36"/>
  <c r="F40" i="36" s="1"/>
  <c r="E41" i="36"/>
  <c r="F41" i="36" s="1"/>
  <c r="C37" i="36"/>
  <c r="B3" i="36" s="1"/>
  <c r="B2" i="36" s="1"/>
  <c r="C36" i="36"/>
  <c r="L51" i="69"/>
  <c r="J39" i="69" l="1"/>
  <c r="J40" i="69" s="1"/>
  <c r="J16" i="69"/>
  <c r="J25" i="69" s="1"/>
  <c r="L57" i="69"/>
  <c r="Q68" i="69"/>
  <c r="Q70" i="69"/>
  <c r="Q69" i="69" s="1"/>
  <c r="C40" i="69"/>
  <c r="N65" i="40"/>
  <c r="N67" i="40" s="1"/>
  <c r="M67" i="40"/>
  <c r="N70" i="39"/>
  <c r="N72" i="39" s="1"/>
  <c r="M72" i="39"/>
  <c r="C46" i="69" l="1"/>
  <c r="Q66" i="69"/>
  <c r="Q76" i="69" s="1"/>
  <c r="Q48" i="69"/>
  <c r="Q54" i="69" s="1"/>
  <c r="B2" i="69"/>
  <c r="Q57" i="69"/>
  <c r="Q63" i="69" s="1"/>
  <c r="C43" i="69"/>
  <c r="J42" i="69"/>
  <c r="J43" i="69" s="1"/>
  <c r="J9" i="40"/>
  <c r="H9" i="40"/>
  <c r="F9" i="40"/>
  <c r="J9" i="39"/>
  <c r="H9" i="39"/>
  <c r="F9" i="39"/>
  <c r="B3" i="69" l="1"/>
  <c r="D8" i="12" s="1"/>
  <c r="D10" i="12"/>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B4" i="39" l="1"/>
  <c r="B3" i="39"/>
  <c r="F21" i="43"/>
  <c r="F26" i="12"/>
  <c r="F26" i="44"/>
  <c r="F24" i="15"/>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l="1"/>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3" i="43"/>
  <c r="Q72" i="44"/>
  <c r="C39" i="44"/>
  <c r="C43" i="44"/>
  <c r="J15" i="44" l="1"/>
  <c r="J25" i="44" s="1"/>
  <c r="J18" i="44" s="1"/>
  <c r="J27" i="44" s="1"/>
  <c r="J22" i="15"/>
  <c r="J16" i="15" s="1"/>
  <c r="J25" i="15" s="1"/>
  <c r="C37" i="15"/>
  <c r="C30" i="15" s="1"/>
  <c r="C39" i="15" s="1"/>
  <c r="C63" i="15"/>
  <c r="J35" i="15"/>
  <c r="C32" i="44"/>
  <c r="C42" i="44" s="1"/>
  <c r="Q71" i="44" s="1"/>
  <c r="Q70" i="44" s="1"/>
  <c r="C55" i="15"/>
  <c r="C64" i="15" s="1"/>
  <c r="L51" i="15"/>
  <c r="J39" i="15" l="1"/>
  <c r="J40" i="15" s="1"/>
  <c r="C57" i="15"/>
  <c r="C66" i="15" s="1"/>
  <c r="C67" i="15" s="1"/>
  <c r="C70" i="15" s="1"/>
  <c r="Q70" i="15"/>
  <c r="Q69" i="15" s="1"/>
  <c r="C40" i="15"/>
  <c r="C44" i="44"/>
  <c r="C45" i="44" s="1"/>
  <c r="L52" i="44" s="1"/>
  <c r="Q68" i="15"/>
  <c r="L57" i="15"/>
  <c r="L60" i="15" s="1"/>
  <c r="Q58" i="15" l="1"/>
  <c r="L46" i="15"/>
  <c r="B2" i="15" s="1"/>
  <c r="C43" i="15"/>
  <c r="B2" i="44"/>
  <c r="B5" i="44" s="1"/>
  <c r="Q57" i="15"/>
  <c r="Q63" i="15" s="1"/>
  <c r="C46" i="15"/>
  <c r="Q48" i="15"/>
  <c r="Q54" i="15" s="1"/>
  <c r="J42" i="15"/>
  <c r="J43" i="15" s="1"/>
  <c r="Q66" i="15"/>
  <c r="Q67" i="15"/>
  <c r="Q69" i="44"/>
  <c r="L58" i="44"/>
  <c r="L61" i="44" s="1"/>
  <c r="B3" i="44" l="1"/>
  <c r="B3" i="15"/>
  <c r="C6" i="12"/>
  <c r="B4" i="44"/>
  <c r="Q76" i="15"/>
  <c r="Q59" i="44"/>
  <c r="Q64" i="44" s="1"/>
  <c r="Q68" i="44"/>
  <c r="Q77" i="44" s="1"/>
  <c r="C29" i="12" l="1"/>
  <c r="C24" i="12"/>
  <c r="C35" i="12" l="1"/>
  <c r="C33" i="12" s="1"/>
  <c r="C28" i="12"/>
  <c r="C26" i="12" s="1"/>
  <c r="C31" i="12" s="1"/>
  <c r="C30" i="12" s="1"/>
  <c r="C19" i="9"/>
  <c r="C36" i="12" l="1"/>
  <c r="B2" i="12" s="1"/>
  <c r="B4" i="12" s="1"/>
  <c r="L43" i="9"/>
  <c r="C20" i="9"/>
  <c r="D21" i="9"/>
  <c r="D19" i="9"/>
  <c r="C21" i="9"/>
  <c r="L44" i="9" l="1"/>
  <c r="D22" i="9"/>
  <c r="G19" i="9"/>
  <c r="G22" i="9" s="1"/>
  <c r="B5" i="12"/>
  <c r="B3" i="12"/>
  <c r="G21" i="9"/>
  <c r="N43" i="9"/>
  <c r="D20" i="9"/>
  <c r="C32" i="9" l="1"/>
  <c r="O38" i="9" s="1"/>
  <c r="G20" i="9"/>
  <c r="C35" i="9" l="1"/>
  <c r="F42" i="9" s="1"/>
  <c r="O43" i="9"/>
  <c r="C42" i="9"/>
  <c r="C44" i="9" s="1"/>
  <c r="C34" i="9"/>
  <c r="E42" i="9" s="1"/>
  <c r="P5" i="54" s="1"/>
  <c r="B46" i="63" s="1"/>
  <c r="C33" i="9"/>
  <c r="N38" i="9" s="1"/>
  <c r="K28" i="9" s="1"/>
  <c r="K25" i="9"/>
  <c r="K26" i="9"/>
  <c r="D42" i="9" l="1"/>
  <c r="Q5" i="54" s="1"/>
  <c r="B47" i="63" s="1"/>
  <c r="N68" i="9"/>
  <c r="D14" i="66"/>
  <c r="F14" i="66" s="1"/>
  <c r="D63" i="9"/>
  <c r="C90" i="9" s="1"/>
  <c r="R5" i="54"/>
  <c r="B48" i="63" s="1"/>
  <c r="M38" i="9"/>
  <c r="K27" i="9" s="1"/>
  <c r="O39" i="9"/>
  <c r="F44" i="9"/>
  <c r="G14" i="66"/>
  <c r="B6" i="66" s="1"/>
  <c r="D44" i="9"/>
  <c r="E44" i="9"/>
  <c r="N69" i="9"/>
  <c r="B5" i="66" l="1"/>
  <c r="D5" i="66" s="1"/>
  <c r="E14" i="66"/>
  <c r="C103" i="9"/>
  <c r="C96" i="9"/>
  <c r="C91" i="9" s="1"/>
  <c r="C97" i="9" s="1"/>
  <c r="C98" i="9" s="1"/>
  <c r="E98" i="9" s="1"/>
  <c r="E99" i="9" s="1"/>
  <c r="D70" i="9"/>
  <c r="C82" i="9"/>
  <c r="C81" i="9" s="1"/>
  <c r="C85" i="9" s="1"/>
  <c r="C86" i="9" s="1"/>
  <c r="D72" i="9" s="1"/>
  <c r="C111" i="9"/>
  <c r="C104" i="9" s="1"/>
  <c r="D73" i="9"/>
  <c r="N73" i="9" s="1"/>
  <c r="D71" i="9"/>
  <c r="D66" i="9" s="1"/>
  <c r="N72" i="9" s="1"/>
  <c r="R6" i="54"/>
  <c r="B50" i="63" s="1"/>
  <c r="K29" i="9"/>
  <c r="K30" i="9" s="1"/>
  <c r="D6" i="66"/>
  <c r="C6" i="66"/>
  <c r="M86" i="9"/>
  <c r="N86" i="9" s="1"/>
  <c r="M88" i="9"/>
  <c r="N88" i="9" s="1"/>
  <c r="M85" i="9"/>
  <c r="N85" i="9" s="1"/>
  <c r="M84" i="9"/>
  <c r="N84" i="9" s="1"/>
  <c r="M87" i="9"/>
  <c r="N87" i="9" s="1"/>
  <c r="M83" i="9"/>
  <c r="N83" i="9" s="1"/>
  <c r="C5" i="66" l="1"/>
  <c r="C113" i="9"/>
  <c r="C114" i="9" s="1"/>
  <c r="E114" i="9" s="1"/>
  <c r="E115" i="9" s="1"/>
  <c r="C99" i="9"/>
  <c r="N89" i="9"/>
  <c r="O89" i="9" s="1"/>
  <c r="C115" i="9" l="1"/>
  <c r="D76" i="9" s="1"/>
  <c r="D74" i="9" s="1"/>
  <c r="N74" i="9" s="1"/>
  <c r="O77" i="9" s="1"/>
  <c r="O78" i="9" s="1"/>
  <c r="Q77" i="9" l="1"/>
  <c r="O79" i="9"/>
  <c r="O81" i="9" s="1"/>
  <c r="C46" i="9" l="1"/>
  <c r="I14" i="66" s="1"/>
  <c r="B8" i="66" s="1"/>
  <c r="O80" i="9"/>
  <c r="E46" i="9" l="1"/>
  <c r="D46" i="9"/>
  <c r="F46" i="9"/>
  <c r="O41" i="9"/>
  <c r="R8" i="54" s="1"/>
  <c r="B54" i="63" s="1"/>
  <c r="K33"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<sst xmlns="http://schemas.openxmlformats.org/spreadsheetml/2006/main" count="9252" uniqueCount="3588">
  <si>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</si>
  <si>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</si>
  <si>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</si>
  <si>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</si>
  <si>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</si>
  <si>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</si>
  <si>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</si>
  <si>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</si>
  <si>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</si>
  <si>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</si>
  <si>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</si>
  <si>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</si>
  <si>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</si>
  <si>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</si>
  <si>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</si>
  <si>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</si>
  <si>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</si>
  <si>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</si>
  <si>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</si>
  <si>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</si>
  <si>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</si>
  <si>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</si>
  <si>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</si>
  <si>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</si>
  <si>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</si>
  <si>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</si>
  <si>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</si>
  <si>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</si>
  <si>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</si>
  <si>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</si>
  <si>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</si>
  <si>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</si>
  <si>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</si>
  <si>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</si>
  <si>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</si>
  <si>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</si>
  <si>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</si>
  <si>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</si>
  <si>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</si>
  <si>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</si>
  <si>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</si>
  <si>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</si>
  <si>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</si>
  <si>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</si>
  <si>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</si>
  <si>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</si>
  <si>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</si>
  <si>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</si>
  <si>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</si>
  <si>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</si>
  <si>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</si>
  <si>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</si>
  <si>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</si>
  <si>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</si>
  <si>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</si>
  <si>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</si>
  <si>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</si>
  <si>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</si>
  <si>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</si>
  <si>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</si>
  <si>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</si>
  <si>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</si>
  <si>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</si>
  <si>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</si>
  <si>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</si>
  <si>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</si>
  <si>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</si>
  <si>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</si>
  <si>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</si>
  <si>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</si>
  <si>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</si>
  <si>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</si>
  <si>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</si>
  <si>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</si>
  <si>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</si>
  <si>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</si>
  <si>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</si>
  <si>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</si>
  <si>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</si>
  <si>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</si>
  <si>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</si>
  <si>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</si>
  <si>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</si>
  <si>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</si>
  <si>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</si>
  <si>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</si>
  <si>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</si>
  <si>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</si>
  <si>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</si>
  <si>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</si>
  <si>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</si>
  <si>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</si>
  <si>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</si>
  <si>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</si>
  <si>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</si>
  <si>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</si>
  <si>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</si>
  <si>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</si>
  <si>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</si>
  <si>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</si>
  <si>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</si>
  <si>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</si>
  <si>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</si>
  <si>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</si>
  <si>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</si>
  <si>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</si>
  <si>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</si>
  <si>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</si>
  <si>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</si>
  <si>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</si>
  <si>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</si>
  <si>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</si>
  <si>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</si>
  <si>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</si>
  <si>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</si>
  <si>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</si>
  <si>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</si>
  <si>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</si>
  <si>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</si>
  <si>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</si>
  <si>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</si>
  <si>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</si>
  <si>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</si>
  <si>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</si>
  <si>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</si>
  <si>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</si>
  <si>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</si>
  <si>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</si>
  <si>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</si>
  <si>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</si>
  <si>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</si>
  <si>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</si>
  <si>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</si>
  <si>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</si>
  <si>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</si>
  <si>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</si>
  <si>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</si>
  <si>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</si>
  <si>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</si>
  <si>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</si>
  <si>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</si>
  <si>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</si>
  <si>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</si>
  <si>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</si>
  <si>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</si>
  <si>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</si>
  <si>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</si>
  <si>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</si>
  <si>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</si>
  <si>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</si>
  <si>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</si>
  <si>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</si>
  <si>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</si>
  <si>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</si>
  <si>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</si>
  <si>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</si>
  <si>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</si>
  <si>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</si>
  <si>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</si>
  <si>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</si>
  <si>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</si>
  <si>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</si>
  <si>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</si>
  <si>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</si>
  <si>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</si>
  <si>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</si>
  <si>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</si>
  <si>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</si>
  <si>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</si>
  <si>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</si>
  <si>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</si>
  <si>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</si>
  <si>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</si>
  <si>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</si>
  <si>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</si>
  <si>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</si>
  <si>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</si>
  <si>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</si>
  <si>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</si>
  <si>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</si>
  <si>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</si>
  <si>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</si>
  <si>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</si>
  <si>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</si>
  <si>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</si>
  <si>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</si>
  <si>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</si>
  <si>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</si>
  <si>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</si>
  <si>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</si>
  <si>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</si>
  <si>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</si>
  <si>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</si>
  <si>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</si>
  <si>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</si>
  <si>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</si>
  <si>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</si>
  <si>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</si>
  <si>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</si>
  <si>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</si>
  <si>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</si>
  <si>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</si>
  <si>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</si>
  <si>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</si>
  <si>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</si>
  <si>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</si>
  <si>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</si>
  <si>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</si>
  <si>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</si>
  <si>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</si>
  <si>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</si>
  <si>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</si>
  <si>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</si>
  <si>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</si>
  <si>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</si>
  <si>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</si>
  <si>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</si>
  <si>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</si>
  <si>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</si>
  <si>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</si>
  <si>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</si>
  <si>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</si>
  <si>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</si>
  <si>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</si>
  <si>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</si>
  <si>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</si>
  <si>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</si>
  <si>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</si>
  <si>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</si>
  <si>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</si>
  <si>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</si>
  <si>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</si>
  <si>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</si>
  <si>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</si>
  <si>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</si>
  <si>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</si>
  <si>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</si>
  <si>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</si>
  <si>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</si>
  <si>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</si>
  <si>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</si>
  <si>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</si>
  <si>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</si>
  <si>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</si>
  <si>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</si>
  <si>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</si>
  <si>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</si>
  <si>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</si>
  <si>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</si>
  <si>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</si>
  <si>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</si>
  <si>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</si>
  <si>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</si>
  <si>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</si>
  <si>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</si>
  <si>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</si>
  <si>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</si>
  <si>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</si>
  <si>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</si>
  <si>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</si>
  <si>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</si>
  <si>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</si>
  <si>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</si>
  <si>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</si>
  <si>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</si>
  <si>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</si>
  <si>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</si>
  <si>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</si>
  <si>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</si>
  <si>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</si>
  <si>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</si>
  <si>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</si>
  <si>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</si>
  <si>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</si>
  <si>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</si>
  <si>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</si>
  <si>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</si>
  <si>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</si>
  <si>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</si>
  <si>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</si>
  <si>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</si>
  <si>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</si>
  <si>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</si>
  <si>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</si>
  <si>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</si>
  <si>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</si>
  <si>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</si>
  <si>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</si>
  <si>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</si>
  <si>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</si>
  <si>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</si>
  <si>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</si>
  <si>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</si>
  <si>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</si>
  <si>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</si>
  <si>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</si>
  <si>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</si>
  <si>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</si>
  <si>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</si>
  <si>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</si>
  <si>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</si>
  <si>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</si>
  <si>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</si>
  <si>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</si>
  <si>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</si>
  <si>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</si>
  <si>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</si>
  <si>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</si>
  <si>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</si>
  <si>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</si>
  <si>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</si>
  <si>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</si>
  <si>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</si>
  <si>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</si>
  <si>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</si>
  <si>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</si>
  <si>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</si>
  <si>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</si>
  <si>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</si>
  <si>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</si>
  <si>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</si>
  <si>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</si>
  <si>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</si>
  <si>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</si>
  <si>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</si>
  <si>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</si>
  <si>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</si>
  <si>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</si>
  <si>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</si>
  <si>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</si>
  <si>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</si>
  <si>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</si>
  <si>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</si>
  <si>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</si>
  <si>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</si>
  <si>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</si>
  <si>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</si>
  <si>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</si>
  <si>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</si>
  <si>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</si>
  <si>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</si>
  <si>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</si>
  <si>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</si>
  <si>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</si>
  <si>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</si>
  <si>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</si>
  <si>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</si>
  <si>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</si>
  <si>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</si>
  <si>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</si>
  <si>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</si>
  <si>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</si>
  <si>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</si>
  <si>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</si>
  <si>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</si>
  <si>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</si>
  <si>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</si>
  <si>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</si>
  <si>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</si>
  <si>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</si>
  <si>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</si>
  <si>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</si>
  <si>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</si>
  <si>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</si>
  <si>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</si>
  <si>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</si>
  <si>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</si>
  <si>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</si>
  <si>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</si>
  <si>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</si>
  <si>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</si>
  <si>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</si>
  <si>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</si>
  <si>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</si>
  <si>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</si>
  <si>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</si>
  <si>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</si>
  <si>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</si>
  <si>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</si>
  <si>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</si>
  <si>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</si>
  <si>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</si>
  <si>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</si>
  <si>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</si>
  <si>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</si>
  <si>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</si>
  <si>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</si>
  <si>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</si>
  <si>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</si>
  <si>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</si>
  <si>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</si>
  <si>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</si>
  <si>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</si>
  <si>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</si>
  <si>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</si>
  <si>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</si>
  <si>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</si>
  <si>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</si>
  <si>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</si>
  <si>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</si>
  <si>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</si>
  <si>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</si>
  <si>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</si>
  <si>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</si>
  <si>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</si>
  <si>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</si>
  <si>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</si>
  <si>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</si>
  <si>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</si>
  <si>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</si>
  <si>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</si>
  <si>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</si>
  <si>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</si>
  <si>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</si>
  <si>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</si>
  <si>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</si>
  <si>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</si>
  <si>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</si>
  <si>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</si>
  <si>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</si>
  <si>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</si>
  <si>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</si>
  <si>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</si>
  <si>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</si>
  <si>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</si>
  <si>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</si>
  <si>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</si>
  <si>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</si>
  <si>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</si>
  <si>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</si>
  <si>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</si>
  <si>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</si>
  <si>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</si>
  <si>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</si>
  <si>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</si>
  <si>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</si>
  <si>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</si>
  <si>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</si>
  <si>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</si>
  <si>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</si>
  <si>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</si>
  <si>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</si>
  <si>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</si>
  <si>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</si>
  <si>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</si>
  <si>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</si>
  <si>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</si>
  <si>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</si>
  <si>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</si>
  <si>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</si>
  <si>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</si>
  <si>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</si>
  <si>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</si>
  <si>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</si>
  <si>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</si>
  <si>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</si>
  <si>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</si>
  <si>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</si>
  <si>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</si>
  <si>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</si>
  <si>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</si>
  <si>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</si>
  <si>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</si>
  <si>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</si>
  <si>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</si>
  <si>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</si>
  <si>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</si>
  <si>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</si>
  <si>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</si>
  <si>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</si>
  <si>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</si>
  <si>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</si>
  <si>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</si>
  <si>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</si>
  <si>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</si>
  <si>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</si>
  <si>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</si>
  <si>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</si>
  <si>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</si>
  <si>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</si>
  <si>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</si>
  <si>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</si>
  <si>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</si>
  <si>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</si>
  <si>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</si>
  <si>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</si>
  <si>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</si>
  <si>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</si>
  <si>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</si>
  <si>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</si>
  <si>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</si>
  <si>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</si>
  <si>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</si>
  <si>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</si>
  <si>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</si>
  <si>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</si>
  <si>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</si>
  <si>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</si>
  <si>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</si>
  <si>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</si>
  <si>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</si>
  <si>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</si>
  <si>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</si>
  <si>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</si>
  <si>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</si>
  <si>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</si>
  <si>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</si>
  <si>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</si>
  <si>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</si>
  <si>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</si>
  <si>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</si>
  <si>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</si>
  <si>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</si>
  <si>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</si>
  <si>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</si>
  <si>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</si>
  <si>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</si>
  <si>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</si>
  <si>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</si>
  <si>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</si>
  <si>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</si>
  <si>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</si>
  <si>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</si>
  <si>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</si>
  <si>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</si>
  <si>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</si>
  <si>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</si>
  <si>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</si>
  <si>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</si>
  <si>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</si>
  <si>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</si>
  <si>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</si>
  <si>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</si>
  <si>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</si>
  <si>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</si>
  <si>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</si>
  <si>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</si>
  <si>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</si>
  <si>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</si>
  <si>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</si>
  <si>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</si>
  <si>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</si>
  <si>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</si>
  <si>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</si>
  <si>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</si>
  <si>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</si>
  <si>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</si>
  <si>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</si>
  <si>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</si>
  <si>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</si>
  <si>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</si>
  <si>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</si>
  <si>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</si>
  <si>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</si>
  <si>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</si>
  <si>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</si>
  <si>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</si>
  <si>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</si>
  <si>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</si>
  <si>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</si>
  <si>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</si>
  <si>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</si>
  <si>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</si>
  <si>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</si>
  <si>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</si>
  <si>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</si>
  <si>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</si>
  <si>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</si>
  <si>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</si>
  <si>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</si>
  <si>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</si>
  <si>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</si>
  <si>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</si>
  <si>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</si>
  <si>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</si>
  <si>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</si>
  <si>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</si>
  <si>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</si>
  <si>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</si>
  <si>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</si>
  <si>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</si>
  <si>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</si>
  <si>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</si>
  <si>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</si>
  <si>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</si>
  <si>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</si>
  <si>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</si>
  <si>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</si>
  <si>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</si>
  <si>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</si>
  <si>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</si>
  <si>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</si>
  <si>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</si>
  <si>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</si>
  <si>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</si>
  <si>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</si>
  <si>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</si>
  <si>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</si>
  <si>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</si>
  <si>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</si>
  <si>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</si>
  <si>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</si>
  <si>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</si>
  <si>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</si>
  <si>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</si>
  <si>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</si>
  <si>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</si>
  <si>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</si>
  <si>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</si>
  <si>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</si>
  <si>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</si>
  <si>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</si>
  <si>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</si>
  <si>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</si>
  <si>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</si>
  <si>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</si>
  <si>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</si>
  <si>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</si>
  <si>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</si>
  <si>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</si>
  <si>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</si>
  <si>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</si>
  <si>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</si>
  <si>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</si>
  <si>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</si>
  <si>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</si>
  <si>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</si>
  <si>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</si>
  <si>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</si>
  <si>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</si>
  <si>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</si>
  <si>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</si>
  <si>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</si>
  <si>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</si>
  <si>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</si>
  <si>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</si>
  <si>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</si>
  <si>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</si>
  <si>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</si>
  <si>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</si>
  <si>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</si>
  <si>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</si>
  <si>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</si>
  <si>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</si>
  <si>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</si>
  <si>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</si>
  <si>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</si>
  <si>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</si>
  <si>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</si>
  <si>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</si>
  <si>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</si>
  <si>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</si>
  <si>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</si>
  <si>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</si>
  <si>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</si>
  <si>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</si>
  <si>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</si>
  <si>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</si>
  <si>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</si>
  <si>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</si>
  <si>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</si>
  <si>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</si>
  <si>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</si>
  <si>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</si>
  <si>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</si>
  <si>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</si>
  <si>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</si>
  <si>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</si>
  <si>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</si>
  <si>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</si>
  <si>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</si>
  <si>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</si>
  <si>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</si>
  <si>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</si>
  <si>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</si>
  <si>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</si>
  <si>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</si>
  <si>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</si>
  <si>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</si>
  <si>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</si>
  <si>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</si>
  <si>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</si>
  <si>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</si>
  <si>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</si>
  <si>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</si>
  <si>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</si>
  <si>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</si>
  <si>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</si>
  <si>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</si>
  <si>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</si>
  <si>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</si>
  <si>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</si>
  <si>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</si>
  <si>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</si>
  <si>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</si>
  <si>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</si>
  <si>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</si>
  <si>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</si>
  <si>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</si>
  <si>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</si>
  <si>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</si>
  <si>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</si>
  <si>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</si>
  <si>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</si>
  <si>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</si>
  <si>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</si>
  <si>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</si>
  <si>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</si>
  <si>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</si>
  <si>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</si>
  <si>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</si>
  <si>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</si>
  <si>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</si>
  <si>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</si>
  <si>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</si>
  <si>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</si>
  <si>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</si>
  <si>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</si>
  <si>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</si>
  <si>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</si>
  <si>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</si>
  <si>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</si>
  <si>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</si>
  <si>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</si>
  <si>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</si>
  <si>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</si>
  <si>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</si>
  <si>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</si>
  <si>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</si>
  <si>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</si>
  <si>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</si>
  <si>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</si>
  <si>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</si>
  <si>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</si>
  <si>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</si>
  <si>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</si>
  <si>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</si>
  <si>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</si>
  <si>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</si>
  <si>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</si>
  <si>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</si>
  <si>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</si>
  <si>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</si>
  <si>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</si>
  <si>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</si>
  <si>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</si>
  <si>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</si>
  <si>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</si>
  <si>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</si>
  <si>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</si>
  <si>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</si>
  <si>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</si>
  <si>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</si>
  <si>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</si>
  <si>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</si>
  <si>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</si>
  <si>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</si>
  <si>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</si>
  <si>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</si>
  <si>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</si>
  <si>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</si>
  <si>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</si>
  <si>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</si>
  <si>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</si>
  <si>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</si>
  <si>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</si>
  <si>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</si>
  <si>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</si>
  <si>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</si>
  <si>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</si>
  <si>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</si>
  <si>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</si>
  <si>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</si>
  <si>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</si>
  <si>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</si>
  <si>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</si>
  <si>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</si>
  <si>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</si>
  <si>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</si>
  <si>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</si>
  <si>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</si>
  <si>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</si>
  <si>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</si>
  <si>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</si>
  <si>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</si>
  <si>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</si>
  <si>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</si>
  <si>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</si>
  <si>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</si>
  <si>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</si>
  <si>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</si>
  <si>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</si>
  <si>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</si>
  <si>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</si>
  <si>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</si>
  <si>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</si>
  <si>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</si>
  <si>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</si>
  <si>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</si>
  <si>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</si>
  <si>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</si>
  <si>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</si>
  <si>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</si>
  <si>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</si>
  <si>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</si>
  <si>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</si>
  <si>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</si>
  <si>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</si>
  <si>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</si>
  <si>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</si>
  <si>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</si>
  <si>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</si>
  <si>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</si>
  <si>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</si>
  <si>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</si>
  <si>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</si>
  <si>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</si>
  <si>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</si>
  <si>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</si>
  <si>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</si>
  <si>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</si>
  <si>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</si>
  <si>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</si>
  <si>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</si>
  <si>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</si>
  <si>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</si>
  <si>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</si>
  <si>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</si>
  <si>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</si>
  <si>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</si>
  <si>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</si>
  <si>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</si>
  <si>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</si>
  <si>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</si>
  <si>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</si>
  <si>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</si>
  <si>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</si>
  <si>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</si>
  <si>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</si>
  <si>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</si>
  <si>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</si>
  <si>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</si>
  <si>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</si>
  <si>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</si>
  <si>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</si>
  <si>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</si>
  <si>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</si>
  <si>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</si>
  <si>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</si>
  <si>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</si>
  <si>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</si>
  <si>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</si>
  <si>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</si>
  <si>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</si>
  <si>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</si>
  <si>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</si>
  <si>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</si>
  <si>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</si>
  <si>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</si>
  <si>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</si>
  <si>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</si>
  <si>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</si>
  <si>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</si>
  <si>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</si>
  <si>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</si>
  <si>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</si>
  <si>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</si>
  <si>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</si>
  <si>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</si>
  <si>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</si>
  <si>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</si>
  <si>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</si>
  <si>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</si>
  <si>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</si>
  <si>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</si>
  <si>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</si>
  <si>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</si>
  <si>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</si>
  <si>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</si>
  <si>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</si>
  <si>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</si>
  <si>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</si>
  <si>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</si>
  <si>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</si>
  <si>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</si>
  <si>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</si>
  <si>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</si>
  <si>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</si>
  <si>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</si>
  <si>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</si>
  <si>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</si>
  <si>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</si>
  <si>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</si>
  <si>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</si>
  <si>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</si>
  <si>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</si>
  <si>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</si>
  <si>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</si>
  <si>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</si>
  <si>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</si>
  <si>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</si>
  <si>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</si>
  <si>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</si>
  <si>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</si>
  <si>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</si>
  <si>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</si>
  <si>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</si>
  <si>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</si>
  <si>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</si>
  <si>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</si>
  <si>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</si>
  <si>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</si>
  <si>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</si>
  <si>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</si>
  <si>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</si>
  <si>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</si>
  <si>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</si>
  <si>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</si>
  <si>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</si>
  <si>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</si>
  <si>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</si>
  <si>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</si>
  <si>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</si>
  <si>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</si>
  <si>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</si>
  <si>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</si>
  <si>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</si>
  <si>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</si>
  <si>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</si>
  <si>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</si>
  <si>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</si>
  <si>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</si>
  <si>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</si>
  <si>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</si>
  <si>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</si>
  <si>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</si>
  <si>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</si>
  <si>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</si>
  <si>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</si>
  <si>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</si>
  <si>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</si>
  <si>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</si>
  <si>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</si>
  <si>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</si>
  <si>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</si>
  <si>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</si>
  <si>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</si>
  <si>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</si>
  <si>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</si>
  <si>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</si>
  <si>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</si>
  <si>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</si>
  <si>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</si>
  <si>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</si>
  <si>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</si>
  <si>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</si>
  <si>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</si>
  <si>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</si>
  <si>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</si>
  <si>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</si>
  <si>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</si>
  <si>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</si>
  <si>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</si>
  <si>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</si>
  <si>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</si>
  <si>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</si>
  <si>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</si>
  <si>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</si>
  <si>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</si>
  <si>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</si>
  <si>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</si>
  <si>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</si>
  <si>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</si>
  <si>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</si>
  <si>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</si>
  <si>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</si>
  <si>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</si>
  <si>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</si>
  <si>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</si>
  <si>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</si>
  <si>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</si>
  <si>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</si>
  <si>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</si>
  <si>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</si>
  <si>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</si>
  <si>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</si>
  <si>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</si>
  <si>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</si>
  <si>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</si>
  <si>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</si>
  <si>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</si>
  <si>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</si>
  <si>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</si>
  <si>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</si>
  <si>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</si>
  <si>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</si>
  <si>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</si>
  <si>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</si>
  <si>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</si>
  <si>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</si>
  <si>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</si>
  <si>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</si>
  <si>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</si>
  <si>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</si>
  <si>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</si>
  <si>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</si>
  <si>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</si>
  <si>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</si>
  <si>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</si>
  <si>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</si>
  <si>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</si>
  <si>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</si>
  <si>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</si>
  <si>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</si>
  <si>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</si>
  <si>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</si>
  <si>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</si>
  <si>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</si>
  <si>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</si>
  <si>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</si>
  <si>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</si>
  <si>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</si>
  <si>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</si>
  <si>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</si>
  <si>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</si>
  <si>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</si>
  <si>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</si>
  <si>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</si>
  <si>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</si>
  <si>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</si>
  <si>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</si>
  <si>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</si>
  <si>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</si>
  <si>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</si>
  <si>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</si>
  <si>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</si>
  <si>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</si>
  <si>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</si>
  <si>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</si>
  <si>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</si>
  <si>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</si>
  <si>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</si>
  <si>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</si>
  <si>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</si>
  <si>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</si>
  <si>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</si>
  <si>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</si>
  <si>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</si>
  <si>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</si>
  <si>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</si>
  <si>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</si>
  <si>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</si>
  <si>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</si>
  <si>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</si>
  <si>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</si>
  <si>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</si>
  <si>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</si>
  <si>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</si>
  <si>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</si>
  <si>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</si>
  <si>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</si>
  <si>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</si>
  <si>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</si>
  <si>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</si>
  <si>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</si>
  <si>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</si>
  <si>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</si>
  <si>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</si>
  <si>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</si>
  <si>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</si>
  <si>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</si>
  <si>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</si>
  <si>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</si>
  <si>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</si>
  <si>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</si>
  <si>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</si>
  <si>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</si>
  <si>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</si>
  <si>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</si>
  <si>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</si>
  <si>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</si>
  <si>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</si>
  <si>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</si>
  <si>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</si>
  <si>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</si>
  <si>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</si>
  <si>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</si>
  <si>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</si>
  <si>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</si>
  <si>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</si>
  <si>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</si>
  <si>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</si>
  <si>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</si>
  <si>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</si>
  <si>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</si>
  <si>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</si>
  <si>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</si>
  <si>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</si>
  <si>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</si>
  <si>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</si>
  <si>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</si>
  <si>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</si>
  <si>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</si>
  <si>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</si>
  <si>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</si>
  <si>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</si>
  <si>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</si>
  <si>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</si>
  <si>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</si>
  <si>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</si>
  <si>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</si>
  <si>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</si>
  <si>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</si>
  <si>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</si>
  <si>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</si>
  <si>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</si>
  <si>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</si>
  <si>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</si>
  <si>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</si>
  <si>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</si>
  <si>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</si>
  <si>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</si>
  <si>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</si>
  <si>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</si>
  <si>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</si>
  <si>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</si>
  <si>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</si>
  <si>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</si>
  <si>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</si>
  <si>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</si>
  <si>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</si>
  <si>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</si>
  <si>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</si>
  <si>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</si>
  <si>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</si>
  <si>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</si>
  <si>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</si>
  <si>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</si>
  <si>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</si>
  <si>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</si>
  <si>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</si>
  <si>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</si>
  <si>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</si>
  <si>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</si>
  <si>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</si>
  <si>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</si>
  <si>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</si>
  <si>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</si>
  <si>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</si>
  <si>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</si>
  <si>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</si>
  <si>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</si>
  <si>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</si>
  <si>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</si>
  <si>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</si>
  <si>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</si>
  <si>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</si>
  <si>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</si>
  <si>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</si>
  <si>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</si>
  <si>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</si>
  <si>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</si>
  <si>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</si>
  <si>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</si>
  <si>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</si>
  <si>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</si>
  <si>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</si>
  <si>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</si>
  <si>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</si>
  <si>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</si>
  <si>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</si>
  <si>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</si>
  <si>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</si>
  <si>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</si>
  <si>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</si>
  <si>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</si>
  <si>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</si>
  <si>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</si>
  <si>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</si>
  <si>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</si>
  <si>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</si>
  <si>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</si>
  <si>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</si>
  <si>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</si>
  <si>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</si>
  <si>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</si>
  <si>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</si>
  <si>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</si>
  <si>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</si>
  <si>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</si>
  <si>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</si>
  <si>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</si>
  <si>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</si>
  <si>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</si>
  <si>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</si>
  <si>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</si>
  <si>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</si>
  <si>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</si>
  <si>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</si>
  <si>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</si>
  <si>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</si>
  <si>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</si>
  <si>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</si>
  <si>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</si>
  <si>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</si>
  <si>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</si>
  <si>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</si>
  <si>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</si>
  <si>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</si>
  <si>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</si>
  <si>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</si>
  <si>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</si>
  <si>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</si>
  <si>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</si>
  <si>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</si>
  <si>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</si>
  <si>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</si>
  <si>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</si>
  <si>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</si>
  <si>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</si>
  <si>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</si>
  <si>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</si>
  <si>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</si>
  <si>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</si>
  <si>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</si>
  <si>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</si>
  <si>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</si>
  <si>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</si>
  <si>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</si>
  <si>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</si>
  <si>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</si>
  <si>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</si>
  <si>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</si>
  <si>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</si>
  <si>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</si>
  <si>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</si>
  <si>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</si>
  <si>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</si>
  <si>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</si>
  <si>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</si>
  <si>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</si>
  <si>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</si>
  <si>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</si>
  <si>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</si>
  <si>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</si>
  <si>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</si>
  <si>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</si>
  <si>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</si>
  <si>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</si>
  <si>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</si>
  <si>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</si>
  <si>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</si>
  <si>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</si>
  <si>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</si>
  <si>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</si>
  <si>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</si>
  <si>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</si>
  <si>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</si>
  <si>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</si>
  <si>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</si>
  <si>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</si>
  <si>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</si>
  <si>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</si>
  <si>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</si>
  <si>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</si>
  <si>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</si>
  <si>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</si>
  <si>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</si>
  <si>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</si>
  <si>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</si>
  <si>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</si>
  <si>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</si>
  <si>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</si>
  <si>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</si>
  <si>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</si>
  <si>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</si>
  <si>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</si>
  <si>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</si>
  <si>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</si>
  <si>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</si>
  <si>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</si>
  <si>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</si>
  <si>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</si>
  <si>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</si>
  <si>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</si>
  <si>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</si>
  <si>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</si>
  <si>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</si>
  <si>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</si>
  <si>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</si>
  <si>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</si>
  <si>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</si>
  <si>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</si>
  <si>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</si>
  <si>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</si>
  <si>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</si>
  <si>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</si>
  <si>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</si>
  <si>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</si>
  <si>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</si>
  <si>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</si>
  <si>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</si>
  <si>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</si>
  <si>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</si>
  <si>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</si>
  <si>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</si>
  <si>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</si>
  <si>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</si>
  <si>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</si>
  <si>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</si>
  <si>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</si>
  <si>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</si>
  <si>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</si>
  <si>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</si>
  <si>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</si>
  <si>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</si>
  <si>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</si>
  <si>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</si>
  <si>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</si>
  <si>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</si>
  <si>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</si>
  <si>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</si>
  <si>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</si>
  <si>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</si>
  <si>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</si>
  <si>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</si>
  <si>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</si>
  <si>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</si>
  <si>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</si>
  <si>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</si>
  <si>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</si>
  <si>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</si>
  <si>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</si>
  <si>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</si>
  <si>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</si>
  <si>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</si>
  <si>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</si>
  <si>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</si>
  <si>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</si>
  <si>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</si>
  <si>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</si>
  <si>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</si>
  <si>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</si>
  <si>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</si>
  <si>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</si>
  <si>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</si>
  <si>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</si>
  <si>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</si>
  <si>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</si>
  <si>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</si>
  <si>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</si>
  <si>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</si>
  <si>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</si>
  <si>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</si>
  <si>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</si>
  <si>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</si>
  <si>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</si>
  <si>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</si>
  <si>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</si>
  <si>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</si>
  <si>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</si>
  <si>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</si>
  <si>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</si>
  <si>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</si>
  <si>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</si>
  <si>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</si>
  <si>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</si>
  <si>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</si>
  <si>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</si>
  <si>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</si>
  <si>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</si>
  <si>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</si>
  <si>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</si>
  <si>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</si>
  <si>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</si>
  <si>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</si>
  <si>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</si>
  <si>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</si>
  <si>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</si>
  <si>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</si>
  <si>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</si>
  <si>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</si>
  <si>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</si>
  <si>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</si>
  <si>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</si>
  <si>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</si>
  <si>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</si>
  <si>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</si>
  <si>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</si>
  <si>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</si>
  <si>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</si>
  <si>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</si>
  <si>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</si>
  <si>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</si>
  <si>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</si>
  <si>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</si>
  <si>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</si>
  <si>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</si>
  <si>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</si>
  <si>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</si>
  <si>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</si>
  <si>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</si>
  <si>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</si>
  <si>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</si>
  <si>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</si>
  <si>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</si>
  <si>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</si>
  <si>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</si>
  <si>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</si>
  <si>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</si>
  <si>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</si>
  <si>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</si>
  <si>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</si>
  <si>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</si>
  <si>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</si>
  <si>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</si>
  <si>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</si>
  <si>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</si>
  <si>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</si>
  <si>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</si>
  <si>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</si>
  <si>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</si>
  <si>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</si>
  <si>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</si>
  <si>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</si>
  <si>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</si>
  <si>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</si>
  <si>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</si>
  <si>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</si>
  <si>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</si>
  <si>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</si>
  <si>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</si>
  <si>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</si>
  <si>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</si>
  <si>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</si>
  <si>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</si>
  <si>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</si>
  <si>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</si>
  <si>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</si>
  <si>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</si>
  <si>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</si>
  <si>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</si>
  <si>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</si>
  <si>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</si>
  <si>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</si>
  <si>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</si>
  <si>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</si>
  <si>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</si>
  <si>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</si>
  <si>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</si>
  <si>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</si>
  <si>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</si>
  <si>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</si>
  <si>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</si>
  <si>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</si>
  <si>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</si>
  <si>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</si>
  <si>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</si>
  <si>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</si>
  <si>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</si>
  <si>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</si>
  <si>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</si>
  <si>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</si>
  <si>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</si>
  <si>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</si>
  <si>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</si>
  <si>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</si>
  <si>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</si>
  <si>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</si>
  <si>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</si>
  <si>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</si>
  <si>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</si>
  <si>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</si>
  <si>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</si>
  <si>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</si>
  <si>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</si>
  <si>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</si>
  <si>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</si>
  <si>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</si>
  <si>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</si>
  <si>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</si>
  <si>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</si>
  <si>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</si>
  <si>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</si>
  <si>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</si>
  <si>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</si>
  <si>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</si>
  <si>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</si>
  <si>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</si>
  <si>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</si>
  <si>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</si>
  <si>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</si>
  <si>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</si>
  <si>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</si>
  <si>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</si>
  <si>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</si>
  <si>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</si>
  <si>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</si>
  <si>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</si>
  <si>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</si>
  <si>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</si>
  <si>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</si>
  <si>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</si>
  <si>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</si>
  <si>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</si>
  <si>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</si>
  <si>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</si>
  <si>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</si>
  <si>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</si>
  <si>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</si>
  <si>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</si>
  <si>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</si>
  <si>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</si>
  <si>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</si>
  <si>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</si>
  <si>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</si>
  <si>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</si>
  <si>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</si>
  <si>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</si>
  <si>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</si>
  <si>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</si>
  <si>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</si>
  <si>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</si>
  <si>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</si>
  <si>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</si>
  <si>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</si>
  <si>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</si>
  <si>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</si>
  <si>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</si>
  <si>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</si>
  <si>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</si>
  <si>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</si>
  <si>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</si>
  <si>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</si>
  <si>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</si>
  <si>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</si>
  <si>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</si>
  <si>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</si>
  <si>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</si>
  <si>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</si>
  <si>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</si>
  <si>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</si>
  <si>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</si>
  <si>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</si>
  <si>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</si>
  <si>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</si>
  <si>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</si>
  <si>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</si>
  <si>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</si>
  <si>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</si>
  <si>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</si>
  <si>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</si>
  <si>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</si>
  <si>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</si>
  <si>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</si>
  <si>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</si>
  <si>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</si>
  <si>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</si>
  <si>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</si>
  <si>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</si>
  <si>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</si>
  <si>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</si>
  <si>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</si>
  <si>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</si>
  <si>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</si>
  <si>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</si>
  <si>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</si>
  <si>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</si>
  <si>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</si>
  <si>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</si>
  <si>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</si>
  <si>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</si>
  <si>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</si>
  <si>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</si>
  <si>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</si>
  <si>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</si>
  <si>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</si>
  <si>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</si>
  <si>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</si>
  <si>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</si>
  <si>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</si>
  <si>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</si>
  <si>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</si>
  <si>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</si>
  <si>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</si>
  <si>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</si>
  <si>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</si>
  <si>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</si>
  <si>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</si>
  <si>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</si>
  <si>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</si>
  <si>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</si>
  <si>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</si>
  <si>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</si>
  <si>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</si>
  <si>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</si>
  <si>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</si>
  <si>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</si>
  <si>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</si>
  <si>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</si>
  <si>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</si>
  <si>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</si>
  <si>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</si>
  <si>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</si>
  <si>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</si>
  <si>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</si>
  <si>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</si>
  <si>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</si>
  <si>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</si>
  <si>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</si>
  <si>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</si>
  <si>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</si>
  <si>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</si>
  <si>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</si>
  <si>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</si>
  <si>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</si>
  <si>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</si>
  <si>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</si>
  <si>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</si>
  <si>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</si>
  <si>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</si>
  <si>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</si>
  <si>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</si>
  <si>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</si>
  <si>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</si>
  <si>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</si>
  <si>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</si>
  <si>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</si>
  <si>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</si>
  <si>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</si>
  <si>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</si>
  <si>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</si>
  <si>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</si>
  <si>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</si>
  <si>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</si>
  <si>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</si>
  <si>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</si>
  <si>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</si>
  <si>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</si>
  <si>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</si>
  <si>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</si>
  <si>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</si>
  <si>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</si>
  <si>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</si>
  <si>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</si>
  <si>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</si>
  <si>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</si>
  <si>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</si>
  <si>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</si>
  <si>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</si>
  <si>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</si>
  <si>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</si>
  <si>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</si>
  <si>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</si>
  <si>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</si>
  <si>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</si>
  <si>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</si>
  <si>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</si>
  <si>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</si>
  <si>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</si>
  <si>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</si>
  <si>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</si>
  <si>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</si>
  <si>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</si>
  <si>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</si>
  <si>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</si>
  <si>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</si>
  <si>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</si>
  <si>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</si>
  <si>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</si>
  <si>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</si>
  <si>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</si>
  <si>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</si>
  <si>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</si>
  <si>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</si>
  <si>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</si>
  <si>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</si>
  <si>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</si>
  <si>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</si>
  <si>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</si>
  <si>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</si>
  <si>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</si>
  <si>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</si>
  <si>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</si>
  <si>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</si>
  <si>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</si>
  <si>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</si>
  <si>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</si>
  <si>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</si>
  <si>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</si>
  <si>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</si>
  <si>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</si>
  <si>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</si>
  <si>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</si>
  <si>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</si>
  <si>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</si>
  <si>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</si>
  <si>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</si>
  <si>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</si>
  <si>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</si>
  <si>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</si>
  <si>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</si>
  <si>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</si>
  <si>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</si>
  <si>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</si>
  <si>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</si>
  <si>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</si>
  <si>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</si>
  <si>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</si>
  <si>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</si>
  <si>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</si>
  <si>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</si>
  <si>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</si>
  <si>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</si>
  <si>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</si>
  <si>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</si>
  <si>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</si>
  <si>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</si>
  <si>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</si>
  <si>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</si>
  <si>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</si>
  <si>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</si>
  <si>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</si>
  <si>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</si>
  <si>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</si>
  <si>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</si>
  <si>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</si>
  <si>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</si>
  <si>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</si>
  <si>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</si>
  <si>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</si>
  <si>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</si>
  <si>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</si>
  <si>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</si>
  <si>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</si>
  <si>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</si>
  <si>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</si>
  <si>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</si>
  <si>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</si>
  <si>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</si>
  <si>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</si>
  <si>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</si>
  <si>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</si>
  <si>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</si>
  <si>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</si>
  <si>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</si>
  <si>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</si>
  <si>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</si>
  <si>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</si>
  <si>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</si>
  <si>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</si>
  <si>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</si>
  <si>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</si>
  <si>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</si>
  <si>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</si>
  <si>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</si>
  <si>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</si>
  <si>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</si>
  <si>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</si>
  <si>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</si>
  <si>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</si>
  <si>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</si>
  <si>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</si>
  <si>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</si>
  <si>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</si>
  <si>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</si>
  <si>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</si>
  <si>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</si>
  <si>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</si>
  <si>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</si>
  <si>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</si>
  <si>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</si>
  <si>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</si>
  <si>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</si>
  <si>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</si>
  <si>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</si>
  <si>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</si>
  <si>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</si>
  <si>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</si>
  <si>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</si>
  <si>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</si>
  <si>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</si>
  <si>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</si>
  <si>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</si>
  <si>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</si>
  <si>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</si>
  <si>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</si>
  <si>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</si>
  <si>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</si>
  <si>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</si>
  <si>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</si>
  <si>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</si>
  <si>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</si>
  <si>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</si>
  <si>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</si>
  <si>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</si>
  <si>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</si>
  <si>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</si>
  <si>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</si>
  <si>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</si>
  <si>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</si>
  <si>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</si>
  <si>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</si>
  <si>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</si>
  <si>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</si>
  <si>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</si>
  <si>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</si>
  <si>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</si>
  <si>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</si>
  <si>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</si>
  <si>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</si>
  <si>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</si>
  <si>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</si>
  <si>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</si>
  <si>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</si>
  <si>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</si>
  <si>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</si>
  <si>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</si>
  <si>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</si>
  <si>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</si>
  <si>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</si>
  <si>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</si>
  <si>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</si>
  <si>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</si>
  <si>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</si>
  <si>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</si>
  <si>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</si>
  <si>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</si>
  <si>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</si>
  <si>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</si>
  <si>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</si>
  <si>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</si>
  <si>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</si>
  <si>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</si>
  <si>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</si>
  <si>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</si>
  <si>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</si>
  <si>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</si>
  <si>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</si>
  <si>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</si>
  <si>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</si>
  <si>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</si>
  <si>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</si>
  <si>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</si>
  <si>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</si>
  <si>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</si>
  <si>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</si>
  <si>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</si>
  <si>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</si>
  <si>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</si>
  <si>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</si>
  <si>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</si>
  <si>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</si>
  <si>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</si>
  <si>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</si>
  <si>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</si>
  <si>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</si>
  <si>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</si>
  <si>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</si>
  <si>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</si>
  <si>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</si>
  <si>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</si>
  <si>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</si>
  <si>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</si>
  <si>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</si>
  <si>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</si>
  <si>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</si>
  <si>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</si>
  <si>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</si>
  <si>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</si>
  <si>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</si>
  <si>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</si>
  <si>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</si>
  <si>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</si>
  <si>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</si>
  <si>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</si>
  <si>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</si>
  <si>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</si>
  <si>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</si>
  <si>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</si>
  <si>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</si>
  <si>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</si>
  <si>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</si>
  <si>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</si>
  <si>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</si>
  <si>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</si>
  <si>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</si>
  <si>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</si>
  <si>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</si>
  <si>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</si>
  <si>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</si>
  <si>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</si>
  <si>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</si>
  <si>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</si>
  <si>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</si>
  <si>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</si>
  <si>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</si>
  <si>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</si>
  <si>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</si>
  <si>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</si>
  <si>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</si>
  <si>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</si>
  <si>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</si>
  <si>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</si>
  <si>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</si>
  <si>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</si>
  <si>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</si>
  <si>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</si>
  <si>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</si>
  <si>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</si>
  <si>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</si>
  <si>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</si>
  <si>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</si>
  <si>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</si>
  <si>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</si>
  <si>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</si>
  <si>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</si>
  <si>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</si>
  <si>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</si>
  <si>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</si>
  <si>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</si>
  <si>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</si>
  <si>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</si>
  <si>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</si>
  <si>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</si>
  <si>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</si>
  <si>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</si>
  <si>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</si>
  <si>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</si>
  <si>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</si>
  <si>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</si>
  <si>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</si>
  <si>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</si>
  <si>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</si>
  <si>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</si>
  <si>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</si>
  <si>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</si>
  <si>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</si>
  <si>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</si>
  <si>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</si>
  <si>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</si>
  <si>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</si>
  <si>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</si>
  <si>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</si>
  <si>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</si>
  <si>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</si>
  <si>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</si>
  <si>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</si>
  <si>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</si>
  <si>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</si>
  <si>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</si>
  <si>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</si>
  <si>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</si>
  <si>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</si>
  <si>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</si>
  <si>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</si>
  <si>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</si>
  <si>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</si>
  <si>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</si>
  <si>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</si>
  <si>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</si>
  <si>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</si>
  <si>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</si>
  <si>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</si>
  <si>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</si>
  <si>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</si>
  <si>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</si>
  <si>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</si>
  <si>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</si>
  <si>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</si>
  <si>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</si>
  <si>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</si>
  <si>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</si>
  <si>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</si>
  <si>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</si>
  <si>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</si>
  <si>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</si>
  <si>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</si>
  <si>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</si>
  <si>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</si>
  <si>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</si>
  <si>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</si>
  <si>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</si>
  <si>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</si>
  <si>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</si>
  <si>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</si>
  <si>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</si>
  <si>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</si>
  <si>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</si>
  <si>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</si>
  <si>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</si>
  <si>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</si>
  <si>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</si>
  <si>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</si>
  <si>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</si>
  <si>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</si>
  <si>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</si>
  <si>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</si>
  <si>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</si>
  <si>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</si>
  <si>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</si>
  <si>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</si>
  <si>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</si>
  <si>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</si>
  <si>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</si>
  <si>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</si>
  <si>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</si>
  <si>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</si>
  <si>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</si>
  <si>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</si>
  <si>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</si>
  <si>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</si>
  <si>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</si>
  <si>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</si>
  <si>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</si>
  <si>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</si>
  <si>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</si>
  <si>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</si>
  <si>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</si>
  <si>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</si>
  <si>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</si>
  <si>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</si>
  <si>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</si>
  <si>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</si>
  <si>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</si>
  <si>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</si>
  <si>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</si>
  <si>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</si>
  <si>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</si>
  <si>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</si>
  <si>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</si>
  <si>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</si>
  <si>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</si>
  <si>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</si>
  <si>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</si>
  <si>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</si>
  <si>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</si>
  <si>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</si>
  <si>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</si>
  <si>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</si>
  <si>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</si>
  <si>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</si>
  <si>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</si>
  <si>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</si>
  <si>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</si>
  <si>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</si>
  <si>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</si>
  <si>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</si>
  <si>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</si>
  <si>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</si>
  <si>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</si>
  <si>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</si>
  <si>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</si>
  <si>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</si>
  <si>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</si>
  <si>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</si>
  <si>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</si>
  <si>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</si>
  <si>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</si>
  <si>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</si>
  <si>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</si>
  <si>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</si>
  <si>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</si>
  <si>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</si>
  <si>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</si>
  <si>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</si>
  <si>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</si>
  <si>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</si>
  <si>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</si>
  <si>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</si>
  <si>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</si>
  <si>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</si>
  <si>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</si>
  <si>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</si>
  <si>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</si>
  <si>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</si>
  <si>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</si>
  <si>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</si>
  <si>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</si>
  <si>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</si>
  <si>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</si>
  <si>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</si>
  <si>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</si>
  <si>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</si>
  <si>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</si>
  <si>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</si>
  <si>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</si>
  <si>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</si>
  <si>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</si>
  <si>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</si>
  <si>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</si>
  <si>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</si>
  <si>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</si>
  <si>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</si>
  <si>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</si>
  <si>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</si>
  <si>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</si>
  <si>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</si>
  <si>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</si>
  <si>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</si>
  <si>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</si>
  <si>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</si>
  <si>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</si>
  <si>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</si>
  <si>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</si>
  <si>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</si>
  <si>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</si>
  <si>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</si>
  <si>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</si>
  <si>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</si>
  <si>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</si>
  <si>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</si>
  <si>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</si>
  <si>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</si>
  <si>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</si>
  <si>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</si>
  <si>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</si>
  <si>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</si>
  <si>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</si>
  <si>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</si>
  <si>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</si>
  <si>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</si>
  <si>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</si>
  <si>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</si>
  <si>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</si>
  <si>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</si>
  <si>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</si>
  <si>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</si>
  <si>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</si>
  <si>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</si>
  <si>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</si>
  <si>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</si>
  <si>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</si>
  <si>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</si>
  <si>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</si>
  <si>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</si>
  <si>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</si>
  <si>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</si>
  <si>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</si>
  <si>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</si>
  <si>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</si>
  <si>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</si>
  <si>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</si>
  <si>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</si>
  <si>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</si>
  <si>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</si>
  <si>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</si>
  <si>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</si>
  <si>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</si>
  <si>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</si>
  <si>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</si>
  <si>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</si>
  <si>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</si>
  <si>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</si>
  <si>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</si>
  <si>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</si>
  <si>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</si>
  <si>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</si>
  <si>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</si>
  <si>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</si>
  <si>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</si>
  <si>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</si>
  <si>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</si>
  <si>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</si>
  <si>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</si>
  <si>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</si>
  <si>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</si>
  <si>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</si>
  <si>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</si>
  <si>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</si>
  <si>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</si>
  <si>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</si>
  <si>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</si>
  <si>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</si>
  <si>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</si>
  <si>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</si>
  <si>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</si>
  <si>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</si>
  <si>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</si>
  <si>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</si>
  <si>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</si>
  <si>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</si>
  <si>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</si>
  <si>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</si>
  <si>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</si>
  <si>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</si>
  <si>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</si>
  <si>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</si>
  <si>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</si>
  <si>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</si>
  <si>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</si>
  <si>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</si>
  <si>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</si>
  <si>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</si>
  <si>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</si>
  <si>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</si>
  <si>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</si>
  <si>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</si>
  <si>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</si>
  <si>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</si>
  <si>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</si>
  <si>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</si>
  <si>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</si>
  <si>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</si>
  <si>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</si>
  <si>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</si>
  <si>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</si>
  <si>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</si>
  <si>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</si>
  <si>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</si>
  <si>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</si>
  <si>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</si>
  <si>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</si>
  <si>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</si>
  <si>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</si>
  <si>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</si>
  <si>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</si>
  <si>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</si>
  <si>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</si>
  <si>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</si>
  <si>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</si>
  <si>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</si>
  <si>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</si>
  <si>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</si>
  <si>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</si>
  <si>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</si>
  <si>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</si>
  <si>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</si>
  <si>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</si>
  <si>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</si>
  <si>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</si>
  <si>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</si>
  <si>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</si>
  <si>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</si>
  <si>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</si>
  <si>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</si>
  <si>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</si>
  <si>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</si>
  <si>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</si>
  <si>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</si>
  <si>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</si>
  <si>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</si>
  <si>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</si>
  <si>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</si>
  <si>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</si>
  <si>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</si>
  <si>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</si>
  <si>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</si>
  <si>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</si>
  <si>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</si>
  <si>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</si>
  <si>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</si>
  <si>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</si>
  <si>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</si>
  <si>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</si>
  <si>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</si>
  <si>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</si>
  <si>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</si>
  <si>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</si>
  <si>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</si>
  <si>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</si>
  <si>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</si>
  <si>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</si>
  <si>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</si>
  <si>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</si>
  <si>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</si>
  <si>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</si>
  <si>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</si>
  <si>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</si>
  <si>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</si>
  <si>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</si>
  <si>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</si>
  <si>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</si>
  <si>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</si>
  <si>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</si>
  <si>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</si>
  <si>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</si>
  <si>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</si>
  <si>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</si>
  <si>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</si>
  <si>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</si>
  <si>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</si>
  <si>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</si>
  <si>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</si>
  <si>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</si>
  <si>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</si>
  <si>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</si>
  <si>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</si>
  <si>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</si>
  <si>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</si>
  <si>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</si>
  <si>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</si>
  <si>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</si>
  <si>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</si>
  <si>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</si>
  <si>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</si>
  <si>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</si>
  <si>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</si>
  <si>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</si>
  <si>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</si>
  <si>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</si>
  <si>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</si>
  <si>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</si>
  <si>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</si>
  <si>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</si>
  <si>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</si>
  <si>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</si>
  <si>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</si>
  <si>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</si>
  <si>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</si>
  <si>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</si>
  <si>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</si>
  <si>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</si>
  <si>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</si>
  <si>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</si>
  <si>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</si>
  <si>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</si>
  <si>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</si>
  <si>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</si>
  <si>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</si>
  <si>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</si>
  <si>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</si>
  <si>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</si>
  <si>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</si>
  <si>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</si>
  <si>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</si>
  <si>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</si>
  <si>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</si>
  <si>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</si>
  <si>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</si>
  <si>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</si>
  <si>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</si>
  <si>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</si>
  <si>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</si>
  <si>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</si>
  <si>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</si>
  <si>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</si>
  <si>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</si>
  <si>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</si>
  <si>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</si>
  <si>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</si>
  <si>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</si>
  <si>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</si>
  <si>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</si>
  <si>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</si>
  <si>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</si>
  <si>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</si>
  <si>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</si>
  <si>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</si>
  <si>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</si>
  <si>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</si>
  <si>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</si>
  <si>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</si>
  <si>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</si>
  <si>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</si>
  <si>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</si>
  <si>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</si>
  <si>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</si>
  <si>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</si>
  <si>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</si>
  <si>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</si>
  <si>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</si>
  <si>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</si>
  <si>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</si>
  <si>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</si>
  <si>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</si>
  <si>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</si>
  <si>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</si>
  <si>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</si>
  <si>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</si>
  <si>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</si>
  <si>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</si>
  <si>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</si>
  <si>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</si>
  <si>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</si>
  <si>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</si>
  <si>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</si>
  <si>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</si>
  <si>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</si>
  <si>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</si>
  <si>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</si>
  <si>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</si>
  <si>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</si>
  <si>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</si>
  <si>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</si>
  <si>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</si>
  <si>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</si>
  <si>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</si>
  <si>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</si>
  <si>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</si>
  <si>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</si>
  <si>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</si>
  <si>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</si>
  <si>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</si>
  <si>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</si>
  <si>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</si>
  <si>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</si>
  <si>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</si>
  <si>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</si>
  <si>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</si>
  <si>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</si>
  <si>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</si>
  <si>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</si>
  <si>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</si>
  <si>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</si>
  <si>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</si>
  <si>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</si>
  <si>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</si>
  <si>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</si>
  <si>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</si>
  <si>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</si>
  <si>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</si>
  <si>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</si>
  <si>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</si>
  <si>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</si>
  <si>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</si>
  <si>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</si>
  <si>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</si>
  <si>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</si>
  <si>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</si>
  <si>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</si>
  <si>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</si>
  <si>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</si>
  <si>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</si>
  <si>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</si>
  <si>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</si>
  <si>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</si>
  <si>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</si>
  <si>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</si>
  <si>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</si>
  <si>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</si>
  <si>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</si>
  <si>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</si>
  <si>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</si>
  <si>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</si>
  <si>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</si>
  <si>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</si>
  <si>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</si>
  <si>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</si>
  <si>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</si>
  <si>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</si>
  <si>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</si>
  <si>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</si>
  <si>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</si>
  <si>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</si>
  <si>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</si>
  <si>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</si>
  <si>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</si>
  <si>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</si>
  <si>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</si>
  <si>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</si>
  <si>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</si>
  <si>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</si>
  <si>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</si>
  <si>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</si>
  <si>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</si>
  <si>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</si>
  <si>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</si>
  <si>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</si>
  <si>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</si>
  <si>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</si>
  <si>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</si>
  <si>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</si>
  <si>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</si>
  <si>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</si>
  <si>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</si>
  <si>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</si>
  <si>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</si>
  <si>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</si>
  <si>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</si>
  <si>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</si>
  <si>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</si>
  <si>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</si>
  <si>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</si>
  <si>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</si>
  <si>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</si>
  <si>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</si>
  <si>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</si>
  <si>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</si>
  <si>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</si>
  <si>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</si>
  <si>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</si>
  <si>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</si>
  <si>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</si>
  <si>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</si>
  <si>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</si>
  <si>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</si>
  <si>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</si>
  <si>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</si>
  <si>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</si>
  <si>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</si>
  <si>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</si>
  <si>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</si>
  <si>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</si>
  <si>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</si>
  <si>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</si>
  <si>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</si>
  <si>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</si>
  <si>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</si>
  <si>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</si>
  <si>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</si>
  <si>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</si>
  <si>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</si>
  <si>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</si>
  <si>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</si>
  <si>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</si>
  <si>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</si>
  <si>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</si>
  <si>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</si>
  <si>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</si>
  <si>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</si>
  <si>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</si>
  <si>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</si>
  <si>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</si>
  <si>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</si>
  <si>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</si>
  <si>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</si>
  <si>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</si>
  <si>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</si>
  <si>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</si>
  <si>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</si>
  <si>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</si>
  <si>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</si>
  <si>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</si>
  <si>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</si>
  <si>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</si>
  <si>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</si>
  <si>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</si>
  <si>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</si>
  <si>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</si>
  <si>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</si>
  <si>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</si>
  <si>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</si>
  <si>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</si>
  <si>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</si>
  <si>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</si>
  <si>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</si>
  <si>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</si>
  <si>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</si>
  <si>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</si>
  <si>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</si>
  <si>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</si>
  <si>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</si>
  <si>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</si>
  <si>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</si>
  <si>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</si>
  <si>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</si>
  <si>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</si>
  <si>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</si>
  <si>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</si>
  <si>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</si>
  <si>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</si>
  <si>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</si>
  <si>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</si>
  <si>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</si>
  <si>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</si>
  <si>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</si>
  <si>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</si>
  <si>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</si>
  <si>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</si>
  <si>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</si>
  <si>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</si>
  <si>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</si>
  <si>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</si>
  <si>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</si>
  <si>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</si>
  <si>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</si>
  <si>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</si>
  <si>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</si>
  <si>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</si>
  <si>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</si>
  <si>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</si>
  <si>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</si>
  <si>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</si>
  <si>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</si>
  <si>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</si>
  <si>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</si>
  <si>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</si>
  <si>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</si>
  <si>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</si>
  <si>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</si>
  <si>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</si>
  <si>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</si>
  <si>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</si>
  <si>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</si>
  <si>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</si>
  <si>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</si>
  <si>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</si>
  <si>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</si>
  <si>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</si>
  <si>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</si>
  <si>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</si>
  <si>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</si>
  <si>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</si>
  <si>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</si>
  <si>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</si>
  <si>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</si>
  <si>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</si>
  <si>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</si>
  <si>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</si>
  <si>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</si>
  <si>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</si>
  <si>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</si>
  <si>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</si>
  <si>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</si>
  <si>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</si>
  <si>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</si>
  <si>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</si>
  <si>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</si>
  <si>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</si>
  <si>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</si>
  <si>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</si>
  <si>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</si>
  <si>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</si>
  <si>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</si>
  <si>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</si>
  <si>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</si>
  <si>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</si>
  <si>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</si>
  <si>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</si>
  <si>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</si>
  <si>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</si>
  <si>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</si>
  <si>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</si>
  <si>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</si>
  <si>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</si>
  <si>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</si>
  <si>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</si>
  <si>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</si>
  <si>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</si>
  <si>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</si>
  <si>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</si>
  <si>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</si>
  <si>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</si>
  <si>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</si>
  <si>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</si>
  <si>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</si>
  <si>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</si>
  <si>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</si>
  <si>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</si>
  <si>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</si>
  <si>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</si>
  <si>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</si>
  <si>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</si>
  <si>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</si>
  <si>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</si>
  <si>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</si>
  <si>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</si>
  <si>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</si>
  <si>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</si>
  <si>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</si>
  <si>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</si>
  <si>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</si>
  <si>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</si>
  <si>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</si>
  <si>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</si>
  <si>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</si>
  <si>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</si>
  <si>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</si>
  <si>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</si>
  <si>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</si>
  <si>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</si>
  <si>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</si>
  <si>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</si>
  <si>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</si>
  <si>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</si>
  <si>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</si>
  <si>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</si>
  <si>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</si>
  <si>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</si>
  <si>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</si>
  <si>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</si>
  <si>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</si>
  <si>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</si>
  <si>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</si>
  <si>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</si>
  <si>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</si>
  <si>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</si>
  <si>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</si>
  <si>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</si>
  <si>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</si>
  <si>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</si>
  <si>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</si>
  <si>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</si>
  <si>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</si>
  <si>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</si>
  <si>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</si>
  <si>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</si>
  <si>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</si>
  <si>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</si>
  <si>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</si>
  <si>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</si>
  <si>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</si>
  <si>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</si>
  <si>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</si>
  <si>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</si>
  <si>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</si>
  <si>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</si>
  <si>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</si>
  <si>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</si>
  <si>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</si>
  <si>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</si>
  <si>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</si>
  <si>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</si>
  <si>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</si>
  <si>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</si>
  <si>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</si>
  <si>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</si>
  <si>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</si>
  <si>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</si>
  <si>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</si>
  <si>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</si>
  <si>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</si>
  <si>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</si>
  <si>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</si>
  <si>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</si>
  <si>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</si>
  <si>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</si>
  <si>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</si>
  <si>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</si>
  <si>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</si>
  <si>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</si>
  <si>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</si>
  <si>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</si>
  <si>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</si>
  <si>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</si>
  <si>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</si>
  <si>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</si>
  <si>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</si>
  <si>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</si>
  <si>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</si>
  <si>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</si>
  <si>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</si>
  <si>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</si>
  <si>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</si>
  <si>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</si>
  <si>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</si>
  <si>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</si>
  <si>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</si>
  <si>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</si>
  <si>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</si>
  <si>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</si>
  <si>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</si>
  <si>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</si>
  <si>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</si>
  <si>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</si>
  <si>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</si>
  <si>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</si>
  <si>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</si>
  <si>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</si>
  <si>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</si>
  <si>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</si>
  <si>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</si>
  <si>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</si>
  <si>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</si>
  <si>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</si>
  <si>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</si>
  <si>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</si>
  <si>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</si>
  <si>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</si>
  <si>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</si>
  <si>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</si>
  <si>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</si>
  <si>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</si>
  <si>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</si>
  <si>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</si>
  <si>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</si>
  <si>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</si>
  <si>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</si>
  <si>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</si>
  <si>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</si>
  <si>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</si>
  <si>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</si>
  <si>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</si>
  <si>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</si>
  <si>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</si>
  <si>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</si>
  <si>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</si>
  <si>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</si>
  <si>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</si>
  <si>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</si>
  <si>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</si>
  <si>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</si>
  <si>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</si>
  <si>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</si>
  <si>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</si>
  <si>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</si>
  <si>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</si>
  <si>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</si>
  <si>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</si>
  <si>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</si>
  <si>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</si>
  <si>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</si>
  <si>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</si>
  <si>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</si>
  <si>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</si>
  <si>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</si>
  <si>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</si>
  <si>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</si>
  <si>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</si>
  <si>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</si>
  <si>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</si>
  <si>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</si>
  <si>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</si>
  <si>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</si>
  <si>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</si>
  <si>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</si>
  <si>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</si>
  <si>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</si>
  <si>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</si>
  <si>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</si>
  <si>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</si>
  <si>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</si>
  <si>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</si>
  <si>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</si>
  <si>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</si>
  <si>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</si>
  <si>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</si>
  <si>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</si>
  <si>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</si>
  <si>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</si>
  <si>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</si>
  <si>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</si>
  <si>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</si>
  <si>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</si>
  <si>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</si>
  <si>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</si>
  <si>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</si>
  <si>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</si>
  <si>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</si>
  <si>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</si>
  <si>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</si>
  <si>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</si>
  <si>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</si>
  <si>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</si>
  <si>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</si>
  <si>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</si>
  <si>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</si>
  <si>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</si>
  <si>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</si>
  <si>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</si>
  <si>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</si>
  <si>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</si>
  <si>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</si>
  <si>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</si>
  <si>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</si>
  <si>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</si>
  <si>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</si>
  <si>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</si>
  <si>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</si>
  <si>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</si>
  <si>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</si>
  <si>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</si>
  <si>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</si>
  <si>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</si>
  <si>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</si>
  <si>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</si>
  <si>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</si>
  <si>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</si>
  <si>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</si>
  <si>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</si>
  <si>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</si>
  <si>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</si>
  <si>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</si>
  <si>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</si>
  <si>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</si>
  <si>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</si>
  <si>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</si>
  <si>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</si>
  <si>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</si>
  <si>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</si>
  <si>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</si>
  <si>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</si>
  <si>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</si>
  <si>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</si>
  <si>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</si>
  <si>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</si>
  <si>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</si>
  <si>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</si>
  <si>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</si>
  <si>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</si>
  <si>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</si>
  <si>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</si>
  <si>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</si>
  <si>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</si>
  <si>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</si>
  <si>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</si>
  <si>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</si>
  <si>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</si>
  <si>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</si>
  <si>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</si>
  <si>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</si>
  <si>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</si>
  <si>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</si>
  <si>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</si>
  <si>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</si>
  <si>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</si>
  <si>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</si>
  <si>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</si>
  <si>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</si>
  <si>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</si>
  <si>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</si>
  <si>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</si>
  <si>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</si>
  <si>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</si>
  <si>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</si>
  <si>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</si>
  <si>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</si>
  <si>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</si>
  <si>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</si>
  <si>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</si>
  <si>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</si>
  <si>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</si>
  <si>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</si>
  <si>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</si>
  <si>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</si>
  <si>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</si>
  <si>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</si>
  <si>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</si>
  <si>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</si>
  <si>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</si>
  <si>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</si>
  <si>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</si>
  <si>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</si>
  <si>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</si>
  <si>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</si>
  <si>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</si>
  <si>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</si>
  <si>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</si>
  <si>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</si>
  <si>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</si>
  <si>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</si>
  <si>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</si>
  <si>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</si>
  <si>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</si>
  <si>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</si>
  <si>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</si>
  <si>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</si>
  <si>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</si>
  <si>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</si>
  <si>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</si>
  <si>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</si>
  <si>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</si>
  <si>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</si>
  <si>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</si>
  <si>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</si>
  <si>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</si>
  <si>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</si>
  <si>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</si>
  <si>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</si>
  <si>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</si>
  <si>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</si>
  <si>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</si>
  <si>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</si>
  <si>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</si>
  <si>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</si>
  <si>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</si>
  <si>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</si>
  <si>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</si>
  <si>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</si>
  <si>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</si>
  <si>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</si>
  <si>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</si>
  <si>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</si>
  <si>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</si>
  <si>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</si>
  <si>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</si>
  <si>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</si>
  <si>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</si>
  <si>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</si>
  <si>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</si>
  <si>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</si>
  <si>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</si>
  <si>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</si>
  <si>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</si>
  <si>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</si>
  <si>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</si>
  <si>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</si>
  <si>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</si>
  <si>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</si>
  <si>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</si>
  <si>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</si>
  <si>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</si>
  <si>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</si>
  <si>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</si>
  <si>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</si>
  <si>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</si>
  <si>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</si>
  <si>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</si>
  <si>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</si>
  <si>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</si>
  <si>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</si>
  <si>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</si>
  <si>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</si>
  <si>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</si>
  <si>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</si>
  <si>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</si>
  <si>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</si>
  <si>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</si>
  <si>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</si>
  <si>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</si>
  <si>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</si>
  <si>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</si>
  <si>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抵押价格</t>
  </si>
  <si>
    <t>企业</t>
  </si>
  <si>
    <t>朝阳区东坝北东南一期土地储备项目1104-611地块</t>
    <phoneticPr fontId="6" type="noConversion"/>
  </si>
  <si>
    <t>商业</t>
  </si>
  <si>
    <t>车库</t>
  </si>
  <si>
    <t>居住项目</t>
  </si>
  <si>
    <t>否</t>
  </si>
  <si>
    <t>规划图</t>
    <phoneticPr fontId="3" type="noConversion"/>
  </si>
  <si>
    <t>可售住宅</t>
  </si>
  <si>
    <t>可售住宅</t>
    <phoneticPr fontId="14" type="noConversion"/>
  </si>
  <si>
    <t>自持住宅</t>
  </si>
  <si>
    <t>自持住宅</t>
    <phoneticPr fontId="14" type="noConversion"/>
  </si>
  <si>
    <t>地上</t>
  </si>
  <si>
    <t>仓储</t>
  </si>
  <si>
    <t>地下仓储</t>
  </si>
  <si>
    <t>地下</t>
  </si>
  <si>
    <t>戊类库房</t>
  </si>
  <si>
    <t>地下仓储</t>
    <phoneticPr fontId="7" type="noConversion"/>
  </si>
  <si>
    <t>可售住宅</t>
    <phoneticPr fontId="7" type="noConversion"/>
  </si>
  <si>
    <t>自持住宅</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</si>
  <si>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</si>
  <si>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</si>
  <si>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</si>
  <si>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</si>
  <si>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</si>
  <si>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</si>
  <si>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</si>
  <si>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</si>
  <si>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</si>
  <si>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</si>
  <si>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</si>
  <si>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</si>
  <si>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</si>
  <si>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</si>
  <si>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</si>
  <si>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</si>
  <si>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</si>
  <si>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</si>
  <si>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</si>
  <si>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</si>
  <si>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</si>
  <si>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</si>
  <si>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</si>
  <si>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</si>
  <si>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</si>
  <si>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</si>
  <si>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</si>
  <si>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</si>
  <si>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</si>
  <si>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</si>
  <si>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</si>
  <si>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</si>
  <si>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</si>
  <si>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</si>
  <si>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</si>
  <si>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</si>
  <si>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</si>
  <si>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</si>
  <si>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</si>
  <si>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</si>
  <si>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</si>
  <si>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</si>
  <si>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</si>
  <si>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</si>
  <si>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</si>
  <si>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</si>
  <si>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</si>
  <si>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</si>
  <si>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</si>
  <si>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</si>
  <si>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</si>
  <si>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</si>
  <si>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</si>
  <si>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</si>
  <si>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</si>
  <si>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</si>
  <si>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</si>
  <si>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</si>
  <si>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</si>
  <si>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</si>
  <si>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</si>
  <si>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</si>
  <si>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</si>
  <si>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</si>
  <si>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</si>
  <si>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</si>
  <si>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</si>
  <si>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</si>
  <si>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</si>
  <si>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</si>
  <si>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</si>
  <si>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</si>
  <si>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</si>
  <si>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</si>
  <si>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</si>
  <si>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</si>
  <si>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</si>
  <si>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</si>
  <si>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</si>
  <si>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</si>
  <si>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</si>
  <si>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</si>
  <si>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</si>
  <si>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</si>
  <si>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</si>
  <si>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</si>
  <si>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</si>
  <si>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</si>
  <si>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</si>
  <si>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</si>
  <si>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</si>
  <si>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</si>
  <si>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</si>
  <si>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</si>
  <si>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</si>
  <si>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</si>
  <si>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</si>
  <si>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</si>
  <si>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</si>
  <si>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</si>
  <si>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</si>
  <si>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</si>
  <si>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</si>
  <si>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</si>
  <si>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</si>
  <si>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</si>
  <si>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</si>
  <si>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</si>
  <si>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</si>
  <si>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</si>
  <si>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</si>
  <si>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</si>
  <si>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</si>
  <si>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</si>
  <si>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</si>
  <si>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</si>
  <si>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</si>
  <si>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</si>
  <si>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</si>
  <si>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</si>
  <si>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</si>
  <si>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</si>
  <si>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</si>
  <si>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</si>
  <si>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</si>
  <si>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</si>
  <si>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</si>
  <si>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</si>
  <si>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</si>
  <si>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</si>
  <si>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</si>
  <si>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</si>
  <si>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</si>
  <si>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</si>
  <si>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</si>
  <si>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</si>
  <si>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</si>
  <si>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</si>
  <si>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</si>
  <si>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</si>
  <si>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</si>
  <si>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</si>
  <si>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</si>
  <si>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</si>
  <si>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</si>
  <si>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</si>
  <si>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</si>
  <si>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</si>
  <si>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</si>
  <si>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</si>
  <si>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</si>
  <si>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</si>
  <si>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</si>
  <si>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</si>
  <si>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</si>
  <si>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</si>
  <si>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</si>
  <si>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</si>
  <si>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</si>
  <si>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</si>
  <si>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</si>
  <si>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</si>
  <si>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</si>
  <si>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</si>
  <si>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</si>
  <si>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</si>
  <si>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</si>
  <si>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</si>
  <si>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</si>
  <si>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</si>
  <si>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</si>
  <si>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</si>
  <si>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</si>
  <si>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</si>
  <si>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</si>
  <si>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</si>
  <si>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</si>
  <si>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</si>
  <si>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</si>
  <si>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</si>
  <si>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</si>
  <si>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</si>
  <si>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</si>
  <si>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</si>
  <si>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</si>
  <si>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</si>
  <si>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</si>
  <si>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</si>
  <si>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</si>
  <si>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</si>
  <si>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</si>
  <si>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</si>
  <si>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</si>
  <si>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</si>
  <si>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</si>
  <si>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</si>
  <si>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</si>
  <si>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</si>
  <si>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</si>
  <si>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</si>
  <si>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</si>
  <si>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</si>
  <si>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</si>
  <si>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</si>
  <si>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</si>
  <si>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</si>
  <si>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</si>
  <si>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</si>
  <si>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</si>
  <si>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</si>
  <si>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北京市朝阳区东坝乡驹子房村1109-663地块R2二类居住用地</t>
  </si>
  <si>
    <t>京土整储挂(朝)[2017]077号</t>
  </si>
  <si>
    <t>≤60</t>
  </si>
  <si>
    <t>居住建筑规模全部用于建设“共有产权住房”</t>
  </si>
  <si>
    <t>2017-09-30</t>
  </si>
  <si>
    <t>2017-10-20</t>
  </si>
  <si>
    <t>2017-11-03</t>
  </si>
  <si>
    <t>天恒+旭辉+首开+房地</t>
  </si>
  <si>
    <t>旭辉控股（集团）有限公司,北京首都开发股份有限公司,北京天恒房地产股份有限公司</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</si>
  <si>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</si>
  <si>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</si>
  <si>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</si>
  <si>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限地价,限房价,竞自持,90/70</t>
  </si>
  <si>
    <t>2017-08-04</t>
  </si>
  <si>
    <t>2017-08-24</t>
  </si>
  <si>
    <t>2017-09-07</t>
  </si>
  <si>
    <t>张家口鸿运房地产开发有限公司</t>
  </si>
  <si>
    <t>泰禾集团股份有限公司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</si>
  <si>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</si>
  <si>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</si>
  <si>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</si>
  <si>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</si>
  <si>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</si>
  <si>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</si>
  <si>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</si>
  <si>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大悦城控股集团股份有限公司,华润置地有限公司,旭辉控股（集团）有限公司,万科企业股份有限公司,北京天恒房地产股份有限公司</t>
  </si>
  <si>
    <t>朝阳区管庄乡塔营村1208-605地块</t>
  </si>
  <si>
    <t>定福庄、管庄</t>
  </si>
  <si>
    <t>朝阳区管庄乡</t>
  </si>
  <si>
    <t>京土整储挂(朝)[2017]023号</t>
  </si>
  <si>
    <t>居住建筑规模全部为自住型商品房,销售限价29000元/平方米</t>
  </si>
  <si>
    <t>2017-03-22</t>
  </si>
  <si>
    <t>2017-04-11</t>
  </si>
  <si>
    <t>2017-04-25</t>
  </si>
  <si>
    <t>北京世纪鸿城置业有限公司</t>
  </si>
  <si>
    <t>北京城建投资发展股份有限公司,北京首都开发股份有限公司</t>
  </si>
  <si>
    <t>朝阳区东风乡豆各庄村0311-610等地块(东风乡农民安置房项目)</t>
  </si>
  <si>
    <t>姚家园</t>
  </si>
  <si>
    <t>朝阳区东风乡豆各庄村</t>
  </si>
  <si>
    <t>京土整储挂(朝)[2016]028号</t>
  </si>
  <si>
    <t>2016-11-24</t>
  </si>
  <si>
    <t>2016-12-14</t>
  </si>
  <si>
    <t>2016-12-28</t>
  </si>
  <si>
    <t>北京星火房地产开发有限责任公司</t>
  </si>
  <si>
    <t>泛海控股股份有限公司</t>
  </si>
  <si>
    <t>朝阳区将台乡驼房营村1016-34、36、40、41地块</t>
  </si>
  <si>
    <t>京土整储挂(朝)[2015]080号</t>
  </si>
  <si>
    <t>F2公建混合住宅用地、A33基础教育用地、R2二类居住用地、U12供电用地</t>
  </si>
  <si>
    <t>公共租赁房,</t>
  </si>
  <si>
    <t>2015-12-31</t>
  </si>
  <si>
    <t>2016-01-20</t>
  </si>
  <si>
    <t>2016-02-03</t>
  </si>
  <si>
    <t>致昌(北京)企业管理有限公司、杭州臻美投资有限公司和中交地产有限公司联合体</t>
  </si>
  <si>
    <t>九龙仓集团有限公司,招商局蛇口工业区控股股份有限公司,中交房地产集团有限公司,首创置业股份有限公司,绿城中国控股有限公司</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</si>
  <si>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</si>
  <si>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</si>
  <si>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</si>
  <si>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</si>
  <si>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</si>
  <si>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</si>
  <si>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</si>
  <si>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</si>
  <si>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</si>
  <si>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保利发展控股集团股份有限公司,北京首都开发股份有限公司</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</si>
  <si>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</si>
  <si>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</si>
  <si>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</si>
  <si>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</si>
  <si>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</si>
  <si>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</si>
  <si>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</si>
  <si>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</si>
  <si>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</si>
  <si>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</si>
  <si>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</si>
  <si>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</si>
  <si>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</si>
  <si>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</si>
  <si>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</si>
  <si>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保利发展控股集团股份有限公司,北京首都开发股份有限公司,龙湖集团控股有限公司</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</si>
  <si>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</si>
  <si>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</si>
  <si>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</si>
  <si>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</si>
  <si>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</si>
  <si>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</si>
  <si>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</si>
  <si>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</si>
  <si>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北京首都开发股份有限公司,保利发展控股集团股份有限公司,龙湖集团控股有限公司</t>
  </si>
  <si>
    <t>朝阳区东坝南区1106-692、634、693地块二类居住、基础教育用地</t>
  </si>
  <si>
    <t>朝阳区东坝南区中部,紧邻坝河</t>
  </si>
  <si>
    <t>京土整储挂(朝)[2014]088号</t>
  </si>
  <si>
    <t>二类居住用地、基础教育用地</t>
  </si>
  <si>
    <t>现场竞报自住型商品住房面积21500平方米,销售限价22000元/平方米。</t>
  </si>
  <si>
    <t>2014-12-12</t>
  </si>
  <si>
    <t>2015-01-04</t>
  </si>
  <si>
    <t>2015-01-16</t>
  </si>
  <si>
    <t>北京首都开发股份有限公司和北京龙湖中佰置业有限公司联合体</t>
  </si>
  <si>
    <t>北京首都开发股份有限公司,龙湖集团控股有限公司</t>
  </si>
  <si>
    <t>住宅70年、商业40年、综合50年</t>
  </si>
  <si>
    <t>朝阳区六公主坟住宅及配套项目棚户区改造前期工作及拟改造土地使用权</t>
  </si>
  <si>
    <t>京承高速与北四环路交界处以东(四环内含少部分用地)</t>
  </si>
  <si>
    <t>招标</t>
  </si>
  <si>
    <t>京土棚改招(朝)[2014]001号</t>
  </si>
  <si>
    <t>2014-10-31</t>
  </si>
  <si>
    <t>2014-11-26</t>
  </si>
  <si>
    <t>北京昆泰房地产开发集团有限公司</t>
  </si>
  <si>
    <t>居住70年</t>
  </si>
  <si>
    <t>朝阳区东坝南区1105-659、029地块二类居住、商业金融用地</t>
  </si>
  <si>
    <t>朝阳区东坝南区,五环路七棵树以东、坝河以南</t>
  </si>
  <si>
    <t>京土整储挂(朝)[2014]076号</t>
  </si>
  <si>
    <t>二类居住用地、商业金融用地</t>
  </si>
  <si>
    <t>现场竞报自住型商品住房31000平方米,销售限价22000元/平方米。</t>
  </si>
  <si>
    <t>2014-10-15</t>
  </si>
  <si>
    <t>2014-11-04</t>
  </si>
  <si>
    <t>2014-11-21</t>
  </si>
  <si>
    <t>湖南富兴集团有限公司</t>
  </si>
  <si>
    <t>朝阳区东坝南区1105-667地块二类居住用地(限价商品住房)</t>
  </si>
  <si>
    <t>京土整储挂(朝)[2014]077号</t>
  </si>
  <si>
    <t>二类居住用地</t>
  </si>
  <si>
    <t>北京首开天成房地产开发有限公司</t>
  </si>
  <si>
    <t>朝阳区来广营乡LGY-04、LGY-03、LGY-06地块二类居住、小学、中学用地(配建限价商品住房)</t>
  </si>
  <si>
    <t>北苑</t>
  </si>
  <si>
    <t>朝阳区来广营乡</t>
  </si>
  <si>
    <t>京土整储挂(朝)[2014]010号</t>
  </si>
  <si>
    <t>R2二类居住用地、R52小学用地、R51中学用地</t>
  </si>
  <si>
    <t>除“限价商品住房”外,剩余居住用途建筑规模全部用于建设自住型商品住房,销售限价为28000元/平方米。</t>
  </si>
  <si>
    <t>2014-02-21</t>
  </si>
  <si>
    <t>2014-03-13</t>
  </si>
  <si>
    <t>2014-03-27</t>
  </si>
  <si>
    <t>天津金碧投资有限公司</t>
  </si>
  <si>
    <t>中国恒大集团</t>
  </si>
  <si>
    <t>居住70年、商业40年、综合50年</t>
  </si>
  <si>
    <t>朝阳区崔各庄乡来广营北路二类居住用地</t>
  </si>
  <si>
    <t>朝阳区崔各庄乡来广营北路</t>
  </si>
  <si>
    <t>京土整储招(朝)[2013]153号</t>
  </si>
  <si>
    <t>宗地居住用途建筑规模全部用于建设“自住型商品住房”,房屋销售限价为22000元/平方米。</t>
  </si>
  <si>
    <t>2013-12-26</t>
  </si>
  <si>
    <t>2014-01-20</t>
  </si>
  <si>
    <t>北京东洲房地产开发有限公司</t>
  </si>
  <si>
    <t>朝阳区东坝单店二类居住、小学用地</t>
  </si>
  <si>
    <t>朝阳区东坝单店</t>
  </si>
  <si>
    <t>京土整储招(朝)[2013]146号</t>
  </si>
  <si>
    <t>R2二类居住用地、R52小学用地</t>
  </si>
  <si>
    <t>宗地居住用途建筑规模全部用于建设“自住型商品住房”,销售限价为22000元/平方米。</t>
  </si>
  <si>
    <t>2013-12-16</t>
  </si>
  <si>
    <t>2014-01-09</t>
  </si>
  <si>
    <t>北京金隅嘉业房地产开发有限公司</t>
  </si>
  <si>
    <t>北京金隅集团股份有限公司</t>
  </si>
  <si>
    <t>朝阳区百子湾路14号住宅混合公建用地</t>
  </si>
  <si>
    <t>四惠、甘露园</t>
  </si>
  <si>
    <t>朝阳区百子湾路14号</t>
  </si>
  <si>
    <t>京土整储招(朝)[2013]147号</t>
  </si>
  <si>
    <t>住宅混合公建用地</t>
  </si>
  <si>
    <t>2014-01-08</t>
  </si>
  <si>
    <t>北京建工置地有限任责公司</t>
  </si>
  <si>
    <t>北京建工地产</t>
  </si>
  <si>
    <t>朝阳区朝阳北路(原星牌建材制品厂)B01、B02、B03地块二类居住、中小学合校、托幼用地</t>
  </si>
  <si>
    <t>东八里庄、青年路</t>
  </si>
  <si>
    <t>朝阳区朝阳北路与东五环交叉口西南侧,原星牌建材制品厂用地</t>
  </si>
  <si>
    <t>京土整储招(朝)[2013]134号</t>
  </si>
  <si>
    <t>R2二类居住用地、R54中小学合校用地、R53托幼用地</t>
  </si>
  <si>
    <t>居住用途建筑规模全部用于建设“自住型商品住房”,房屋销售限价为22000元/平方米。</t>
  </si>
  <si>
    <t>2013-12-05</t>
  </si>
  <si>
    <t>2013-12-30</t>
  </si>
  <si>
    <t>朝阳区东坝南区1105-655、657号地二类居住、小学用地(配建限价商品住房)</t>
  </si>
  <si>
    <t>京土整储挂(朝)[2013]120号</t>
  </si>
  <si>
    <t>二类居住用地、小学用地</t>
  </si>
  <si>
    <t>现场竞报自住型商品房面积42000平方米,销售限价22000元/平方米。</t>
  </si>
  <si>
    <t>2013-10-25</t>
  </si>
  <si>
    <t>2013-11-14</t>
  </si>
  <si>
    <t>2013-11-28</t>
  </si>
  <si>
    <t>北京首城置业有限公司</t>
  </si>
  <si>
    <t>北京城建投资发展股份有限公司</t>
  </si>
  <si>
    <t>朝阳区东坝南区1105-654、656、658号地二类居住、公建混合住宅、其他公共设施用地(配建限价商品住房)</t>
  </si>
  <si>
    <t>京土整储挂(朝)[2013]116号</t>
  </si>
  <si>
    <t>二类居住用地、公建混合住宅用地、其他公共设施用地</t>
  </si>
  <si>
    <t>现场竞报自住型商品房面积112000平方米,销售限价22000元/平方米。</t>
  </si>
  <si>
    <t>2013-10-18</t>
  </si>
  <si>
    <t>2013-11-07</t>
  </si>
  <si>
    <t>2013-11-21</t>
  </si>
  <si>
    <t>朝阳区东坝南区1105-660、661、665、666号地二类居住、托幼、供电、其他市政公共设施用地(配建限价商品住房)</t>
  </si>
  <si>
    <t>京土整储挂(朝)[2013]085号</t>
  </si>
  <si>
    <t>二类居住用地、托幼用地供电用地、其他市政公共设施用地</t>
  </si>
  <si>
    <t>现场竞报自住型商品房面积50000平方米,销售限价22000元/平方米。</t>
  </si>
  <si>
    <t>2013-09-29</t>
  </si>
  <si>
    <t>2013-10-21</t>
  </si>
  <si>
    <t>2013-11-04</t>
  </si>
  <si>
    <t>保利(北京)房地产开发有限公司和北京首都开发股份有限公司联合体</t>
  </si>
  <si>
    <t>北京首都开发股份有限公司,保利发展控股集团股份有限公司</t>
  </si>
  <si>
    <t>朝阳区豆各庄乡土地储备项目B地块、C地块二类居住、公建混合住宅、托幼、环保设施用地</t>
  </si>
  <si>
    <t>朝阳区豆各庄乡黄厂村</t>
  </si>
  <si>
    <t>京土整储挂(朝)[2013]070号</t>
  </si>
  <si>
    <t>R2二类居住用地、F2公建混合住宅用地、R53托幼用地、U44环保设施用地</t>
  </si>
  <si>
    <t>2013-08-01</t>
  </si>
  <si>
    <t>2013-08-21</t>
  </si>
  <si>
    <t>2013-09-04</t>
  </si>
  <si>
    <t>恒大地产集团有限公司</t>
  </si>
  <si>
    <t>朝阳区农展馆北路8号0304-622地块住宅混合公建用地项目</t>
  </si>
  <si>
    <t>朝阳公园</t>
  </si>
  <si>
    <t>朝阳区农展馆北路8号</t>
  </si>
  <si>
    <t>京土整储挂(朝)[2013]069号</t>
  </si>
  <si>
    <t>北京融创恒基地产有限公司</t>
  </si>
  <si>
    <t>融创中国控股有限公司</t>
  </si>
  <si>
    <t>朝阳区孙河乡西甸村HIJ地块二类居住、托幼、医院用地</t>
  </si>
  <si>
    <t>京土整储挂(朝)[2013]052号</t>
  </si>
  <si>
    <t>二类居住用地、托幼用地、医院用地</t>
  </si>
  <si>
    <t>2013-06-19</t>
  </si>
  <si>
    <t>2013-07-09</t>
  </si>
  <si>
    <t>2013-07-23</t>
  </si>
  <si>
    <t>中粮地产(北京)有限公司</t>
  </si>
  <si>
    <t>大悦城控股集团股份有限公司</t>
  </si>
  <si>
    <t>朝阳区孙河乡西甸村G地块二类居住用地</t>
  </si>
  <si>
    <t>京土整储挂(朝)[2013]012号</t>
  </si>
  <si>
    <t>2013-01-23</t>
  </si>
  <si>
    <t>2013-02-16</t>
  </si>
  <si>
    <t>2013-02-28</t>
  </si>
  <si>
    <t>朝阳区孙河乡西甸村F地块二类居住用地</t>
  </si>
  <si>
    <t>京土整储挂(朝)[2013]011号</t>
  </si>
  <si>
    <t>朝阳区孙河乡北甸西村W地块二类居住用地</t>
  </si>
  <si>
    <t>京土整储挂(朝)[2012]087号</t>
  </si>
  <si>
    <t>2012-12-21</t>
  </si>
  <si>
    <t>2013-01-10</t>
  </si>
  <si>
    <t>2013-01-24</t>
  </si>
  <si>
    <t>福州泰禾房地产开发有限公司</t>
  </si>
  <si>
    <t>北京市朝阳区孙河乡北甸西村二类居住用地</t>
  </si>
  <si>
    <t>京土整储挂(朝)[2012]035号</t>
  </si>
  <si>
    <t>2012-09-12</t>
  </si>
  <si>
    <t>2012-09-26</t>
  </si>
  <si>
    <t>北京通瑞万华置业有限公司</t>
  </si>
  <si>
    <t>龙湖集团控股有限公司</t>
  </si>
  <si>
    <t>居住70年,商业40年,综合50年</t>
  </si>
  <si>
    <t>朝阳区来广营乡土地储备项目A4和B4地块</t>
  </si>
  <si>
    <t>京土整储挂(朝)[2012]001号</t>
  </si>
  <si>
    <t>R2二类居住用地、C9其他公共设施用地</t>
  </si>
  <si>
    <t>2012-01-29</t>
  </si>
  <si>
    <t>2012-02-14</t>
  </si>
  <si>
    <t>招商局地产(北京)有限公司和大连盈致企业管理有限公司竞买联合体</t>
  </si>
  <si>
    <t>九龙仓集团有限公司,招商局蛇口工业区控股股份有限公司</t>
  </si>
  <si>
    <t>朝阳区东坝中路红松园18号住宅混合公建用地(&amp;quot配建限价商品住房&amp;quot)</t>
  </si>
  <si>
    <t>朝阳区东坝中路</t>
  </si>
  <si>
    <t>京土整储招(朝)[2011]155号</t>
  </si>
  <si>
    <t>2011-12-22</t>
  </si>
  <si>
    <t>2011-12-29</t>
  </si>
  <si>
    <t>北京市利锦荣房地产开发有限公司</t>
  </si>
  <si>
    <t>朝阳区来广营乡土地储备项目B1-B3组团居住及商业金融项目</t>
  </si>
  <si>
    <t>京土整储挂(朝)[2011]129号</t>
  </si>
  <si>
    <t>R2二类居住用地、C2商业金融用地、R54中小学合校用地、C51医院用地</t>
  </si>
  <si>
    <t>2011-11-17</t>
  </si>
  <si>
    <t>2011-12-16</t>
  </si>
  <si>
    <t>上海拓丰投资咨询有限公司、天津融创奥城投资有限公司与北京融创恒基地产有限公司联合体</t>
  </si>
  <si>
    <t>融创中国控股有限公司,中国金茂控股集团有限公司</t>
  </si>
  <si>
    <t>北京市朝阳区管庄北二里住宅及公建用地(配建回迁安置商品房、公共租赁住房)</t>
  </si>
  <si>
    <t>朝阳区管庄</t>
  </si>
  <si>
    <t>京土整储招(朝)[2011]074号</t>
  </si>
  <si>
    <t>2011-08-04</t>
  </si>
  <si>
    <t>2011-08-08</t>
  </si>
  <si>
    <t>北京信远置业有限公司</t>
  </si>
  <si>
    <t>住宅70年</t>
  </si>
  <si>
    <t>朝阳区崔各庄乡大望京村环境整治土地储备项目4号、5号地</t>
  </si>
  <si>
    <t>朝阳区崔各庄乡大望京村</t>
  </si>
  <si>
    <t>京土整储挂(朝)[2010]020号</t>
  </si>
  <si>
    <t>公建混合住宅用地、住宅混合公建用地、托幼用地</t>
  </si>
  <si>
    <t>2010-03-03</t>
  </si>
  <si>
    <t>2010-03-17</t>
  </si>
  <si>
    <t>北京保利营房地产开发有限公司</t>
  </si>
  <si>
    <t>保利发展控股集团股份有限公司</t>
  </si>
  <si>
    <t>住宅:70年、商业:40年、综合:50年</t>
  </si>
  <si>
    <t>朝阳区崔各庄乡大望京村环境整治土地储备项目1号地</t>
  </si>
  <si>
    <t>京土整储挂(朝)[2010]011号</t>
  </si>
  <si>
    <t>住宅混合公建用地、医院用地、其它类多功能用地、居住区配套教育用地</t>
  </si>
  <si>
    <t>2010-02-22</t>
  </si>
  <si>
    <t>2010-03-08</t>
  </si>
  <si>
    <t>2010-03-15</t>
  </si>
  <si>
    <t>北京远豪置业有限公司(远洋地产旗下)</t>
  </si>
  <si>
    <t>远洋集团控股有限公司</t>
  </si>
  <si>
    <t>住宅</t>
    <phoneticPr fontId="26" type="noConversion"/>
  </si>
  <si>
    <t>一般</t>
  </si>
  <si>
    <t>较好</t>
  </si>
  <si>
    <t>七通</t>
  </si>
  <si>
    <t>规则</t>
  </si>
  <si>
    <t>规则</t>
    <phoneticPr fontId="26" type="noConversion"/>
  </si>
  <si>
    <t>较规则</t>
    <phoneticPr fontId="26" type="noConversion"/>
  </si>
  <si>
    <t>较不规则</t>
  </si>
  <si>
    <t>较不规则</t>
    <phoneticPr fontId="26" type="noConversion"/>
  </si>
  <si>
    <t>不规则</t>
    <phoneticPr fontId="26" type="noConversion"/>
  </si>
  <si>
    <t>六通</t>
  </si>
  <si>
    <t>五通</t>
  </si>
  <si>
    <t>四通</t>
  </si>
  <si>
    <t>三通</t>
  </si>
  <si>
    <t>自持比例</t>
    <phoneticPr fontId="26" type="noConversion"/>
  </si>
  <si>
    <t>是否限价</t>
    <phoneticPr fontId="26" type="noConversion"/>
  </si>
  <si>
    <t>是</t>
    <phoneticPr fontId="26" type="noConversion"/>
  </si>
  <si>
    <t>否</t>
    <phoneticPr fontId="26" type="noConversion"/>
  </si>
  <si>
    <t>楼面地价</t>
  </si>
  <si>
    <t>适宜</t>
    <phoneticPr fontId="26" type="noConversion"/>
  </si>
  <si>
    <t>较适宜</t>
  </si>
  <si>
    <t>较适宜</t>
    <phoneticPr fontId="26" type="noConversion"/>
  </si>
  <si>
    <t>较不适宜</t>
    <phoneticPr fontId="26" type="noConversion"/>
  </si>
  <si>
    <t>不适宜</t>
    <phoneticPr fontId="26" type="noConversion"/>
  </si>
  <si>
    <t>好</t>
  </si>
  <si>
    <t>较差</t>
  </si>
  <si>
    <t>差</t>
  </si>
  <si>
    <t>售价</t>
  </si>
  <si>
    <t>住宅</t>
    <phoneticPr fontId="21" type="noConversion"/>
  </si>
  <si>
    <t>60-70（含）</t>
  </si>
  <si>
    <t>高层</t>
  </si>
  <si>
    <t>高层</t>
    <phoneticPr fontId="21" type="noConversion"/>
  </si>
  <si>
    <t>正常</t>
  </si>
  <si>
    <t>洋房</t>
  </si>
  <si>
    <t>洋房</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</si>
  <si>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</si>
  <si>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</si>
  <si>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</si>
  <si>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</si>
  <si>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</si>
  <si>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</si>
  <si>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</si>
  <si>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</si>
  <si>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钢混</t>
  </si>
  <si>
    <t>钢混</t>
    <phoneticPr fontId="21" type="noConversion"/>
  </si>
  <si>
    <t>和光尘樾</t>
    <phoneticPr fontId="3" type="noConversion"/>
  </si>
  <si>
    <t>不动产收益法-仓储</t>
  </si>
  <si>
    <t>不动产收益法-仓储</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</si>
  <si>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自持住宅</t>
    </r>
    <phoneticPr fontId="14" type="noConversion"/>
  </si>
  <si>
    <t>土地（套用方法）</t>
  </si>
  <si>
    <t>押一</t>
  </si>
  <si>
    <t>按租金收入计税</t>
  </si>
  <si>
    <t>不动产收益法-自持住宅</t>
  </si>
  <si>
    <t>住宅租金</t>
    <phoneticPr fontId="228" type="noConversion"/>
  </si>
  <si>
    <t>和光尘樾</t>
    <phoneticPr fontId="228" type="noConversion"/>
  </si>
  <si>
    <t>建筑面积</t>
    <phoneticPr fontId="228" type="noConversion"/>
  </si>
  <si>
    <t>租金</t>
    <phoneticPr fontId="228" type="noConversion"/>
  </si>
  <si>
    <t>单价</t>
    <phoneticPr fontId="228" type="noConversion"/>
  </si>
  <si>
    <t>东泽园</t>
    <phoneticPr fontId="228" type="noConversion"/>
  </si>
  <si>
    <t>金隅景和园</t>
    <phoneticPr fontId="228" type="noConversion"/>
  </si>
  <si>
    <t>奥林匹克花园</t>
    <phoneticPr fontId="228" type="noConversion"/>
  </si>
  <si>
    <t>金泰丽富嘉园</t>
    <phoneticPr fontId="228" type="noConversion"/>
  </si>
  <si>
    <t>车库</t>
    <phoneticPr fontId="27" type="noConversion"/>
  </si>
  <si>
    <t>元/车位</t>
  </si>
  <si>
    <t>40-50（含）</t>
  </si>
  <si>
    <t>已部分缴纳</t>
  </si>
  <si>
    <t>剩余法-待开发</t>
  </si>
  <si>
    <t>比较法-住宅、综合</t>
  </si>
  <si>
    <t>毛坯，建安与现金流测算一致，银行要求</t>
    <phoneticPr fontId="3" type="noConversion"/>
  </si>
  <si>
    <t>利息：取LPR加浮动点数</t>
  </si>
  <si>
    <t>简单装修</t>
  </si>
  <si>
    <t>简单装修</t>
    <phoneticPr fontId="27" type="noConversion"/>
  </si>
  <si>
    <t>较好</t>
    <phoneticPr fontId="27" type="noConversion"/>
  </si>
  <si>
    <t>平面车位</t>
  </si>
  <si>
    <t>平面车位</t>
    <phoneticPr fontId="27" type="noConversion"/>
  </si>
  <si>
    <t>华樾北京</t>
    <phoneticPr fontId="228" type="noConversion"/>
  </si>
  <si>
    <t>北京奥林匹克花园</t>
    <phoneticPr fontId="27" type="noConversion"/>
  </si>
  <si>
    <t>华樾国际</t>
    <phoneticPr fontId="3" type="noConversion"/>
  </si>
  <si>
    <t>华樾北京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</si>
</sst>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name val="宋体"/>
      <family val="3"/>
      <charset val="134"/>
      <scheme val="min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6" borderId="0" xfId="0" applyFont="1" applyFill="1" applyAlignment="1"/>
    <xf numFmtId="0" fontId="170" fillId="0" borderId="0" xfId="0" applyFont="1" applyAlignment="1"/>
    <xf numFmtId="0" fontId="280" fillId="0" borderId="0" xfId="0" applyFont="1" applyAlignment="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71" fillId="0" borderId="74"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82" fillId="13" borderId="0" xfId="0" applyFont="1" applyFill="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28</xdr:col>
      <xdr:colOff>646322</xdr:colOff>
      <xdr:row>90</xdr:row>
      <xdr:rowOff>37260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72400"/>
          <a:ext cx="11028572" cy="6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114300</xdr:rowOff>
    </xdr:from>
    <xdr:to>
      <xdr:col>9</xdr:col>
      <xdr:colOff>465859</xdr:colOff>
      <xdr:row>23</xdr:row>
      <xdr:rowOff>18848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43150"/>
          <a:ext cx="6923809" cy="1619048"/>
        </a:xfrm>
        <a:prstGeom prst="rect">
          <a:avLst/>
        </a:prstGeom>
      </xdr:spPr>
    </xdr:pic>
    <xdr:clientData/>
  </xdr:twoCellAnchor>
  <xdr:twoCellAnchor editAs="oneCell">
    <xdr:from>
      <xdr:col>0</xdr:col>
      <xdr:colOff>0</xdr:colOff>
      <xdr:row>25</xdr:row>
      <xdr:rowOff>0</xdr:rowOff>
    </xdr:from>
    <xdr:to>
      <xdr:col>8</xdr:col>
      <xdr:colOff>475469</xdr:colOff>
      <xdr:row>56</xdr:row>
      <xdr:rowOff>132669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247619" cy="5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北京市朝阳区东坝北东南一期土地储备项目1104-611地块出让国有建设用地使用权抵押价格预评估</v>
      </c>
      <c r="AX2" s="2613"/>
      <c r="AZ2" s="2613"/>
      <c r="BA2" s="2614"/>
      <c r="BC2" s="2614"/>
    </row>
    <row r="3" spans="1:55" s="2615" customFormat="1">
      <c r="A3" s="2594" t="s">
        <v>2639</v>
      </c>
      <c r="B3" s="2597">
        <f>'预评函-封皮'!B40</f>
        <v>0</v>
      </c>
    </row>
    <row r="4" spans="1:55" s="2596" customFormat="1">
      <c r="A4" s="2594" t="s">
        <v>2640</v>
      </c>
      <c r="B4" s="2595" t="str">
        <f>'预评函-封皮'!B46</f>
        <v>崔锴、郑燚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受贵公司委托，我公司对北京市朝阳区东坝北东南一期土地储备项目1104-611地块出让国有建设用地使用权抵押价格进行了预评估。</v>
      </c>
      <c r="AM6" s="2619"/>
    </row>
    <row r="7" spans="1:55" s="2593" customFormat="1">
      <c r="A7" s="2594" t="s">
        <v>2635</v>
      </c>
      <c r="B7" s="2595" t="str">
        <f>'预评函-1'!A6</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2021年4月14日（评估专业人员勘察现场之日）</v>
      </c>
    </row>
    <row r="11" spans="1:55" s="2593" customFormat="1">
      <c r="A11" s="2594" t="s">
        <v>2643</v>
      </c>
      <c r="B11" s="2595" t="str">
        <f>'预评函-1'!A14</f>
        <v>根据《国有土地使用证》[]，本次评估估价对象证载（地类）用途为。</v>
      </c>
    </row>
    <row r="12" spans="1:55" s="2593" customFormat="1">
      <c r="A12" s="2594" t="s">
        <v>2644</v>
      </c>
      <c r="B12" s="2595" t="str">
        <f>'预评函-1'!A15</f>
        <v>本次评估设定用途即为证载用途。</v>
      </c>
    </row>
    <row r="13" spans="1:55" s="2593" customFormat="1">
      <c r="A13" s="2594" t="s">
        <v>2645</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根据《国有土地使用证》[]，估价对象（分摊）出让国有建设用地使用权面积为26559.06平方米。根据《建设工程规划许可证》[]、《出让合同》[]，估价对象规划建筑面积为104789.91平方米。</v>
      </c>
    </row>
    <row r="16" spans="1:55" s="2593" customFormat="1">
      <c r="A16" s="2594" t="s">
        <v>2647</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5日、商业2061年1月5日地下车库2071年1月5日、地下仓储2071年1月5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估价期日：2021年4月14日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f>'预评函-2'!E5</f>
        <v>0</v>
      </c>
      <c r="AV32" s="2599"/>
    </row>
    <row r="33" spans="1:2">
      <c r="A33" s="2594" t="s">
        <v>2691</v>
      </c>
      <c r="B33" s="2595">
        <f>'预评函-2'!F5</f>
        <v>258</v>
      </c>
    </row>
    <row r="34" spans="1:2">
      <c r="A34" s="2594" t="s">
        <v>2692</v>
      </c>
      <c r="B34" s="2595">
        <f>'预评函-2'!G5</f>
        <v>0</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v>
      </c>
    </row>
    <row r="39" spans="1:2">
      <c r="A39" s="2594" t="s">
        <v>2697</v>
      </c>
      <c r="B39" s="2595" t="str">
        <f>'预评函-2'!L5</f>
        <v>红线外七通、宗地红线内场地</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26559.06</v>
      </c>
    </row>
    <row r="44" spans="1:2">
      <c r="A44" s="2594" t="s">
        <v>2718</v>
      </c>
      <c r="B44" s="2595" t="str">
        <f>'预评函-2'!O3</f>
        <v>规划建筑面积/㎡</v>
      </c>
    </row>
    <row r="45" spans="1:2">
      <c r="A45" s="2594" t="s">
        <v>2700</v>
      </c>
      <c r="B45" s="2595">
        <f>'预评函-2'!O5</f>
        <v>104789.91</v>
      </c>
    </row>
    <row r="46" spans="1:2">
      <c r="A46" s="2594" t="s">
        <v>2701</v>
      </c>
      <c r="B46" s="2595">
        <f ca="1">'预评函-2'!P5</f>
        <v>119837</v>
      </c>
    </row>
    <row r="47" spans="1:2">
      <c r="A47" s="2594" t="s">
        <v>2702</v>
      </c>
      <c r="B47" s="2595">
        <f ca="1">'预评函-2'!Q5</f>
        <v>30373</v>
      </c>
    </row>
    <row r="48" spans="1:2">
      <c r="A48" s="2594" t="s">
        <v>2703</v>
      </c>
      <c r="B48" s="2595">
        <f ca="1">'预评函-2'!R5</f>
        <v>318275</v>
      </c>
    </row>
    <row r="49" spans="1:2">
      <c r="A49" s="2594" t="s">
        <v>2719</v>
      </c>
      <c r="B49" s="2595" t="str">
        <f>'预评函-2'!A6</f>
        <v>抵押价格</v>
      </c>
    </row>
    <row r="50" spans="1:2">
      <c r="A50" s="2594" t="s">
        <v>2704</v>
      </c>
      <c r="B50" s="2595">
        <f ca="1">'预评函-2'!R6</f>
        <v>312282</v>
      </c>
    </row>
    <row r="51" spans="1:2">
      <c r="A51" s="2594" t="s">
        <v>2720</v>
      </c>
      <c r="B51" s="2595" t="str">
        <f>'预评函-2'!A7</f>
        <v>——</v>
      </c>
    </row>
    <row r="52" spans="1:2">
      <c r="A52" s="2594" t="s">
        <v>2705</v>
      </c>
      <c r="B52" s="2595" t="str">
        <f>'预评函-2'!R7</f>
        <v>——</v>
      </c>
    </row>
    <row r="53" spans="1:2">
      <c r="A53" s="2594" t="s">
        <v>2721</v>
      </c>
      <c r="B53" s="2595" t="str">
        <f>'预评函-2'!A8</f>
        <v>抵押净值</v>
      </c>
    </row>
    <row r="54" spans="1:2" s="2609" customFormat="1" ht="15" thickBot="1">
      <c r="A54" s="2616" t="s">
        <v>2706</v>
      </c>
      <c r="B54" s="2617">
        <f ca="1">'预评函-2'!R8</f>
        <v>131980</v>
      </c>
    </row>
    <row r="55" spans="1:2" ht="15" thickTop="1">
      <c r="A55" s="2605" t="s">
        <v>2656</v>
      </c>
      <c r="B55" s="2606" t="str">
        <f>'预评函-3'!A2</f>
        <v>1.权利限制：根据估价对象《不动产权证书》原件、《国有土地使用权》复印件，截至估价期日，估价对象抵押权未见登记。未设定租赁等其他他项权利。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2.基础设施条件：估价对象实际开发程度为红线外七通、宗地红线内；本次评估设定开发程度为红线外七通、宗地红线内场地。</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综上，本次评估估价师知悉的法定优先受偿款为人民币5993万元整。</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崔锴</v>
      </c>
    </row>
    <row r="70" spans="1:2">
      <c r="A70" s="2594" t="s">
        <v>2668</v>
      </c>
      <c r="B70" s="2601">
        <f ca="1">'预评函-3'!B20</f>
        <v>2010110070</v>
      </c>
    </row>
    <row r="71" spans="1:2">
      <c r="A71" s="2594" t="s">
        <v>2669</v>
      </c>
      <c r="B71" s="2595" t="str">
        <f>'预评函-3'!A21</f>
        <v>郑燚</v>
      </c>
    </row>
    <row r="72" spans="1:2" s="2609" customFormat="1" ht="15" thickBot="1">
      <c r="A72" s="2616" t="s">
        <v>2669</v>
      </c>
      <c r="B72" s="2622">
        <f ca="1">'预评函-3'!B21</f>
        <v>2014110011</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9" sqref="D29"/>
    </sheetView>
  </sheetViews>
  <sheetFormatPr defaultColWidth="10" defaultRowHeight="14.25"/>
  <cols>
    <col min="1" max="1" width="15.375" style="1612" customWidth="1"/>
    <col min="2" max="2" width="11.375" style="1612" customWidth="1"/>
    <col min="3" max="3" width="12.625" style="1612" customWidth="1"/>
    <col min="4" max="4" width="13.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56" t="str">
        <f>IF(B10="北京市","北京市",C10)&amp;F10&amp;B16&amp;"国有建设用地使用权"&amp;B9&amp;"预评估"</f>
        <v>北京市朝阳区东坝北东南一期土地储备项目1104-611地块出让国有建设用地使用权抵押价格预评估</v>
      </c>
      <c r="C1" s="3357"/>
      <c r="D1" s="3357"/>
      <c r="E1" s="3357"/>
      <c r="F1" s="3357"/>
      <c r="G1" s="3357"/>
      <c r="H1" s="3357"/>
      <c r="I1" s="3358"/>
      <c r="J1" s="3073"/>
      <c r="K1" s="2309" t="str">
        <f>IF(B10="北京市","北京市",C10)&amp;F10&amp;B16&amp;"国有建设用地使用权"&amp;B9</f>
        <v>北京市朝阳区东坝北东南一期土地储备项目1104-611地块出让国有建设用地使用权抵押价格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北京市朝阳区东坝北东南一期土地储备项目1104-611地块出让国有建设用地使用权</v>
      </c>
      <c r="L2" s="3052"/>
      <c r="M2" s="3052"/>
      <c r="N2" s="3053"/>
      <c r="O2" s="3054"/>
      <c r="P2" s="3053"/>
      <c r="Q2" s="3053"/>
      <c r="R2" s="3053"/>
      <c r="S2" s="3053"/>
      <c r="T2" s="3053"/>
      <c r="U2" s="3053"/>
    </row>
    <row r="3" spans="1:21">
      <c r="A3" s="1587" t="s">
        <v>1927</v>
      </c>
      <c r="B3" s="1588">
        <v>44300</v>
      </c>
      <c r="C3" s="2996" t="s">
        <v>1983</v>
      </c>
      <c r="D3" s="1588">
        <f>B3</f>
        <v>44300</v>
      </c>
      <c r="E3" s="3073"/>
      <c r="F3" s="3073"/>
      <c r="G3" s="3073"/>
      <c r="H3" s="3074"/>
      <c r="I3" s="3075"/>
      <c r="J3" s="3073"/>
      <c r="K3" s="3056"/>
      <c r="L3" s="3052"/>
      <c r="M3" s="3052"/>
      <c r="N3" s="3053"/>
      <c r="O3" s="3054"/>
      <c r="P3" s="3053"/>
      <c r="Q3" s="3053"/>
      <c r="R3" s="3053"/>
      <c r="S3" s="3053"/>
      <c r="T3" s="3053"/>
      <c r="U3" s="3053"/>
    </row>
    <row r="4" spans="1:21" ht="15" thickBot="1">
      <c r="A4" s="1590" t="s">
        <v>1928</v>
      </c>
      <c r="B4" s="1755" t="s">
        <v>3001</v>
      </c>
      <c r="C4" s="1758">
        <f ca="1">SUMIF(土地估价师,B4,估价师及机构信息!E3:E16)</f>
        <v>2010110070</v>
      </c>
      <c r="D4" s="1755" t="s">
        <v>3002</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崔锴、郑燚</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2684</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2685</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2953</v>
      </c>
      <c r="C8" s="1597"/>
      <c r="D8" s="3362" t="s">
        <v>1932</v>
      </c>
      <c r="E8" s="1756" t="s">
        <v>3003</v>
      </c>
      <c r="F8" s="1598"/>
      <c r="G8" s="3074"/>
      <c r="H8" s="3074"/>
      <c r="I8" s="3077"/>
      <c r="J8" s="3073"/>
      <c r="K8" s="3056"/>
      <c r="L8" s="3052"/>
      <c r="M8" s="3052"/>
      <c r="N8" s="3053"/>
      <c r="O8" s="3054"/>
      <c r="P8" s="3053"/>
      <c r="Q8" s="3053"/>
      <c r="R8" s="3053"/>
      <c r="S8" s="3053"/>
      <c r="T8" s="3053"/>
      <c r="U8" s="3053"/>
    </row>
    <row r="9" spans="1:21" ht="15" thickBot="1">
      <c r="A9" s="2998" t="s">
        <v>1931</v>
      </c>
      <c r="B9" s="1599" t="s">
        <v>3003</v>
      </c>
      <c r="C9" s="1600"/>
      <c r="D9" s="3363"/>
      <c r="E9" s="1599" t="s">
        <v>2831</v>
      </c>
      <c r="F9" s="1663"/>
      <c r="G9" s="3078"/>
      <c r="H9" s="3078"/>
      <c r="I9" s="3079"/>
      <c r="J9" s="3073"/>
      <c r="K9" s="3056"/>
      <c r="L9" s="3052"/>
      <c r="M9" s="3052"/>
      <c r="N9" s="3053"/>
      <c r="O9" s="3054"/>
      <c r="P9" s="3053"/>
      <c r="Q9" s="3053"/>
      <c r="R9" s="3053"/>
      <c r="S9" s="3053"/>
      <c r="T9" s="3053"/>
      <c r="U9" s="3053"/>
    </row>
    <row r="10" spans="1:21" ht="15" thickTop="1">
      <c r="A10" s="2999" t="s">
        <v>1987</v>
      </c>
      <c r="B10" s="1639" t="s">
        <v>1933</v>
      </c>
      <c r="C10" s="1601"/>
      <c r="D10" s="1593"/>
      <c r="E10" s="1602" t="s">
        <v>1934</v>
      </c>
      <c r="F10" s="1603" t="s">
        <v>3005</v>
      </c>
      <c r="G10" s="1661"/>
      <c r="H10" s="1662"/>
      <c r="I10" s="1593"/>
      <c r="J10" s="3073"/>
      <c r="K10" s="3056"/>
      <c r="L10" s="3052"/>
      <c r="M10" s="3052"/>
      <c r="N10" s="3053"/>
      <c r="O10" s="3054"/>
      <c r="P10" s="3053"/>
      <c r="Q10" s="3053"/>
      <c r="R10" s="3053"/>
      <c r="S10" s="3053"/>
      <c r="T10" s="3053"/>
      <c r="U10" s="3053"/>
    </row>
    <row r="11" spans="1:21">
      <c r="A11" s="3000" t="s">
        <v>1988</v>
      </c>
      <c r="B11" s="1618" t="s">
        <v>3004</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59"/>
      <c r="C12" s="3360"/>
      <c r="D12" s="3361"/>
      <c r="E12" s="1619" t="s">
        <v>2049</v>
      </c>
      <c r="F12" s="3377" t="s">
        <v>2865</v>
      </c>
      <c r="G12" s="3378"/>
      <c r="H12" s="3378"/>
      <c r="I12" s="3379"/>
      <c r="J12" s="3073"/>
      <c r="K12" s="3056"/>
      <c r="L12" s="3052"/>
      <c r="M12" s="3052"/>
      <c r="N12" s="3053"/>
      <c r="O12" s="3054"/>
      <c r="P12" s="3053"/>
      <c r="Q12" s="3053"/>
      <c r="R12" s="3053"/>
      <c r="S12" s="3053"/>
      <c r="T12" s="3053"/>
      <c r="U12" s="3053"/>
    </row>
    <row r="13" spans="1:21">
      <c r="A13" s="1610" t="s">
        <v>2047</v>
      </c>
      <c r="B13" s="3359"/>
      <c r="C13" s="3360"/>
      <c r="D13" s="3361"/>
      <c r="E13" s="1619" t="s">
        <v>2049</v>
      </c>
      <c r="F13" s="3377" t="s">
        <v>2866</v>
      </c>
      <c r="G13" s="3378"/>
      <c r="H13" s="3378"/>
      <c r="I13" s="3379"/>
      <c r="J13" s="3073"/>
      <c r="K13" s="3056"/>
      <c r="L13" s="3052"/>
      <c r="M13" s="3052"/>
      <c r="N13" s="3053"/>
      <c r="O13" s="3054"/>
      <c r="P13" s="3053"/>
      <c r="Q13" s="3053"/>
      <c r="R13" s="3053"/>
      <c r="S13" s="3053"/>
      <c r="T13" s="3053"/>
      <c r="U13" s="3053"/>
    </row>
    <row r="14" spans="1:21">
      <c r="A14" s="1587" t="s">
        <v>2050</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2948</v>
      </c>
      <c r="C16" s="1619" t="s">
        <v>1936</v>
      </c>
      <c r="D16" s="2487" t="s">
        <v>1937</v>
      </c>
      <c r="E16" s="1642" t="s">
        <v>3006</v>
      </c>
      <c r="F16" s="1642"/>
      <c r="G16" s="1642" t="s">
        <v>35</v>
      </c>
      <c r="H16" s="1642" t="s">
        <v>3017</v>
      </c>
      <c r="I16" s="1609" t="s">
        <v>1942</v>
      </c>
      <c r="J16" s="3073"/>
      <c r="K16" s="2310" t="str">
        <f>IF(D17="","",D16&amp;TEXT(D17,"yyyy年m月d日;;"))</f>
        <v>住宅2091年1月5日</v>
      </c>
      <c r="L16" s="1619" t="str">
        <f>IF(OR(K16="",M16=""),"","、")</f>
        <v>、</v>
      </c>
      <c r="M16" s="2310" t="str">
        <f>IF(E17="","",E16&amp;TEXT(E17,"yyyy年m月d日;;"))</f>
        <v>商业2061年1月5日</v>
      </c>
      <c r="N16" s="1619" t="str">
        <f>IF(OR(M16="",O16=""),"","、")</f>
        <v/>
      </c>
      <c r="O16" s="2310" t="str">
        <f>IF(F17="","",F16&amp;TEXT(F17,"yyyy年m月d日;;"))</f>
        <v/>
      </c>
      <c r="P16" s="1619" t="str">
        <f>IF(OR(O16="",Q16=""),"","、")</f>
        <v/>
      </c>
      <c r="Q16" s="2310" t="str">
        <f>IF(G17="","",G16&amp;TEXT(G17,"yyyy年m月d日;;"))</f>
        <v>地下车库2071年1月5日</v>
      </c>
      <c r="R16" s="1619" t="str">
        <f>IF(OR(Q16="",S16=""),"","、")</f>
        <v>、</v>
      </c>
      <c r="S16" s="2310" t="str">
        <f>IF(H17="","",H16&amp;TEXT(H17,"yyyy年m月d日;;"))</f>
        <v>地下仓储2071年1月5日</v>
      </c>
      <c r="T16" s="1619" t="str">
        <f>IF(OR(S16="",U16=""),"","、")</f>
        <v/>
      </c>
      <c r="U16" s="2310" t="str">
        <f>IF(I17="","",I16&amp;TEXT(I17,"yyyy年m月d日;;"))</f>
        <v/>
      </c>
    </row>
    <row r="17" spans="1:21">
      <c r="A17" s="1679"/>
      <c r="B17" s="1606"/>
      <c r="C17" s="3002" t="s">
        <v>1943</v>
      </c>
      <c r="D17" s="1620">
        <v>69768</v>
      </c>
      <c r="E17" s="1620">
        <v>58811</v>
      </c>
      <c r="F17" s="1620"/>
      <c r="G17" s="1620">
        <v>62463</v>
      </c>
      <c r="H17" s="1620">
        <f>G17</f>
        <v>62463</v>
      </c>
      <c r="I17" s="1620"/>
      <c r="J17" s="3073"/>
      <c r="K17" s="3051" t="str">
        <f>CONCATENATE(K16,L16,M16,N16,O16,P16,Q16,R16,S16,T16,,U16)</f>
        <v>住宅2091年1月5日、商业2061年1月5日地下车库2071年1月5日、地下仓储2071年1月5日</v>
      </c>
      <c r="L17" s="3052"/>
      <c r="M17" s="3052"/>
      <c r="N17" s="3053"/>
      <c r="O17" s="3054"/>
      <c r="P17" s="3053"/>
      <c r="Q17" s="3053"/>
      <c r="R17" s="3053"/>
      <c r="S17" s="3053"/>
      <c r="T17" s="3053"/>
      <c r="U17" s="3053"/>
    </row>
    <row r="18" spans="1:21">
      <c r="A18" s="1679"/>
      <c r="B18" s="1606"/>
      <c r="C18" s="3002" t="s">
        <v>1944</v>
      </c>
      <c r="D18" s="1607">
        <v>70</v>
      </c>
      <c r="E18" s="1607">
        <v>40</v>
      </c>
      <c r="F18" s="1607"/>
      <c r="G18" s="1607">
        <v>50</v>
      </c>
      <c r="H18" s="1607">
        <v>50</v>
      </c>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69.77</v>
      </c>
      <c r="E19" s="1608">
        <f>IF(B16="出让",IF(E17="","",ROUNDDOWN(MIN((E17-$D$3)/365,E18),2)),E18)</f>
        <v>39.75</v>
      </c>
      <c r="F19" s="1608" t="str">
        <f>IF(B16="出让",IF(F17="","",ROUNDDOWN(MIN((F17-$D$3)/365,F18),2)),F18)</f>
        <v/>
      </c>
      <c r="G19" s="1608">
        <f>IF(B16="出让",IF(G17="","",ROUNDDOWN(MIN((G17-$D$3)/365,G18),2)),G18)</f>
        <v>49.76</v>
      </c>
      <c r="H19" s="1608">
        <f>IF(B16="出让",IF(H17="","",ROUNDDOWN(MIN((H17-$D$3)/365,H18),2)),H18)</f>
        <v>49.76</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74"/>
      <c r="E20" s="3375"/>
      <c r="F20" s="3375"/>
      <c r="G20" s="3375"/>
      <c r="H20" s="3375"/>
      <c r="I20" s="3376"/>
      <c r="J20" s="3073"/>
      <c r="K20" s="3056"/>
      <c r="L20" s="3052"/>
      <c r="M20" s="3052"/>
      <c r="N20" s="3053"/>
      <c r="O20" s="3054"/>
      <c r="P20" s="3053"/>
      <c r="Q20" s="3053"/>
      <c r="R20" s="3053"/>
      <c r="S20" s="3053"/>
      <c r="T20" s="3053"/>
      <c r="U20" s="3053"/>
    </row>
    <row r="21" spans="1:21">
      <c r="A21" s="1679" t="s">
        <v>1946</v>
      </c>
      <c r="B21" s="1680" t="s">
        <v>1947</v>
      </c>
      <c r="C21" s="1675">
        <f>'数据-汇总表'!E3</f>
        <v>104789.91</v>
      </c>
      <c r="D21" s="1676" t="s">
        <v>1948</v>
      </c>
      <c r="E21" s="3364" t="s">
        <v>1986</v>
      </c>
      <c r="F21" s="3365"/>
      <c r="G21" s="3365"/>
      <c r="H21" s="3365"/>
      <c r="I21" s="3366"/>
      <c r="J21" s="3073"/>
      <c r="K21" s="3056"/>
      <c r="L21" s="3052"/>
      <c r="M21" s="3052"/>
      <c r="N21" s="3053"/>
      <c r="O21" s="3054"/>
      <c r="P21" s="3053"/>
      <c r="Q21" s="3053"/>
      <c r="R21" s="3053"/>
      <c r="S21" s="3053"/>
      <c r="T21" s="3053"/>
      <c r="U21" s="3053"/>
    </row>
    <row r="22" spans="1:21">
      <c r="A22" s="2801" t="s">
        <v>942</v>
      </c>
      <c r="B22" s="1587" t="s">
        <v>1949</v>
      </c>
      <c r="C22" s="1609">
        <f>'数据-汇总表'!D3</f>
        <v>26559.06</v>
      </c>
      <c r="D22" s="1610" t="s">
        <v>1948</v>
      </c>
      <c r="E22" s="3364" t="s">
        <v>2867</v>
      </c>
      <c r="F22" s="3365"/>
      <c r="G22" s="3365"/>
      <c r="H22" s="3365"/>
      <c r="I22" s="3366"/>
      <c r="J22" s="3073"/>
      <c r="K22" s="3056"/>
      <c r="L22" s="3052"/>
      <c r="M22" s="3052"/>
      <c r="N22" s="3053"/>
      <c r="O22" s="3054"/>
      <c r="P22" s="3053"/>
      <c r="Q22" s="3053"/>
      <c r="R22" s="3053"/>
      <c r="S22" s="3053"/>
      <c r="T22" s="3053"/>
      <c r="U22" s="3053"/>
    </row>
    <row r="23" spans="1:21" ht="29.2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67" t="s">
        <v>1954</v>
      </c>
      <c r="C24" s="3368"/>
      <c r="D24" s="3369" t="s">
        <v>1955</v>
      </c>
      <c r="E24" s="3370"/>
      <c r="F24" s="1628" t="s">
        <v>1956</v>
      </c>
      <c r="G24" s="3073"/>
      <c r="H24" s="3073"/>
      <c r="I24" s="3077"/>
      <c r="J24" s="3073"/>
      <c r="K24" s="3355"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5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5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41" t="s">
        <v>1989</v>
      </c>
      <c r="B31" s="1680" t="s">
        <v>1990</v>
      </c>
      <c r="C31" s="3380" t="s">
        <v>3008</v>
      </c>
      <c r="D31" s="3381"/>
      <c r="E31" s="3073"/>
      <c r="F31" s="3073"/>
      <c r="G31" s="3073"/>
      <c r="H31" s="3073"/>
      <c r="I31" s="3077"/>
      <c r="J31" s="3073"/>
      <c r="K31" s="3059"/>
      <c r="L31" s="3053"/>
      <c r="M31" s="3053"/>
      <c r="N31" s="3053"/>
      <c r="O31" s="3053"/>
      <c r="P31" s="3053"/>
      <c r="Q31" s="3053"/>
      <c r="R31" s="3053"/>
      <c r="S31" s="3053"/>
      <c r="T31" s="3053"/>
      <c r="U31" s="3053"/>
    </row>
    <row r="32" spans="1:21">
      <c r="A32" s="3341"/>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1"/>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2"/>
      <c r="B34" s="1587" t="s">
        <v>1993</v>
      </c>
      <c r="C34" s="3343"/>
      <c r="D34" s="3344"/>
      <c r="E34" s="3073"/>
      <c r="F34" s="3073"/>
      <c r="G34" s="3073"/>
      <c r="H34" s="3073"/>
      <c r="I34" s="3077"/>
      <c r="J34" s="3073"/>
      <c r="K34" s="3059"/>
      <c r="L34" s="3053"/>
      <c r="M34" s="3053"/>
      <c r="N34" s="3053"/>
      <c r="O34" s="3053"/>
      <c r="P34" s="3053"/>
      <c r="Q34" s="3053"/>
      <c r="R34" s="3053"/>
      <c r="S34" s="3053"/>
      <c r="T34" s="3053"/>
      <c r="U34" s="3053"/>
    </row>
    <row r="35" spans="1:28">
      <c r="A35" s="3345" t="s">
        <v>838</v>
      </c>
      <c r="B35" s="1642"/>
      <c r="C35" s="1689" t="str">
        <f>IF(B35="场地平整","——","具体情况：")</f>
        <v>具体情况：</v>
      </c>
      <c r="D35" s="3347"/>
      <c r="E35" s="3348"/>
      <c r="F35" s="3348"/>
      <c r="G35" s="3348"/>
      <c r="H35" s="3348"/>
      <c r="I35" s="3349"/>
      <c r="J35" s="3073"/>
      <c r="K35" s="3060"/>
      <c r="L35" s="3052"/>
      <c r="M35" s="3052"/>
      <c r="N35" s="3053"/>
      <c r="O35" s="3054"/>
      <c r="P35" s="3053"/>
      <c r="Q35" s="3053"/>
      <c r="R35" s="3053"/>
      <c r="S35" s="3053"/>
      <c r="T35" s="3053"/>
      <c r="U35" s="3053"/>
    </row>
    <row r="36" spans="1:28">
      <c r="A36" s="3341"/>
      <c r="B36" s="3350" t="s">
        <v>2042</v>
      </c>
      <c r="C36" s="3351"/>
      <c r="D36" s="1705"/>
      <c r="E36" s="3352"/>
      <c r="F36" s="3352"/>
      <c r="G36" s="1610" t="str">
        <f>IF(B35="场地未平整","估价结果处理","")</f>
        <v/>
      </c>
      <c r="H36" s="3353"/>
      <c r="I36" s="3353"/>
      <c r="J36" s="3073"/>
      <c r="K36" s="3060"/>
      <c r="L36" s="3052"/>
      <c r="M36" s="3052"/>
      <c r="N36" s="3053"/>
      <c r="O36" s="3054"/>
      <c r="P36" s="3053"/>
      <c r="Q36" s="3053"/>
      <c r="R36" s="3053"/>
      <c r="S36" s="3053"/>
      <c r="T36" s="3053"/>
      <c r="U36" s="3053"/>
    </row>
    <row r="37" spans="1:28" ht="28.5">
      <c r="A37" s="3341"/>
      <c r="B37" s="3371"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41"/>
      <c r="B38" s="3372"/>
      <c r="C38" s="1595" t="s">
        <v>841</v>
      </c>
      <c r="D38" s="1704">
        <f>ROUNDDOWN(MIN(('数据-取费表'!$B$2-D37)/365,D34),1)</f>
        <v>121.3</v>
      </c>
      <c r="E38" s="1647" t="s">
        <v>842</v>
      </c>
      <c r="F38" s="3073"/>
      <c r="G38" s="3073"/>
      <c r="H38" s="3073"/>
      <c r="I38" s="3077"/>
      <c r="J38" s="3073"/>
      <c r="K38" s="3060"/>
      <c r="L38" s="3053"/>
      <c r="M38" s="3053"/>
      <c r="N38" s="3053"/>
      <c r="O38" s="3053"/>
      <c r="P38" s="3053"/>
      <c r="Q38" s="3053"/>
      <c r="R38" s="3053"/>
      <c r="S38" s="3053"/>
      <c r="T38" s="3053"/>
      <c r="U38" s="3053"/>
    </row>
    <row r="39" spans="1:28">
      <c r="A39" s="3342"/>
      <c r="B39" s="3373"/>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54" t="s">
        <v>1973</v>
      </c>
      <c r="T40" s="1651" t="str">
        <f>NUMBERSTRING(7-K40,1)&amp;"通"</f>
        <v>七通</v>
      </c>
      <c r="U40" s="3053"/>
    </row>
    <row r="41" spans="1:28">
      <c r="A41" s="1589"/>
      <c r="B41" s="3346" t="s">
        <v>1711</v>
      </c>
      <c r="C41" s="3346"/>
      <c r="D41" s="3346"/>
      <c r="E41" s="3346"/>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4"/>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t="s">
        <v>1399</v>
      </c>
      <c r="C43" s="1657" t="s">
        <v>1399</v>
      </c>
      <c r="D43" s="1657" t="s">
        <v>1399</v>
      </c>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0" sqref="M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26609.75</v>
      </c>
      <c r="B3" s="22">
        <f>IF(C3="否",G5-AT5,G5)</f>
        <v>104989.91</v>
      </c>
      <c r="C3" s="23" t="s">
        <v>3009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113224.91</v>
      </c>
      <c r="H5" s="27">
        <f t="shared" ref="H5:AT5" si="0">SUM(H13:H641)</f>
        <v>97627.78</v>
      </c>
      <c r="I5" s="27">
        <f t="shared" si="0"/>
        <v>71050.5</v>
      </c>
      <c r="J5" s="27">
        <f t="shared" si="0"/>
        <v>0</v>
      </c>
      <c r="K5" s="27">
        <f t="shared" si="0"/>
        <v>2960.44</v>
      </c>
      <c r="L5" s="27">
        <f t="shared" si="0"/>
        <v>0</v>
      </c>
      <c r="M5" s="27">
        <f t="shared" si="0"/>
        <v>4432.97</v>
      </c>
      <c r="N5" s="27">
        <f t="shared" si="0"/>
        <v>0</v>
      </c>
      <c r="O5" s="27">
        <f t="shared" si="0"/>
        <v>19183.87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7362.1299999999992</v>
      </c>
      <c r="AD5" s="27">
        <f t="shared" si="0"/>
        <v>318</v>
      </c>
      <c r="AE5" s="27">
        <f t="shared" si="0"/>
        <v>200</v>
      </c>
      <c r="AF5" s="27">
        <f t="shared" si="0"/>
        <v>1515.75</v>
      </c>
      <c r="AG5" s="27">
        <f t="shared" si="0"/>
        <v>0</v>
      </c>
      <c r="AH5" s="27">
        <f t="shared" si="0"/>
        <v>0</v>
      </c>
      <c r="AI5" s="27">
        <f t="shared" si="0"/>
        <v>0</v>
      </c>
      <c r="AJ5" s="27">
        <f t="shared" si="0"/>
        <v>0</v>
      </c>
      <c r="AK5" s="27">
        <f t="shared" si="0"/>
        <v>0</v>
      </c>
      <c r="AL5" s="27">
        <f t="shared" si="0"/>
        <v>81.569999999999993</v>
      </c>
      <c r="AM5" s="27">
        <f t="shared" si="0"/>
        <v>0</v>
      </c>
      <c r="AN5" s="27">
        <f t="shared" si="0"/>
        <v>5446.8099999999995</v>
      </c>
      <c r="AO5" s="27">
        <f t="shared" si="0"/>
        <v>0</v>
      </c>
      <c r="AP5" s="27">
        <f t="shared" si="0"/>
        <v>0</v>
      </c>
      <c r="AQ5" s="27">
        <f t="shared" si="0"/>
        <v>0</v>
      </c>
      <c r="AR5" s="27">
        <f t="shared" si="0"/>
        <v>0</v>
      </c>
      <c r="AS5" s="27">
        <f t="shared" si="0"/>
        <v>0</v>
      </c>
      <c r="AT5" s="27">
        <f t="shared" si="0"/>
        <v>8235</v>
      </c>
      <c r="AU5" s="976"/>
      <c r="AV5" s="26" t="s">
        <v>167</v>
      </c>
      <c r="AW5" s="977"/>
      <c r="AX5" s="977"/>
      <c r="AY5" s="28" t="s">
        <v>3</v>
      </c>
      <c r="AZ5" s="29">
        <f t="shared" ref="AZ5:BT5" si="1">SUM(AZ13:AZ641)</f>
        <v>104789.91</v>
      </c>
      <c r="BA5" s="29">
        <f t="shared" si="1"/>
        <v>97627.78</v>
      </c>
      <c r="BB5" s="29">
        <f t="shared" si="1"/>
        <v>71050.5</v>
      </c>
      <c r="BC5" s="29">
        <f t="shared" si="1"/>
        <v>2960.44</v>
      </c>
      <c r="BD5" s="29">
        <f t="shared" si="1"/>
        <v>4432.97</v>
      </c>
      <c r="BE5" s="29">
        <f t="shared" si="1"/>
        <v>19183.87</v>
      </c>
      <c r="BF5" s="29">
        <f t="shared" si="1"/>
        <v>0</v>
      </c>
      <c r="BG5" s="29">
        <f t="shared" si="1"/>
        <v>0</v>
      </c>
      <c r="BH5" s="29">
        <f t="shared" si="1"/>
        <v>0</v>
      </c>
      <c r="BI5" s="29">
        <f t="shared" si="1"/>
        <v>0</v>
      </c>
      <c r="BJ5" s="29">
        <f t="shared" si="1"/>
        <v>0</v>
      </c>
      <c r="BK5" s="29">
        <f t="shared" si="1"/>
        <v>0</v>
      </c>
      <c r="BL5" s="29">
        <f t="shared" si="1"/>
        <v>7162.1299999999992</v>
      </c>
      <c r="BM5" s="29">
        <f t="shared" si="1"/>
        <v>118</v>
      </c>
      <c r="BN5" s="29">
        <f t="shared" si="1"/>
        <v>1515.75</v>
      </c>
      <c r="BO5" s="29">
        <f t="shared" si="1"/>
        <v>0</v>
      </c>
      <c r="BP5" s="29">
        <f t="shared" si="1"/>
        <v>0</v>
      </c>
      <c r="BQ5" s="29">
        <f t="shared" si="1"/>
        <v>81.569999999999993</v>
      </c>
      <c r="BR5" s="29">
        <f t="shared" si="1"/>
        <v>5446.8099999999995</v>
      </c>
      <c r="BS5" s="29">
        <f t="shared" si="1"/>
        <v>0</v>
      </c>
      <c r="BT5" s="30">
        <f t="shared" si="1"/>
        <v>0</v>
      </c>
    </row>
    <row r="6" spans="1:72" s="37" customFormat="1" ht="12.75">
      <c r="A6" s="26" t="s">
        <v>168</v>
      </c>
      <c r="B6" s="31"/>
      <c r="C6" s="31"/>
      <c r="D6" s="32"/>
      <c r="E6" s="27">
        <f>H6+AC6+AT6</f>
        <v>26609.760000000002</v>
      </c>
      <c r="F6" s="27" t="s">
        <v>1</v>
      </c>
      <c r="G6" s="27" t="s">
        <v>2</v>
      </c>
      <c r="H6" s="33">
        <f>SUMIF(I$12:AB$12,"总值",I6:AB6)</f>
        <v>24743.820000000003</v>
      </c>
      <c r="I6" s="27">
        <f t="shared" ref="I6:AB6" si="2">ROUND($A$3*I5/$B$3,2)</f>
        <v>18007.79</v>
      </c>
      <c r="J6" s="27">
        <f t="shared" si="2"/>
        <v>0</v>
      </c>
      <c r="K6" s="27">
        <f t="shared" si="2"/>
        <v>750.33</v>
      </c>
      <c r="L6" s="27">
        <f t="shared" si="2"/>
        <v>0</v>
      </c>
      <c r="M6" s="27">
        <f t="shared" si="2"/>
        <v>1123.54</v>
      </c>
      <c r="N6" s="27">
        <f t="shared" si="2"/>
        <v>0</v>
      </c>
      <c r="O6" s="27">
        <f t="shared" si="2"/>
        <v>4862.16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1865.94</v>
      </c>
      <c r="AD6" s="27">
        <f t="shared" ref="AD6:AS6" si="3">ROUND($A$3*AD5/$B$3,2)</f>
        <v>80.599999999999994</v>
      </c>
      <c r="AE6" s="27">
        <f t="shared" si="3"/>
        <v>50.69</v>
      </c>
      <c r="AF6" s="27">
        <f t="shared" si="3"/>
        <v>384.17</v>
      </c>
      <c r="AG6" s="27">
        <f t="shared" si="3"/>
        <v>0</v>
      </c>
      <c r="AH6" s="27">
        <f t="shared" si="3"/>
        <v>0</v>
      </c>
      <c r="AI6" s="27">
        <f t="shared" si="3"/>
        <v>0</v>
      </c>
      <c r="AJ6" s="27">
        <f t="shared" si="3"/>
        <v>0</v>
      </c>
      <c r="AK6" s="27">
        <f t="shared" si="3"/>
        <v>0</v>
      </c>
      <c r="AL6" s="27">
        <f t="shared" si="3"/>
        <v>20.67</v>
      </c>
      <c r="AM6" s="27">
        <f t="shared" si="3"/>
        <v>0</v>
      </c>
      <c r="AN6" s="27">
        <f t="shared" si="3"/>
        <v>1380.5</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26559.06</v>
      </c>
      <c r="AZ6" s="27" t="s">
        <v>3</v>
      </c>
      <c r="BA6" s="27">
        <f>ROUND($AY$6*BA5/$AZ$5,2)</f>
        <v>24743.81</v>
      </c>
      <c r="BB6" s="27">
        <f>ROUND($AY$6*BB5/$AZ$5,2)</f>
        <v>18007.79</v>
      </c>
      <c r="BC6" s="27">
        <f t="shared" ref="BC6:BH6" si="4">ROUND($AY$6*BC5/$AZ$5,2)</f>
        <v>750.33</v>
      </c>
      <c r="BD6" s="27">
        <f t="shared" si="4"/>
        <v>1123.54</v>
      </c>
      <c r="BE6" s="27">
        <f t="shared" si="4"/>
        <v>4862.16</v>
      </c>
      <c r="BF6" s="27">
        <f t="shared" si="4"/>
        <v>0</v>
      </c>
      <c r="BG6" s="27">
        <f t="shared" si="4"/>
        <v>0</v>
      </c>
      <c r="BH6" s="27">
        <f t="shared" si="4"/>
        <v>0</v>
      </c>
      <c r="BI6" s="27">
        <f t="shared" ref="BI6:BT6" si="5">ROUND($AY$6*BI5/$AZ$5,2)</f>
        <v>0</v>
      </c>
      <c r="BJ6" s="27">
        <f t="shared" si="5"/>
        <v>0</v>
      </c>
      <c r="BK6" s="27">
        <f t="shared" si="5"/>
        <v>0</v>
      </c>
      <c r="BL6" s="27">
        <f t="shared" si="5"/>
        <v>1815.25</v>
      </c>
      <c r="BM6" s="27">
        <f t="shared" si="5"/>
        <v>29.91</v>
      </c>
      <c r="BN6" s="27">
        <f t="shared" si="5"/>
        <v>384.17</v>
      </c>
      <c r="BO6" s="27">
        <f t="shared" si="5"/>
        <v>0</v>
      </c>
      <c r="BP6" s="27">
        <f t="shared" si="5"/>
        <v>0</v>
      </c>
      <c r="BQ6" s="27">
        <f t="shared" si="5"/>
        <v>20.67</v>
      </c>
      <c r="BR6" s="27">
        <f t="shared" si="5"/>
        <v>1380.5</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31" t="s">
        <v>3015</v>
      </c>
      <c r="J9" s="51"/>
      <c r="K9" s="2731" t="s">
        <v>3015</v>
      </c>
      <c r="L9" s="51"/>
      <c r="M9" s="2731" t="s">
        <v>3018</v>
      </c>
      <c r="N9" s="51"/>
      <c r="O9" s="59" t="s">
        <v>3018</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31" t="s">
        <v>913</v>
      </c>
      <c r="J10" s="51"/>
      <c r="K10" s="2731" t="s">
        <v>913</v>
      </c>
      <c r="L10" s="51"/>
      <c r="M10" s="2733" t="s">
        <v>3016</v>
      </c>
      <c r="N10" s="51"/>
      <c r="O10" s="66" t="s">
        <v>3007</v>
      </c>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3011</v>
      </c>
      <c r="J11" s="71"/>
      <c r="K11" s="2732" t="s">
        <v>3013</v>
      </c>
      <c r="L11" s="71"/>
      <c r="M11" s="70" t="s">
        <v>3019</v>
      </c>
      <c r="N11" s="71"/>
      <c r="O11" s="70" t="s">
        <v>3007</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可售住宅</v>
      </c>
      <c r="BC12" s="79" t="str">
        <f>K11</f>
        <v>自持住宅</v>
      </c>
      <c r="BD12" s="79" t="str">
        <f>M11</f>
        <v>戊类库房</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34"/>
      <c r="B13" s="2726"/>
      <c r="C13" s="2726" t="s">
        <v>3010</v>
      </c>
      <c r="D13" s="2727" t="s">
        <v>1668</v>
      </c>
      <c r="E13" s="27">
        <f t="shared" ref="E13:E20" si="6">IF($C$3="是",ROUND($A$3*G13/$B$3,2),ROUND($A$3*(G13-AT13)/$B$3,2))</f>
        <v>26609.75</v>
      </c>
      <c r="F13" s="81"/>
      <c r="G13" s="82">
        <f t="shared" ref="G13:G20" si="7">H13+AC13+AT13</f>
        <v>113224.91</v>
      </c>
      <c r="H13" s="33">
        <f t="shared" ref="H13:H20" si="8">SUMIF(I$12:AB$12,"总值",I13:AB13)</f>
        <v>97627.78</v>
      </c>
      <c r="I13" s="2730">
        <v>71050.5</v>
      </c>
      <c r="J13" s="2730"/>
      <c r="K13" s="2730">
        <v>2960.44</v>
      </c>
      <c r="L13" s="2730"/>
      <c r="M13" s="2730">
        <v>4432.97</v>
      </c>
      <c r="N13" s="83"/>
      <c r="O13" s="83">
        <v>19183.87</v>
      </c>
      <c r="P13" s="83"/>
      <c r="Q13" s="83"/>
      <c r="R13" s="83"/>
      <c r="S13" s="83"/>
      <c r="T13" s="83"/>
      <c r="U13" s="83"/>
      <c r="V13" s="83"/>
      <c r="W13" s="83"/>
      <c r="X13" s="83"/>
      <c r="Y13" s="83"/>
      <c r="Z13" s="83"/>
      <c r="AA13" s="83"/>
      <c r="AB13" s="83"/>
      <c r="AC13" s="27">
        <f t="shared" ref="AC13:AC20" si="9">SUMIF(AD$12:AS$12,"总值",AD13:AS13)</f>
        <v>7362.1299999999992</v>
      </c>
      <c r="AD13" s="2734">
        <v>318</v>
      </c>
      <c r="AE13" s="2734">
        <v>200</v>
      </c>
      <c r="AF13" s="2734">
        <f>804+711.75</f>
        <v>1515.75</v>
      </c>
      <c r="AG13" s="2734"/>
      <c r="AH13" s="2734"/>
      <c r="AI13" s="2734"/>
      <c r="AJ13" s="2734"/>
      <c r="AK13" s="2734"/>
      <c r="AL13" s="2734">
        <v>81.569999999999993</v>
      </c>
      <c r="AM13" s="2734"/>
      <c r="AN13" s="2734">
        <f>1963+3483.81</f>
        <v>5446.8099999999995</v>
      </c>
      <c r="AO13" s="2734"/>
      <c r="AP13" s="2734"/>
      <c r="AQ13" s="2734"/>
      <c r="AR13" s="2734"/>
      <c r="AS13" s="2734"/>
      <c r="AT13" s="2735">
        <f>96.4+8138.6</f>
        <v>8235</v>
      </c>
      <c r="AU13" s="2736"/>
      <c r="AV13" s="17">
        <f t="shared" ref="AV13:AX20" si="10">A13</f>
        <v>0</v>
      </c>
      <c r="AW13" s="17">
        <f t="shared" si="10"/>
        <v>0</v>
      </c>
      <c r="AX13" s="17" t="str">
        <f t="shared" si="10"/>
        <v>规划图</v>
      </c>
      <c r="AY13" s="984">
        <f t="shared" ref="AY13:AY20" si="11">ROUND($AY$6*AZ13/$AZ$5,2)</f>
        <v>26559.06</v>
      </c>
      <c r="AZ13" s="27">
        <f t="shared" ref="AZ13:AZ20" si="12">BA13+BL13</f>
        <v>104789.91</v>
      </c>
      <c r="BA13" s="27">
        <f t="shared" ref="BA13:BA20" si="13">SUM(BB13:BK13)</f>
        <v>97627.78</v>
      </c>
      <c r="BB13" s="27">
        <f t="shared" ref="BB13:BB20" si="14">IF($D13="是",I13-J13,0)</f>
        <v>71050.5</v>
      </c>
      <c r="BC13" s="27">
        <f t="shared" ref="BC13:BC20" si="15">IF($D13="是",K13-L13,0)</f>
        <v>2960.44</v>
      </c>
      <c r="BD13" s="27">
        <f t="shared" ref="BD13:BD20" si="16">IF($D13="是",M13-N13,0)</f>
        <v>4432.97</v>
      </c>
      <c r="BE13" s="27">
        <f t="shared" ref="BE13:BE20" si="17">IF($D13="是",O13-P13,0)</f>
        <v>19183.87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7162.1299999999992</v>
      </c>
      <c r="BM13" s="27">
        <f t="shared" ref="BM13:BM20" si="25">IF($D13="是",AD13-AE13,0)</f>
        <v>118</v>
      </c>
      <c r="BN13" s="27">
        <f t="shared" ref="BN13:BN20" si="26">IF($D13="是",AF13-AG13,0)</f>
        <v>1515.75</v>
      </c>
      <c r="BO13" s="27">
        <f t="shared" ref="BO13:BO20" si="27">IF($D13="是",AH13-AI13,0)</f>
        <v>0</v>
      </c>
      <c r="BP13" s="27">
        <f t="shared" ref="BP13:BP20" si="28">IF($D13="是",AJ13-AK13,0)</f>
        <v>0</v>
      </c>
      <c r="BQ13" s="27">
        <f t="shared" ref="BQ13:BQ20" si="29">IF($D13="是",AL13-AM13,0)</f>
        <v>81.569999999999993</v>
      </c>
      <c r="BR13" s="27">
        <f t="shared" ref="BR13:BR20" si="30">IF($D13="是",AN13-AO13,0)</f>
        <v>5446.8099999999995</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2" t="s">
        <v>0</v>
      </c>
      <c r="B1" s="3382" t="s">
        <v>4</v>
      </c>
      <c r="C1" s="3382" t="s">
        <v>5</v>
      </c>
      <c r="D1" s="3383" t="s">
        <v>40</v>
      </c>
      <c r="E1" s="3383" t="s">
        <v>41</v>
      </c>
      <c r="F1" s="3383"/>
      <c r="G1" s="3383"/>
      <c r="H1" s="3383"/>
      <c r="I1" s="3383"/>
      <c r="J1" s="3383"/>
      <c r="K1" s="3383"/>
      <c r="L1" s="3383"/>
      <c r="M1" s="3383"/>
    </row>
    <row r="2" spans="1:13" ht="27" customHeight="1">
      <c r="A2" s="3382"/>
      <c r="B2" s="3382"/>
      <c r="C2" s="3382"/>
      <c r="D2" s="3383"/>
      <c r="E2" s="3383" t="s">
        <v>24</v>
      </c>
      <c r="F2" s="3383" t="s">
        <v>25</v>
      </c>
      <c r="G2" s="3383"/>
      <c r="H2" s="3383"/>
      <c r="I2" s="3383"/>
      <c r="J2" s="3383" t="s">
        <v>26</v>
      </c>
      <c r="K2" s="3383"/>
      <c r="L2" s="3383"/>
      <c r="M2" s="3383"/>
    </row>
    <row r="3" spans="1:13" ht="28.5">
      <c r="A3" s="3382"/>
      <c r="B3" s="3382"/>
      <c r="C3" s="3382"/>
      <c r="D3" s="3383"/>
      <c r="E3" s="3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3" t="s">
        <v>42</v>
      </c>
      <c r="B9" s="3383"/>
      <c r="C9" s="3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5" zoomScaleNormal="70" zoomScaleSheetLayoutView="85" workbookViewId="0">
      <selection activeCell="M21" sqref="M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393" t="s">
        <v>202</v>
      </c>
      <c r="B2" s="3393"/>
      <c r="C2" s="3393"/>
      <c r="D2" s="1888" t="s">
        <v>203</v>
      </c>
      <c r="E2" s="106" t="s">
        <v>204</v>
      </c>
      <c r="F2" s="3082"/>
      <c r="G2" s="1181"/>
      <c r="H2" s="1182"/>
      <c r="I2" s="1183" t="s">
        <v>848</v>
      </c>
      <c r="J2" s="3082"/>
      <c r="K2" s="3082"/>
      <c r="L2" s="3082"/>
      <c r="M2" s="3082"/>
      <c r="N2" s="3082"/>
      <c r="O2" s="3082"/>
      <c r="P2" s="3082"/>
    </row>
    <row r="3" spans="1:16" ht="15.75" thickBot="1">
      <c r="A3" s="3394" t="s">
        <v>205</v>
      </c>
      <c r="B3" s="3394"/>
      <c r="C3" s="3394"/>
      <c r="D3" s="107">
        <f>'数据-基础表'!AY6</f>
        <v>26559.06</v>
      </c>
      <c r="E3" s="107">
        <f>'数据-基础表'!AZ5</f>
        <v>104789.91</v>
      </c>
      <c r="F3" s="3082"/>
      <c r="G3" s="278" t="s">
        <v>849</v>
      </c>
      <c r="H3" s="273" t="s">
        <v>850</v>
      </c>
      <c r="I3" s="1889">
        <f>ROUND('数据-基础表'!B3/'数据-基础表'!A3,2)</f>
        <v>3.95</v>
      </c>
      <c r="J3" s="3082"/>
      <c r="K3" s="3082"/>
      <c r="L3" s="3082"/>
      <c r="M3" s="3082"/>
      <c r="N3" s="3082"/>
      <c r="O3" s="3082"/>
      <c r="P3" s="3082"/>
    </row>
    <row r="4" spans="1:16" ht="15">
      <c r="A4" s="3395"/>
      <c r="B4" s="3396"/>
      <c r="C4" s="3397"/>
      <c r="D4" s="108" t="s">
        <v>203</v>
      </c>
      <c r="E4" s="109" t="s">
        <v>204</v>
      </c>
      <c r="F4" s="3082"/>
      <c r="G4" s="1184"/>
      <c r="H4" s="273" t="s">
        <v>851</v>
      </c>
      <c r="I4" s="1889">
        <f>ROUND(SUMIF('数据-基础表'!I9:AS9,"地上",'数据-基础表'!I5:AS5)/'数据-基础表'!A3,2)</f>
        <v>2.8</v>
      </c>
      <c r="J4" s="3082"/>
      <c r="K4" s="3082"/>
      <c r="L4" s="3082"/>
      <c r="M4" s="3082"/>
      <c r="N4" s="3082"/>
      <c r="O4" s="3082"/>
      <c r="P4" s="3082"/>
    </row>
    <row r="5" spans="1:16">
      <c r="A5" s="110" t="s">
        <v>206</v>
      </c>
      <c r="B5" s="3398" t="s">
        <v>229</v>
      </c>
      <c r="C5" s="3398"/>
      <c r="D5" s="111">
        <f>ROUND($D$3*E5/$E$3,2)</f>
        <v>18758.11</v>
      </c>
      <c r="E5" s="112">
        <f>SUMIF('数据-基础表'!$11:$11,"住宅",'数据-基础表'!$5:$5)</f>
        <v>74010.94</v>
      </c>
      <c r="F5" s="3082"/>
      <c r="G5" s="278" t="s">
        <v>852</v>
      </c>
      <c r="H5" s="273" t="s">
        <v>850</v>
      </c>
      <c r="I5" s="1889">
        <f>ROUND(E31/D31,2)</f>
        <v>3.95</v>
      </c>
      <c r="J5" s="3082"/>
      <c r="K5" s="3082"/>
      <c r="L5" s="3082"/>
      <c r="M5" s="3082"/>
      <c r="N5" s="3082"/>
      <c r="O5" s="3082"/>
      <c r="P5" s="3082"/>
    </row>
    <row r="6" spans="1:16" ht="15" thickBot="1">
      <c r="A6" s="113"/>
      <c r="B6" s="3398" t="s">
        <v>207</v>
      </c>
      <c r="C6" s="3398"/>
      <c r="D6" s="111">
        <f>ROUND($D$3*E6/$E$3,2)</f>
        <v>7800.95</v>
      </c>
      <c r="E6" s="112">
        <f>E3-E5</f>
        <v>30778.97</v>
      </c>
      <c r="F6" s="3082"/>
      <c r="G6" s="1184"/>
      <c r="H6" s="273" t="s">
        <v>851</v>
      </c>
      <c r="I6" s="1889">
        <f>ROUND(F31/D31,2)</f>
        <v>2.79</v>
      </c>
      <c r="J6" s="3082"/>
      <c r="K6" s="3082"/>
      <c r="L6" s="3082"/>
      <c r="M6" s="3082"/>
      <c r="N6" s="3082"/>
      <c r="O6" s="3082"/>
      <c r="P6" s="3082"/>
    </row>
    <row r="7" spans="1:16" ht="15">
      <c r="A7" s="3390"/>
      <c r="B7" s="3391"/>
      <c r="C7" s="3392"/>
      <c r="D7" s="108" t="s">
        <v>203</v>
      </c>
      <c r="E7" s="114" t="s">
        <v>230</v>
      </c>
      <c r="F7" s="3082"/>
      <c r="G7" s="1139" t="s">
        <v>1635</v>
      </c>
      <c r="H7" s="1140"/>
      <c r="I7" s="1759"/>
      <c r="J7" s="3082"/>
      <c r="K7" s="3082"/>
      <c r="L7" s="3082"/>
      <c r="M7" s="3082"/>
      <c r="N7" s="3082"/>
      <c r="O7" s="3082"/>
      <c r="P7" s="3082"/>
    </row>
    <row r="8" spans="1:16">
      <c r="A8" s="110" t="s">
        <v>208</v>
      </c>
      <c r="B8" s="115" t="s">
        <v>209</v>
      </c>
      <c r="C8" s="111" t="s">
        <v>210</v>
      </c>
      <c r="D8" s="111">
        <f t="shared" ref="D8:D15" si="0">ROUND($D$3*E8/$E$3,2)</f>
        <v>18758.11</v>
      </c>
      <c r="E8" s="116">
        <f>SUMIF('数据-基础表'!BB10:BK10,"地上",'数据-基础表'!BB5:BK5)</f>
        <v>74010.94</v>
      </c>
      <c r="F8" s="3082"/>
      <c r="G8" s="3083"/>
      <c r="H8" s="3083"/>
      <c r="I8" s="3082"/>
      <c r="J8" s="3082"/>
      <c r="K8" s="3082"/>
      <c r="L8" s="3082"/>
      <c r="M8" s="3082"/>
      <c r="N8" s="3082"/>
      <c r="O8" s="3082"/>
      <c r="P8" s="3082"/>
    </row>
    <row r="9" spans="1:16">
      <c r="A9" s="117"/>
      <c r="B9" s="118"/>
      <c r="C9" s="111" t="s">
        <v>211</v>
      </c>
      <c r="D9" s="111">
        <f t="shared" si="0"/>
        <v>0</v>
      </c>
      <c r="E9" s="119">
        <v>0</v>
      </c>
      <c r="F9" s="3082"/>
      <c r="G9" s="3083"/>
      <c r="H9" s="3083"/>
      <c r="I9" s="3082"/>
      <c r="J9" s="3082"/>
      <c r="K9" s="3082"/>
      <c r="L9" s="3082"/>
      <c r="M9" s="3082"/>
      <c r="N9" s="3082"/>
      <c r="O9" s="3082"/>
      <c r="P9" s="3082"/>
    </row>
    <row r="10" spans="1:16">
      <c r="A10" s="117"/>
      <c r="B10" s="118"/>
      <c r="C10" s="111" t="s">
        <v>212</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213</v>
      </c>
      <c r="D12" s="111">
        <f t="shared" si="0"/>
        <v>1123.54</v>
      </c>
      <c r="E12" s="116">
        <f>SUMPRODUCT(('数据-基础表'!BB10:BK10="地下")*('数据-基础表'!BB11:BK11="仓储")*('数据-基础表'!BB5:BK5))</f>
        <v>4432.97</v>
      </c>
      <c r="F12" s="3082"/>
      <c r="G12" s="3083"/>
      <c r="H12" s="3083"/>
      <c r="I12" s="3082"/>
      <c r="J12" s="3082"/>
      <c r="K12" s="3082"/>
      <c r="L12" s="3082"/>
      <c r="M12" s="3082"/>
      <c r="N12" s="3082"/>
      <c r="O12" s="3082"/>
      <c r="P12" s="3082"/>
    </row>
    <row r="13" spans="1:16">
      <c r="A13" s="117"/>
      <c r="B13" s="118"/>
      <c r="C13" s="2210" t="s">
        <v>2321</v>
      </c>
      <c r="D13" s="111">
        <f t="shared" si="0"/>
        <v>4862.16</v>
      </c>
      <c r="E13" s="116">
        <f>SUMPRODUCT(('数据-基础表'!BB10:BK10="地下")*('数据-基础表'!BB11:BK11="车库")*('数据-基础表'!BB5:BK5))</f>
        <v>19183.87</v>
      </c>
      <c r="F13" s="3082"/>
      <c r="G13" s="3083"/>
      <c r="H13" s="3083"/>
      <c r="I13" s="3082"/>
      <c r="J13" s="3082"/>
      <c r="K13" s="3082"/>
      <c r="L13" s="3082"/>
      <c r="M13" s="3082"/>
      <c r="N13" s="3082"/>
      <c r="O13" s="3082"/>
      <c r="P13" s="3082"/>
    </row>
    <row r="14" spans="1:16">
      <c r="A14" s="117"/>
      <c r="B14" s="118"/>
      <c r="C14" s="111" t="s">
        <v>231</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232</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214</v>
      </c>
      <c r="D16" s="115">
        <f>SUM(D8:D15)</f>
        <v>24743.81</v>
      </c>
      <c r="E16" s="120">
        <f>SUM(E8:E15)</f>
        <v>97627.78</v>
      </c>
      <c r="F16" s="3082"/>
      <c r="G16" s="3083"/>
      <c r="H16" s="956" t="s">
        <v>218</v>
      </c>
      <c r="I16" s="957"/>
      <c r="J16" s="1897"/>
      <c r="K16" s="3384" t="s">
        <v>2546</v>
      </c>
      <c r="L16" s="3385"/>
      <c r="M16" s="3385"/>
      <c r="N16" s="3385"/>
      <c r="O16" s="3385"/>
      <c r="P16" s="3386"/>
    </row>
    <row r="17" spans="1:19" ht="15">
      <c r="A17" s="121" t="s">
        <v>215</v>
      </c>
      <c r="B17" s="122" t="s">
        <v>216</v>
      </c>
      <c r="C17" s="2177" t="s">
        <v>2300</v>
      </c>
      <c r="D17" s="108" t="s">
        <v>203</v>
      </c>
      <c r="E17" s="124" t="s">
        <v>204</v>
      </c>
      <c r="F17" s="125"/>
      <c r="G17" s="1318"/>
      <c r="H17" s="958" t="s">
        <v>217</v>
      </c>
      <c r="I17" s="959" t="s">
        <v>2299</v>
      </c>
      <c r="J17" s="1897"/>
      <c r="K17" s="3387" t="s">
        <v>2547</v>
      </c>
      <c r="L17" s="3388"/>
      <c r="M17" s="3389"/>
      <c r="N17" s="3387" t="s">
        <v>2548</v>
      </c>
      <c r="O17" s="3388"/>
      <c r="P17" s="3389"/>
      <c r="R17" s="2178" t="s">
        <v>2298</v>
      </c>
      <c r="S17" s="142"/>
    </row>
    <row r="18" spans="1:19" ht="15">
      <c r="A18" s="117"/>
      <c r="B18" s="128"/>
      <c r="C18" s="129"/>
      <c r="D18" s="2483"/>
      <c r="E18" s="130" t="s">
        <v>219</v>
      </c>
      <c r="F18" s="131" t="s">
        <v>220</v>
      </c>
      <c r="G18" s="1319" t="s">
        <v>221</v>
      </c>
      <c r="H18" s="960" t="s">
        <v>222</v>
      </c>
      <c r="I18" s="961" t="s">
        <v>223</v>
      </c>
      <c r="J18" s="1897"/>
      <c r="K18" s="2448" t="s">
        <v>2549</v>
      </c>
      <c r="L18" s="2449" t="s">
        <v>2550</v>
      </c>
      <c r="M18" s="2450" t="s">
        <v>2551</v>
      </c>
      <c r="N18" s="2448" t="s">
        <v>2549</v>
      </c>
      <c r="O18" s="2449" t="s">
        <v>2550</v>
      </c>
      <c r="P18" s="2450" t="s">
        <v>2551</v>
      </c>
      <c r="R18" s="2179" t="s">
        <v>2296</v>
      </c>
      <c r="S18" s="2179" t="s">
        <v>2297</v>
      </c>
    </row>
    <row r="19" spans="1:19">
      <c r="A19" s="133"/>
      <c r="B19" s="115" t="s">
        <v>224</v>
      </c>
      <c r="C19" s="2737" t="s">
        <v>3021</v>
      </c>
      <c r="D19" s="111">
        <f t="shared" ref="D19:D26" si="1">ROUND($D$3*E19/$E$3,2)</f>
        <v>18007.79</v>
      </c>
      <c r="E19" s="134">
        <f t="shared" ref="E19:E26" si="2">SUM(F19:G19)</f>
        <v>71050.5</v>
      </c>
      <c r="F19" s="3084">
        <f>'数据-基础表'!I5</f>
        <v>71050.5</v>
      </c>
      <c r="G19" s="3085"/>
      <c r="H19" s="962">
        <f>ROUND($D$3*I19/$E$3,2)</f>
        <v>1417.24</v>
      </c>
      <c r="I19" s="116">
        <f>IF($I$17="自定义",P19,M19)</f>
        <v>5591.79</v>
      </c>
      <c r="J19" s="1897"/>
      <c r="K19" s="2451">
        <f t="shared" ref="K19:K26" si="3">ROUND(E$28*E19/E$27,2)</f>
        <v>4023.39</v>
      </c>
      <c r="L19" s="273">
        <f t="shared" ref="L19:L26" si="4">ROUND(IF(COUNTIF(C19,"*住宅*")&gt;0,E$29*E19/E$32,0),2)</f>
        <v>1568.4</v>
      </c>
      <c r="M19" s="2452">
        <f>K19+L19</f>
        <v>5591.79</v>
      </c>
      <c r="N19" s="2453"/>
      <c r="O19" s="2454"/>
      <c r="P19" s="2455">
        <f>N19+O19</f>
        <v>0</v>
      </c>
      <c r="R19" s="273">
        <f t="shared" ref="R19:S26" si="5">D19+H19</f>
        <v>19425.030000000002</v>
      </c>
      <c r="S19" s="2180">
        <f t="shared" si="5"/>
        <v>76642.289999999994</v>
      </c>
    </row>
    <row r="20" spans="1:19">
      <c r="A20" s="137"/>
      <c r="B20" s="115" t="s">
        <v>225</v>
      </c>
      <c r="C20" s="2737" t="s">
        <v>3022</v>
      </c>
      <c r="D20" s="111">
        <f t="shared" si="1"/>
        <v>750.33</v>
      </c>
      <c r="E20" s="134">
        <f t="shared" si="2"/>
        <v>2960.44</v>
      </c>
      <c r="F20" s="3084">
        <f>'数据-基础表'!K5</f>
        <v>2960.44</v>
      </c>
      <c r="G20" s="3085"/>
      <c r="H20" s="962">
        <f t="shared" ref="H20:H26" si="6">ROUND($D$3*I20/$E$3,2)</f>
        <v>59.05</v>
      </c>
      <c r="I20" s="116">
        <f t="shared" ref="I20:I26" si="7">IF($I$17="自定义",P20,M20)</f>
        <v>232.98999999999998</v>
      </c>
      <c r="J20" s="1897"/>
      <c r="K20" s="2451">
        <f t="shared" si="3"/>
        <v>167.64</v>
      </c>
      <c r="L20" s="273">
        <f t="shared" si="4"/>
        <v>65.349999999999994</v>
      </c>
      <c r="M20" s="2452">
        <f t="shared" ref="M20:M26" si="8">K20+L20</f>
        <v>232.98999999999998</v>
      </c>
      <c r="N20" s="2453"/>
      <c r="O20" s="2454"/>
      <c r="P20" s="2455">
        <f t="shared" ref="P20:P26" si="9">N20+O20</f>
        <v>0</v>
      </c>
      <c r="R20" s="273">
        <f t="shared" si="5"/>
        <v>809.38</v>
      </c>
      <c r="S20" s="2180">
        <f t="shared" si="5"/>
        <v>3193.43</v>
      </c>
    </row>
    <row r="21" spans="1:19">
      <c r="A21" s="137"/>
      <c r="B21" s="115" t="s">
        <v>225</v>
      </c>
      <c r="C21" s="2737" t="s">
        <v>3020</v>
      </c>
      <c r="D21" s="111">
        <f t="shared" si="1"/>
        <v>1123.54</v>
      </c>
      <c r="E21" s="134">
        <f t="shared" si="2"/>
        <v>4432.97</v>
      </c>
      <c r="F21" s="3084"/>
      <c r="G21" s="3085">
        <f>'数据-基础表'!M5</f>
        <v>4432.97</v>
      </c>
      <c r="H21" s="962">
        <f t="shared" si="6"/>
        <v>63.62</v>
      </c>
      <c r="I21" s="116">
        <f t="shared" si="7"/>
        <v>251.03</v>
      </c>
      <c r="J21" s="1897"/>
      <c r="K21" s="2451">
        <f t="shared" si="3"/>
        <v>251.03</v>
      </c>
      <c r="L21" s="273">
        <f t="shared" si="4"/>
        <v>0</v>
      </c>
      <c r="M21" s="2452">
        <f t="shared" si="8"/>
        <v>251.03</v>
      </c>
      <c r="N21" s="2453"/>
      <c r="O21" s="2454"/>
      <c r="P21" s="2455">
        <f t="shared" si="9"/>
        <v>0</v>
      </c>
      <c r="R21" s="273">
        <f t="shared" si="5"/>
        <v>1187.1599999999999</v>
      </c>
      <c r="S21" s="2180">
        <f t="shared" si="5"/>
        <v>4684</v>
      </c>
    </row>
    <row r="22" spans="1:19">
      <c r="A22" s="137"/>
      <c r="B22" s="115" t="s">
        <v>225</v>
      </c>
      <c r="C22" s="3288" t="s">
        <v>3023</v>
      </c>
      <c r="D22" s="111">
        <f t="shared" si="1"/>
        <v>4862.16</v>
      </c>
      <c r="E22" s="134">
        <f t="shared" si="2"/>
        <v>19183.87</v>
      </c>
      <c r="F22" s="3086"/>
      <c r="G22" s="3087">
        <f>'数据-基础表'!O5</f>
        <v>19183.87</v>
      </c>
      <c r="H22" s="962">
        <f t="shared" si="6"/>
        <v>275.33</v>
      </c>
      <c r="I22" s="116">
        <f t="shared" si="7"/>
        <v>1086.33</v>
      </c>
      <c r="J22" s="1897"/>
      <c r="K22" s="2451">
        <f t="shared" si="3"/>
        <v>1086.33</v>
      </c>
      <c r="L22" s="273">
        <f t="shared" si="4"/>
        <v>0</v>
      </c>
      <c r="M22" s="2452">
        <f t="shared" si="8"/>
        <v>1086.33</v>
      </c>
      <c r="N22" s="2453"/>
      <c r="O22" s="2454"/>
      <c r="P22" s="2455">
        <f t="shared" si="9"/>
        <v>0</v>
      </c>
      <c r="R22" s="273">
        <f t="shared" si="5"/>
        <v>5137.49</v>
      </c>
      <c r="S22" s="2180">
        <f t="shared" si="5"/>
        <v>20270.199999999997</v>
      </c>
    </row>
    <row r="23" spans="1:19">
      <c r="A23" s="137"/>
      <c r="B23" s="115" t="s">
        <v>225</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214</v>
      </c>
      <c r="D27" s="134">
        <f>SUM(D19:D26)</f>
        <v>24743.820000000003</v>
      </c>
      <c r="E27" s="141">
        <f>IF(SUM(E19:E26)='数据-基础表'!BA5,SUM(E19:E26),IF(F27="地上面积有误","面积有误","地下面积有误"))</f>
        <v>97627.78</v>
      </c>
      <c r="F27" s="134">
        <f>IF(SUM(F19:F26)=E8,SUM(F19:F26),"地上面积有误")</f>
        <v>74010.94</v>
      </c>
      <c r="G27" s="112">
        <f>SUM(G19:G26)</f>
        <v>23616.84</v>
      </c>
      <c r="H27" s="963">
        <f>SUM(H19:H26)</f>
        <v>1815.2399999999998</v>
      </c>
      <c r="I27" s="964">
        <f>SUM(I19:I26)</f>
        <v>7162.1399999999994</v>
      </c>
      <c r="J27" s="1897"/>
      <c r="K27" s="2460">
        <f>SUM(K19:K26)</f>
        <v>5528.3899999999994</v>
      </c>
      <c r="L27" s="2461">
        <f>SUM(L19:L26)</f>
        <v>1633.75</v>
      </c>
      <c r="M27" s="2462">
        <f>SUM(M19:M26)</f>
        <v>7162.1399999999994</v>
      </c>
      <c r="N27" s="2460">
        <f t="shared" ref="N27:O27" si="10">SUM(N19:N26)</f>
        <v>0</v>
      </c>
      <c r="O27" s="2461">
        <f t="shared" si="10"/>
        <v>0</v>
      </c>
      <c r="P27" s="2463">
        <f>SUM(P19:P26)</f>
        <v>0</v>
      </c>
      <c r="R27" s="2184">
        <f>IF(SUM(R19:R26)=$D$3,SUM(R19:R26),SUM(R19:R26)&amp;"误差"&amp;ROUND(SUM(R19:R26)-$D$3,2))</f>
        <v>26559.060000000005</v>
      </c>
      <c r="S27" s="273" t="str">
        <f>IF(SUM(S19:S26)=$E$3,SUM(S19:S26),SUM(S19:S26)&amp;"误差"&amp;ROUND(SUM(S19:S26)-E3,2))</f>
        <v>104789.92误差0.01</v>
      </c>
    </row>
    <row r="28" spans="1:19">
      <c r="A28" s="137"/>
      <c r="B28" s="115" t="s">
        <v>226</v>
      </c>
      <c r="C28" s="135" t="s">
        <v>227</v>
      </c>
      <c r="D28" s="111">
        <f>ROUND($D$3*E28/$E$3,2)</f>
        <v>1401.17</v>
      </c>
      <c r="E28" s="134">
        <f>SUM(F28:G28)</f>
        <v>5528.3799999999992</v>
      </c>
      <c r="F28" s="142">
        <f>'数据-基础表'!BQ5+'数据-基础表'!BS5</f>
        <v>81.569999999999993</v>
      </c>
      <c r="G28" s="143">
        <f>'数据-基础表'!BR5+'数据-基础表'!BT5</f>
        <v>5446.8099999999995</v>
      </c>
      <c r="H28" s="3082"/>
      <c r="I28" s="3082"/>
      <c r="J28" s="3082"/>
      <c r="K28" s="3082"/>
      <c r="L28" s="3082"/>
      <c r="M28" s="3082"/>
      <c r="N28" s="3082"/>
      <c r="O28" s="3082"/>
      <c r="P28" s="3082"/>
    </row>
    <row r="29" spans="1:19">
      <c r="A29" s="137"/>
      <c r="B29" s="115" t="s">
        <v>226</v>
      </c>
      <c r="C29" s="2192" t="s">
        <v>2307</v>
      </c>
      <c r="D29" s="111">
        <f>ROUND($D$3*E29/$E$3,2)</f>
        <v>414.07</v>
      </c>
      <c r="E29" s="134">
        <f>SUM(F29:G29)</f>
        <v>1633.75</v>
      </c>
      <c r="F29" s="142">
        <f>'数据-基础表'!BM5+'数据-基础表'!BO5</f>
        <v>118</v>
      </c>
      <c r="G29" s="144">
        <f>'数据-基础表'!BN5+'数据-基础表'!BP5</f>
        <v>1515.75</v>
      </c>
      <c r="H29" s="3082"/>
      <c r="I29" s="3082"/>
      <c r="J29" s="3082"/>
      <c r="K29" s="3082"/>
      <c r="L29" s="3082"/>
      <c r="M29" s="3082"/>
      <c r="N29" s="3082"/>
      <c r="O29" s="3082"/>
      <c r="P29" s="3082"/>
    </row>
    <row r="30" spans="1:19">
      <c r="A30" s="137"/>
      <c r="B30" s="111"/>
      <c r="C30" s="145" t="s">
        <v>214</v>
      </c>
      <c r="D30" s="134">
        <f>SUM(D28:D29)</f>
        <v>1815.24</v>
      </c>
      <c r="E30" s="134">
        <f>SUM(E28:E29)</f>
        <v>7162.1299999999992</v>
      </c>
      <c r="F30" s="134">
        <f>SUM(F28:F29)</f>
        <v>199.57</v>
      </c>
      <c r="G30" s="112">
        <f>SUM(G28:G29)</f>
        <v>6962.5599999999995</v>
      </c>
      <c r="H30" s="3082"/>
      <c r="I30" s="3082"/>
      <c r="J30" s="3082"/>
      <c r="K30" s="3082"/>
      <c r="L30" s="3082"/>
      <c r="M30" s="3082"/>
      <c r="N30" s="3082"/>
      <c r="O30" s="3082"/>
      <c r="P30" s="3082"/>
    </row>
    <row r="31" spans="1:19" ht="32.25" customHeight="1" thickBot="1">
      <c r="A31" s="1320"/>
      <c r="B31" s="1321" t="s">
        <v>228</v>
      </c>
      <c r="C31" s="2209" t="s">
        <v>2309</v>
      </c>
      <c r="D31" s="1322">
        <f>D27+D30</f>
        <v>26559.060000000005</v>
      </c>
      <c r="E31" s="1322">
        <f>E27+E30</f>
        <v>104789.91</v>
      </c>
      <c r="F31" s="1323">
        <f>F27+F30</f>
        <v>74210.510000000009</v>
      </c>
      <c r="G31" s="1324">
        <f>G27+G30</f>
        <v>30579.4</v>
      </c>
      <c r="H31" s="3082"/>
      <c r="I31" s="3082"/>
      <c r="J31" s="3082"/>
      <c r="K31" s="3082"/>
      <c r="L31" s="3082"/>
      <c r="M31" s="3082"/>
      <c r="N31" s="3082"/>
      <c r="O31" s="3082"/>
      <c r="P31" s="3082"/>
    </row>
    <row r="32" spans="1:19">
      <c r="A32" s="1897"/>
      <c r="B32" s="2221" t="s">
        <v>2308</v>
      </c>
      <c r="C32" s="2488"/>
      <c r="D32" s="1184"/>
      <c r="E32" s="1184">
        <f>SUMIF(C19:C26,"*住宅*",E19:E26)</f>
        <v>74010.94</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K6" sqref="K6:K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234</v>
      </c>
      <c r="B2" s="2217">
        <f>项目基本情况!D3</f>
        <v>44300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2805</v>
      </c>
      <c r="O5" s="161" t="s">
        <v>245</v>
      </c>
      <c r="P5" s="163" t="s">
        <v>246</v>
      </c>
      <c r="Q5" s="164" t="s">
        <v>247</v>
      </c>
      <c r="R5" s="165" t="s">
        <v>248</v>
      </c>
      <c r="S5" s="2464" t="s">
        <v>2552</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可售住宅</v>
      </c>
      <c r="B6" s="2216" t="str">
        <f>IF(A6=0,"","经营性")</f>
        <v>经营性</v>
      </c>
      <c r="C6" s="171" t="s">
        <v>913</v>
      </c>
      <c r="D6" s="2187">
        <f>SUMIF(项目基本情况!D$15:I$15,C6,项目基本情况!D$18:I$18)</f>
        <v>70</v>
      </c>
      <c r="E6" s="2188">
        <f>IF(B6="","",SUMIF(项目基本情况!D$15:I$15,C6,项目基本情况!D$17:I$17))</f>
        <v>69768</v>
      </c>
      <c r="F6" s="172">
        <f>SUMIF(项目基本情况!D$15:I$15,C6,项目基本情况!D$19:I$19)</f>
        <v>69.77</v>
      </c>
      <c r="G6" s="173">
        <f>IF(ISERROR(ROUND(POWER(1+H6,D6-F6)*(POWER(1+H6,F6)-1)/(POWER(1+H6,D6)-1),3)),0,ROUND(POWER(1+H6,D6-F6)*(POWER(1+H6,F6)-1)/(POWER(1+H6,D6)-1),3))</f>
        <v>0.999</v>
      </c>
      <c r="H6" s="2738">
        <v>0.04</v>
      </c>
      <c r="I6" s="2738">
        <v>4.4999999999999998E-2</v>
      </c>
      <c r="J6" s="174">
        <v>0.08</v>
      </c>
      <c r="K6" s="177">
        <f>SUMIF('数据-汇总表'!C$19:C$33,'数据-取费表'!A6,'数据-汇总表'!E$19:E$33)</f>
        <v>71050.5</v>
      </c>
      <c r="L6" s="2739">
        <v>6000</v>
      </c>
      <c r="M6" s="175">
        <f t="shared" ref="M6:M14" si="0">ROUND(K6*L6/10000,0)</f>
        <v>42630</v>
      </c>
      <c r="N6" s="2740">
        <v>0</v>
      </c>
      <c r="O6" s="175">
        <f>IF($N$5="成新度","——",ROUND(M6*N6,0))</f>
        <v>0</v>
      </c>
      <c r="P6" s="176">
        <f>IF($N$5="成新度","——",M6-O6)</f>
        <v>42630</v>
      </c>
      <c r="Q6" s="2741">
        <v>0.2</v>
      </c>
      <c r="R6" s="177">
        <f>SUMIF('数据-汇总表'!C$19:C$33,A6,'数据-汇总表'!R$19:R$33)</f>
        <v>19425.030000000002</v>
      </c>
      <c r="S6" s="132">
        <f>IF('数据-汇总表'!$I$17="按面积比例",SUMIF('数据-汇总表'!C$19:C$33,A6,'数据-汇总表'!K$19:K$33),SUMIF('数据-汇总表'!C$19:C$33,A6,'数据-汇总表'!N$19:N$33))</f>
        <v>4023.39</v>
      </c>
      <c r="T6" s="2113">
        <f>IF($T$4="按面积比例",IF(ISERROR(ROUND($M$14*S6/S$16,0)),"0",ROUND($M$14*S6/S$16,0)),"需自行计算录入")</f>
        <v>2414</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0.93500000000000005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自持住宅</v>
      </c>
      <c r="B7" s="2216" t="str">
        <f t="shared" ref="B7:B13" si="1">IF(A7=0,"","经营性")</f>
        <v>经营性</v>
      </c>
      <c r="C7" s="171" t="s">
        <v>913</v>
      </c>
      <c r="D7" s="2187">
        <f>SUMIF(项目基本情况!D$15:I$15,C7,项目基本情况!D$18:I$18)</f>
        <v>70</v>
      </c>
      <c r="E7" s="2188">
        <f>IF(B7="","",SUMIF(项目基本情况!D$15:I$15,C7,项目基本情况!D$17:I$17))</f>
        <v>69768</v>
      </c>
      <c r="F7" s="172">
        <f>SUMIF(项目基本情况!D$15:I$15,C7,项目基本情况!D$19:I$19)</f>
        <v>69.77</v>
      </c>
      <c r="G7" s="173">
        <f t="shared" ref="G7:G11" si="2">IF(ISERROR(ROUND(POWER(1+H7,D7-F7)*(POWER(1+H7,F7)-1)/(POWER(1+H7,D7)-1),3)),0,ROUND(POWER(1+H7,D7-F7)*(POWER(1+H7,F7)-1)/(POWER(1+H7,D7)-1),3))</f>
        <v>0.999</v>
      </c>
      <c r="H7" s="2738">
        <v>0.04</v>
      </c>
      <c r="I7" s="2738">
        <v>4.4999999999999998E-2</v>
      </c>
      <c r="J7" s="174">
        <v>0.08</v>
      </c>
      <c r="K7" s="177">
        <f>SUMIF('数据-汇总表'!C$19:C$33,'数据-取费表'!A7,'数据-汇总表'!E$19:E$33)</f>
        <v>2960.44</v>
      </c>
      <c r="L7" s="2739">
        <f>L6</f>
        <v>6000</v>
      </c>
      <c r="M7" s="175">
        <f t="shared" si="0"/>
        <v>1776</v>
      </c>
      <c r="N7" s="2740">
        <f>N6</f>
        <v>0</v>
      </c>
      <c r="O7" s="175">
        <f t="shared" ref="O7:O14" si="3">IF($N$5="成新度","——",ROUND(M7*N7,0))</f>
        <v>0</v>
      </c>
      <c r="P7" s="176">
        <f t="shared" ref="P7:P14" si="4">IF($N$5="成新度","——",M7-O7)</f>
        <v>1776</v>
      </c>
      <c r="Q7" s="2741">
        <v>0.15</v>
      </c>
      <c r="R7" s="177">
        <f>SUMIF('数据-汇总表'!C$19:C$33,A7,'数据-汇总表'!R$19:R$33)</f>
        <v>809.38</v>
      </c>
      <c r="S7" s="132">
        <f>IF('数据-汇总表'!$I$17="按面积比例",SUMIF('数据-汇总表'!C$19:C$33,A7,'数据-汇总表'!K$19:K$33),SUMIF('数据-汇总表'!C$19:C$33,A7,'数据-汇总表'!N$19:N$33))</f>
        <v>167.64</v>
      </c>
      <c r="T7" s="2113">
        <f t="shared" ref="T7:T13" si="5">IF($T$4="按面积比例",IF(ISERROR(ROUND($M$14*S7/S$16,0)),"0",ROUND($M$14*S7/S$16,0)),"需自行计算录入")</f>
        <v>101</v>
      </c>
      <c r="U7" s="178">
        <v>3</v>
      </c>
      <c r="V7" s="179">
        <v>0.03</v>
      </c>
      <c r="W7" s="179">
        <v>0.1</v>
      </c>
      <c r="X7" s="2200"/>
      <c r="Y7" s="180">
        <v>1</v>
      </c>
      <c r="Z7" s="181"/>
      <c r="AA7" s="174"/>
      <c r="AB7" s="174"/>
      <c r="AC7" s="2203"/>
      <c r="AD7" s="182"/>
      <c r="AE7" s="960">
        <f t="shared" ref="AE7:AE13" ca="1" si="6">IF(AN7="",0,SUMIF(INDIRECT("'"&amp;AN7&amp;"'"&amp;"!E:E"),$AE$5,INDIRECT("'"&amp;AN7&amp;"'"&amp;"!F:F")))</f>
        <v>67.27</v>
      </c>
      <c r="AF7" s="139"/>
      <c r="AG7" s="1196">
        <f t="shared" ref="AG7:AG13" si="7">IF(AF7="",0,AE7-AF7)</f>
        <v>0</v>
      </c>
      <c r="AH7" s="139"/>
      <c r="AI7" s="185">
        <v>365</v>
      </c>
      <c r="AJ7" s="186"/>
      <c r="AK7" s="187">
        <v>1.4999999999999999E-2</v>
      </c>
      <c r="AL7" s="188">
        <v>1.5E-3</v>
      </c>
      <c r="AM7" s="2244">
        <v>1.4999999999999999E-2</v>
      </c>
      <c r="AN7" s="2246" t="s">
        <v>3561</v>
      </c>
      <c r="AO7" s="3092"/>
      <c r="AP7" s="1187">
        <f t="shared" ref="AP7:AP13" si="8">ROUND(1-1/(1+H7)^F7,3)</f>
        <v>0.93500000000000005</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地下仓储</v>
      </c>
      <c r="B8" s="2216" t="str">
        <f t="shared" si="1"/>
        <v>经营性</v>
      </c>
      <c r="C8" s="171" t="s">
        <v>3016</v>
      </c>
      <c r="D8" s="2187">
        <f>SUMIF(项目基本情况!D$15:I$15,C8,项目基本情况!D$18:I$18)</f>
        <v>50</v>
      </c>
      <c r="E8" s="2188">
        <f>IF(B8="","",SUMIF(项目基本情况!D$15:I$15,C8,项目基本情况!D$17:I$17))</f>
        <v>62463</v>
      </c>
      <c r="F8" s="172">
        <f>SUMIF(项目基本情况!D$15:I$15,C8,项目基本情况!D$19:I$19)</f>
        <v>49.76</v>
      </c>
      <c r="G8" s="173">
        <f t="shared" si="2"/>
        <v>0.999</v>
      </c>
      <c r="H8" s="2738">
        <v>0.05</v>
      </c>
      <c r="I8" s="2738">
        <v>0.05</v>
      </c>
      <c r="J8" s="174">
        <v>0.08</v>
      </c>
      <c r="K8" s="177">
        <f>SUMIF('数据-汇总表'!C$19:C$33,'数据-取费表'!A8,'数据-汇总表'!E$19:E$33)</f>
        <v>4432.97</v>
      </c>
      <c r="L8" s="2739">
        <f>L6</f>
        <v>6000</v>
      </c>
      <c r="M8" s="175">
        <f>ROUND(K8*L8/10000,0)</f>
        <v>2660</v>
      </c>
      <c r="N8" s="2740">
        <f>N6</f>
        <v>0</v>
      </c>
      <c r="O8" s="175">
        <f t="shared" si="3"/>
        <v>0</v>
      </c>
      <c r="P8" s="176">
        <f t="shared" si="4"/>
        <v>2660</v>
      </c>
      <c r="Q8" s="2741">
        <v>0.1</v>
      </c>
      <c r="R8" s="177">
        <f>SUMIF('数据-汇总表'!C$19:C$33,A8,'数据-汇总表'!R$19:R$33)</f>
        <v>1187.1599999999999</v>
      </c>
      <c r="S8" s="132">
        <f>IF('数据-汇总表'!$I$17="按面积比例",SUMIF('数据-汇总表'!C$19:C$33,A8,'数据-汇总表'!K$19:K$33),SUMIF('数据-汇总表'!C$19:C$33,A8,'数据-汇总表'!N$19:N$33))</f>
        <v>251.03</v>
      </c>
      <c r="T8" s="2113">
        <f t="shared" si="5"/>
        <v>151</v>
      </c>
      <c r="U8" s="3309">
        <v>2.5</v>
      </c>
      <c r="V8" s="179">
        <v>2.5000000000000001E-2</v>
      </c>
      <c r="W8" s="179">
        <v>0.1</v>
      </c>
      <c r="X8" s="2200"/>
      <c r="Y8" s="180">
        <v>1</v>
      </c>
      <c r="Z8" s="181"/>
      <c r="AA8" s="174"/>
      <c r="AB8" s="174"/>
      <c r="AC8" s="2203"/>
      <c r="AD8" s="182"/>
      <c r="AE8" s="960">
        <f t="shared" ca="1" si="6"/>
        <v>47.26</v>
      </c>
      <c r="AF8" s="139"/>
      <c r="AG8" s="1196">
        <f t="shared" si="7"/>
        <v>0</v>
      </c>
      <c r="AH8" s="139"/>
      <c r="AI8" s="185">
        <v>365</v>
      </c>
      <c r="AJ8" s="186"/>
      <c r="AK8" s="187">
        <v>0.01</v>
      </c>
      <c r="AL8" s="188">
        <v>1.5E-3</v>
      </c>
      <c r="AM8" s="2244">
        <v>0.01</v>
      </c>
      <c r="AN8" s="2246" t="s">
        <v>3555</v>
      </c>
      <c r="AO8" s="3092"/>
      <c r="AP8" s="1187">
        <f t="shared" si="8"/>
        <v>0.91200000000000003</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地下车库</v>
      </c>
      <c r="B9" s="2216" t="str">
        <f t="shared" si="1"/>
        <v>经营性</v>
      </c>
      <c r="C9" s="171" t="s">
        <v>3007</v>
      </c>
      <c r="D9" s="2187">
        <f>SUMIF(项目基本情况!D$15:I$15,C9,项目基本情况!D$18:I$18)</f>
        <v>50</v>
      </c>
      <c r="E9" s="2188">
        <f>IF(B9="","",SUMIF(项目基本情况!D$15:I$15,C9,项目基本情况!D$17:I$17))</f>
        <v>62463</v>
      </c>
      <c r="F9" s="172">
        <f>SUMIF(项目基本情况!D$15:I$15,C9,项目基本情况!D$19:I$19)</f>
        <v>49.76</v>
      </c>
      <c r="G9" s="173">
        <f t="shared" si="2"/>
        <v>0.999</v>
      </c>
      <c r="H9" s="2738">
        <v>0.05</v>
      </c>
      <c r="I9" s="2738">
        <v>0.05</v>
      </c>
      <c r="J9" s="174">
        <v>0.08</v>
      </c>
      <c r="K9" s="177">
        <f>SUMIF('数据-汇总表'!C$19:C$33,'数据-取费表'!A9,'数据-汇总表'!E$19:E$33)</f>
        <v>19183.87</v>
      </c>
      <c r="L9" s="191">
        <f>L6</f>
        <v>6000</v>
      </c>
      <c r="M9" s="175">
        <f t="shared" si="0"/>
        <v>11510</v>
      </c>
      <c r="N9" s="192">
        <f>N6</f>
        <v>0</v>
      </c>
      <c r="O9" s="175">
        <f t="shared" si="3"/>
        <v>0</v>
      </c>
      <c r="P9" s="176">
        <f t="shared" si="4"/>
        <v>11510</v>
      </c>
      <c r="Q9" s="190">
        <v>0.1</v>
      </c>
      <c r="R9" s="177">
        <f>SUMIF('数据-汇总表'!C$19:C$33,A9,'数据-汇总表'!R$19:R$33)</f>
        <v>5137.49</v>
      </c>
      <c r="S9" s="132">
        <f>IF('数据-汇总表'!$I$17="按面积比例",SUMIF('数据-汇总表'!C$19:C$33,A9,'数据-汇总表'!K$19:K$33),SUMIF('数据-汇总表'!C$19:C$33,A9,'数据-汇总表'!N$19:N$33))</f>
        <v>1086.33</v>
      </c>
      <c r="T9" s="2113">
        <f t="shared" si="5"/>
        <v>652</v>
      </c>
      <c r="U9" s="178"/>
      <c r="V9" s="179"/>
      <c r="W9" s="179"/>
      <c r="X9" s="2200"/>
      <c r="Y9" s="180"/>
      <c r="Z9" s="181"/>
      <c r="AA9" s="174"/>
      <c r="AB9" s="174"/>
      <c r="AC9" s="2203"/>
      <c r="AD9" s="182"/>
      <c r="AE9" s="960">
        <f t="shared" ca="1" si="6"/>
        <v>0</v>
      </c>
      <c r="AF9" s="139"/>
      <c r="AG9" s="1196">
        <f t="shared" si="7"/>
        <v>0</v>
      </c>
      <c r="AH9" s="139">
        <v>672</v>
      </c>
      <c r="AI9" s="185"/>
      <c r="AJ9" s="186"/>
      <c r="AK9" s="187"/>
      <c r="AL9" s="188"/>
      <c r="AM9" s="2244"/>
      <c r="AN9" s="2246"/>
      <c r="AO9" s="3092"/>
      <c r="AP9" s="1187">
        <f t="shared" si="8"/>
        <v>0.91200000000000003</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5528.3799999999992</v>
      </c>
      <c r="L14" s="191">
        <f>L6</f>
        <v>6000</v>
      </c>
      <c r="M14" s="175">
        <f t="shared" si="0"/>
        <v>3317</v>
      </c>
      <c r="N14" s="192">
        <f>N6</f>
        <v>0</v>
      </c>
      <c r="O14" s="175">
        <f t="shared" si="3"/>
        <v>0</v>
      </c>
      <c r="P14" s="176">
        <f t="shared" si="4"/>
        <v>3317</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1633.75</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0.999</v>
      </c>
      <c r="H16" s="201">
        <f>ROUND(SUMPRODUCT(H6:H13,K6:K13)/SUMPRODUCT((H6:H13&gt;0)*(K6:K13)),3)</f>
        <v>4.2000000000000003E-2</v>
      </c>
      <c r="I16" s="202"/>
      <c r="J16" s="202"/>
      <c r="K16" s="203">
        <f>SUM(K6:K15)</f>
        <v>104789.91</v>
      </c>
      <c r="L16" s="204">
        <f>ROUND(M16*10000/SUM(K6:K14),0)</f>
        <v>6000</v>
      </c>
      <c r="M16" s="204">
        <f>SUM(M6:M14)</f>
        <v>61893</v>
      </c>
      <c r="N16" s="205">
        <f>ROUND(SUMPRODUCT(M6:M14,N6:N14)/M16,3)</f>
        <v>0</v>
      </c>
      <c r="O16" s="204">
        <f>SUM(O6:O14)</f>
        <v>0</v>
      </c>
      <c r="P16" s="204">
        <f>SUM(P6:P14)</f>
        <v>61893</v>
      </c>
      <c r="Q16" s="206">
        <f>ROUND(SUMPRODUCT(Q6:Q13,K6:K13)/SUMPRODUCT((Q6:Q13&gt;0)*(K6:K13)),2)</f>
        <v>0.17</v>
      </c>
      <c r="R16" s="2190">
        <f>SUM(R6:R13)</f>
        <v>26559.060000000005</v>
      </c>
      <c r="S16" s="207">
        <f>SUM(S6:S13)</f>
        <v>5528.3899999999994</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0.92900000000000005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262</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263</v>
      </c>
      <c r="B19" s="216">
        <v>0</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264</v>
      </c>
      <c r="B20" s="218">
        <v>2.5</v>
      </c>
      <c r="C20" s="3104" t="s">
        <v>2322</v>
      </c>
      <c r="D20" s="3093"/>
      <c r="E20" s="3092"/>
      <c r="F20" s="3092"/>
      <c r="G20" s="3092"/>
      <c r="H20" s="3092"/>
      <c r="I20" s="3092"/>
      <c r="J20" s="3092"/>
      <c r="K20" s="3091"/>
      <c r="L20" s="3308" t="s">
        <v>3577</v>
      </c>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265</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266</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267</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268</v>
      </c>
      <c r="B24" s="222">
        <f>B20-B21</f>
        <v>2.5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269</v>
      </c>
      <c r="B26" s="223" t="s">
        <v>270</v>
      </c>
      <c r="C26" s="3094" t="s">
        <v>271</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160</v>
      </c>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130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8">
        <v>70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29">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0.02</v>
      </c>
      <c r="C34" s="3107" t="s">
        <v>2974</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275</v>
      </c>
      <c r="B35" s="227">
        <f>B30</f>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276</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279</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280</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86" t="s">
        <v>3578</v>
      </c>
      <c r="B40" s="2333">
        <f ca="1">IF(A40="利息：取LPR",存贷款利率!E2,存贷款利率!E2+C40)</f>
        <v>4.3499999999999997E-2</v>
      </c>
      <c r="C40" s="3287">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281</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282</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283</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284</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285</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286</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287</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288</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289</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290</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291</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292</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293</v>
      </c>
      <c r="B53" s="249" t="s">
        <v>1397</v>
      </c>
      <c r="C53" s="3100" t="s">
        <v>2869</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v>12</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9" t="s">
        <v>1653</v>
      </c>
      <c r="B1" s="3400"/>
      <c r="C1" s="3400"/>
      <c r="D1" s="3400"/>
      <c r="E1" s="3400"/>
      <c r="F1" s="3400"/>
      <c r="G1" s="3400"/>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2886</v>
      </c>
      <c r="D3" s="3127"/>
      <c r="E3" s="3128" t="s">
        <v>1656</v>
      </c>
      <c r="F3" s="3129" t="s">
        <v>1644</v>
      </c>
      <c r="G3" s="3130" t="s">
        <v>2885</v>
      </c>
      <c r="H3" s="3123"/>
      <c r="I3" s="3123"/>
      <c r="J3" s="3123"/>
      <c r="K3" s="3123"/>
      <c r="L3" s="3123"/>
      <c r="M3" s="3123"/>
      <c r="N3" s="3123"/>
      <c r="O3" s="3123"/>
      <c r="P3" s="3123"/>
      <c r="Q3" s="3123"/>
      <c r="R3" s="3123"/>
    </row>
    <row r="4" spans="1:18" ht="40.5">
      <c r="A4" s="3128"/>
      <c r="B4" s="3131" t="s">
        <v>1657</v>
      </c>
      <c r="C4" s="3132" t="s">
        <v>2887</v>
      </c>
      <c r="D4" s="3127"/>
      <c r="E4" s="3133"/>
      <c r="F4" s="3134" t="s">
        <v>1658</v>
      </c>
      <c r="G4" s="3135" t="s">
        <v>2882</v>
      </c>
      <c r="H4" s="3123"/>
      <c r="I4" s="3123"/>
      <c r="J4" s="3123"/>
      <c r="K4" s="3123"/>
      <c r="L4" s="3123"/>
      <c r="M4" s="3123"/>
      <c r="N4" s="3123"/>
      <c r="O4" s="3123"/>
      <c r="P4" s="3123"/>
      <c r="Q4" s="3123"/>
      <c r="R4" s="3123"/>
    </row>
    <row r="5" spans="1:18" ht="41.25">
      <c r="A5" s="3128"/>
      <c r="B5" s="3131" t="s">
        <v>1659</v>
      </c>
      <c r="C5" s="3132" t="s">
        <v>2888</v>
      </c>
      <c r="D5" s="3127"/>
      <c r="E5" s="3133"/>
      <c r="F5" s="3131" t="s">
        <v>2526</v>
      </c>
      <c r="G5" s="3135" t="s">
        <v>2883</v>
      </c>
      <c r="H5" s="3123"/>
      <c r="I5" s="3123"/>
      <c r="J5" s="3123"/>
      <c r="K5" s="3123"/>
      <c r="L5" s="3123"/>
      <c r="M5" s="3123"/>
      <c r="N5" s="3123"/>
      <c r="O5" s="3123"/>
      <c r="P5" s="3123"/>
      <c r="Q5" s="3123"/>
      <c r="R5" s="3123"/>
    </row>
    <row r="6" spans="1:18" ht="40.5">
      <c r="A6" s="3128"/>
      <c r="B6" s="3131" t="s">
        <v>1645</v>
      </c>
      <c r="C6" s="3135" t="s">
        <v>2882</v>
      </c>
      <c r="D6" s="3127"/>
      <c r="E6" s="3133"/>
      <c r="F6" s="3131" t="s">
        <v>2527</v>
      </c>
      <c r="G6" s="3135" t="s">
        <v>2880</v>
      </c>
      <c r="H6" s="3123"/>
      <c r="I6" s="3123"/>
      <c r="J6" s="3123"/>
      <c r="K6" s="3123"/>
      <c r="L6" s="3123"/>
      <c r="M6" s="3123"/>
      <c r="N6" s="3123"/>
      <c r="O6" s="3123"/>
      <c r="P6" s="3123"/>
      <c r="Q6" s="3123"/>
      <c r="R6" s="3123"/>
    </row>
    <row r="7" spans="1:18" ht="27.75" thickBot="1">
      <c r="A7" s="3128"/>
      <c r="B7" s="3131" t="s">
        <v>2526</v>
      </c>
      <c r="C7" s="3135" t="s">
        <v>2883</v>
      </c>
      <c r="D7" s="3136"/>
      <c r="E7" s="3137"/>
      <c r="F7" s="3138" t="s">
        <v>1660</v>
      </c>
      <c r="G7" s="3139" t="s">
        <v>2884</v>
      </c>
      <c r="H7" s="3123"/>
      <c r="I7" s="3123"/>
      <c r="J7" s="3123"/>
      <c r="K7" s="3123"/>
      <c r="L7" s="3123"/>
      <c r="M7" s="3123"/>
      <c r="N7" s="3123"/>
      <c r="O7" s="3123"/>
      <c r="P7" s="3123"/>
      <c r="Q7" s="3123"/>
      <c r="R7" s="3123"/>
    </row>
    <row r="8" spans="1:18">
      <c r="A8" s="3128"/>
      <c r="B8" s="3131" t="s">
        <v>2527</v>
      </c>
      <c r="C8" s="3135" t="s">
        <v>2880</v>
      </c>
      <c r="D8" s="3136"/>
      <c r="E8" s="3136"/>
      <c r="F8" s="3140"/>
      <c r="G8" s="3140"/>
      <c r="H8" s="3123"/>
      <c r="I8" s="3123"/>
      <c r="J8" s="3123"/>
      <c r="K8" s="3123"/>
      <c r="L8" s="3123"/>
      <c r="M8" s="3123"/>
      <c r="N8" s="3123"/>
      <c r="O8" s="3123"/>
      <c r="P8" s="3123"/>
      <c r="Q8" s="3123"/>
      <c r="R8" s="3123"/>
    </row>
    <row r="9" spans="1:18" ht="27">
      <c r="A9" s="3128"/>
      <c r="B9" s="3131" t="s">
        <v>1646</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2821</v>
      </c>
      <c r="B1" s="3185">
        <f>SUM(B14:B23)</f>
        <v>104789.91</v>
      </c>
      <c r="C1" s="3194"/>
      <c r="D1" s="3194"/>
      <c r="E1" s="3194"/>
      <c r="F1" s="3194"/>
      <c r="G1" s="3195"/>
      <c r="H1" s="3195"/>
      <c r="I1" s="3195"/>
      <c r="J1" s="3195"/>
    </row>
    <row r="2" spans="1:10" ht="16.5">
      <c r="A2" s="3185" t="s">
        <v>2822</v>
      </c>
      <c r="B2" s="3185">
        <f>SUM(C14:C23)</f>
        <v>26559.06</v>
      </c>
      <c r="C2" s="3194"/>
      <c r="D2" s="3194"/>
      <c r="E2" s="3194"/>
      <c r="F2" s="3194"/>
      <c r="G2" s="3195"/>
      <c r="H2" s="3195"/>
      <c r="I2" s="3195"/>
      <c r="J2" s="3195"/>
    </row>
    <row r="3" spans="1:10" ht="16.5">
      <c r="A3" s="3185" t="s">
        <v>2823</v>
      </c>
      <c r="B3" s="3187">
        <f>项目基本情况!D3</f>
        <v>44300</v>
      </c>
      <c r="C3" s="3194"/>
      <c r="D3" s="3194"/>
      <c r="E3" s="3194"/>
      <c r="F3" s="3194"/>
      <c r="G3" s="3195"/>
      <c r="H3" s="3195"/>
      <c r="I3" s="3195"/>
      <c r="J3" s="3195"/>
    </row>
    <row r="4" spans="1:10" ht="33">
      <c r="A4" s="3185" t="s">
        <v>2824</v>
      </c>
      <c r="B4" s="3185" t="s">
        <v>2825</v>
      </c>
      <c r="C4" s="3185" t="s">
        <v>2826</v>
      </c>
      <c r="D4" s="3185" t="s">
        <v>2827</v>
      </c>
      <c r="E4" s="3194"/>
      <c r="F4" s="3194"/>
      <c r="G4" s="3195"/>
      <c r="H4" s="3195"/>
      <c r="I4" s="3195"/>
      <c r="J4" s="3195"/>
    </row>
    <row r="5" spans="1:10" ht="16.5">
      <c r="A5" s="3185" t="s">
        <v>2828</v>
      </c>
      <c r="B5" s="3185">
        <f ca="1">SUM(D14:D23)</f>
        <v>318275</v>
      </c>
      <c r="C5" s="3185">
        <f ca="1">ROUND(B5*10000/$B$1,0)</f>
        <v>30373</v>
      </c>
      <c r="D5" s="3185">
        <f ca="1">ROUND(B5*10000/$B$2,0)</f>
        <v>119837</v>
      </c>
      <c r="E5" s="3194"/>
      <c r="F5" s="3194"/>
      <c r="G5" s="3195"/>
      <c r="H5" s="3195"/>
      <c r="I5" s="3195"/>
      <c r="J5" s="3195"/>
    </row>
    <row r="6" spans="1:10" ht="16.5">
      <c r="A6" s="3185" t="s">
        <v>2829</v>
      </c>
      <c r="B6" s="3185">
        <f ca="1">SUM(G14:G23)</f>
        <v>312282</v>
      </c>
      <c r="C6" s="3185">
        <f t="shared" ref="C6:C8" ca="1" si="0">ROUND(B6*10000/$B$1,0)</f>
        <v>29801</v>
      </c>
      <c r="D6" s="3185">
        <f t="shared" ref="D6:D8" ca="1" si="1">ROUND(B6*10000/$B$2,0)</f>
        <v>117580</v>
      </c>
      <c r="E6" s="3194"/>
      <c r="F6" s="3194"/>
      <c r="G6" s="3195"/>
      <c r="H6" s="3195"/>
      <c r="I6" s="3195"/>
      <c r="J6" s="3195"/>
    </row>
    <row r="7" spans="1:10" ht="16.5">
      <c r="A7" s="3185" t="s">
        <v>2830</v>
      </c>
      <c r="B7" s="3185">
        <f>SUM(H14:H23)</f>
        <v>0</v>
      </c>
      <c r="C7" s="3185">
        <f t="shared" si="0"/>
        <v>0</v>
      </c>
      <c r="D7" s="3185">
        <f t="shared" si="1"/>
        <v>0</v>
      </c>
      <c r="E7" s="3194"/>
      <c r="F7" s="3194"/>
      <c r="G7" s="3195"/>
      <c r="H7" s="3195"/>
      <c r="I7" s="3195"/>
      <c r="J7" s="3195"/>
    </row>
    <row r="8" spans="1:10" ht="16.5">
      <c r="A8" s="3185" t="s">
        <v>2831</v>
      </c>
      <c r="B8" s="3185">
        <f ca="1">SUM(I14:I23)</f>
        <v>131980</v>
      </c>
      <c r="C8" s="3185">
        <f t="shared" ca="1" si="0"/>
        <v>12595</v>
      </c>
      <c r="D8" s="3185">
        <f t="shared" ca="1" si="1"/>
        <v>49693</v>
      </c>
      <c r="E8" s="3194"/>
      <c r="F8" s="3194"/>
      <c r="G8" s="3195"/>
      <c r="H8" s="3195"/>
      <c r="I8" s="3195"/>
      <c r="J8" s="3195"/>
    </row>
    <row r="9" spans="1:10" ht="16.5">
      <c r="A9" s="3185" t="s">
        <v>2832</v>
      </c>
      <c r="B9" s="3193"/>
      <c r="C9" s="3194"/>
      <c r="D9" s="3194"/>
      <c r="E9" s="3194"/>
      <c r="F9" s="3194"/>
      <c r="G9" s="3195"/>
      <c r="H9" s="3195"/>
      <c r="I9" s="3195"/>
      <c r="J9" s="3195"/>
    </row>
    <row r="10" spans="1:10" ht="16.5">
      <c r="A10" s="3185" t="s">
        <v>2833</v>
      </c>
      <c r="B10" s="3193"/>
      <c r="C10" s="3194"/>
      <c r="D10" s="3194"/>
      <c r="E10" s="3194"/>
      <c r="F10" s="3194"/>
      <c r="G10" s="3195"/>
      <c r="H10" s="3195"/>
      <c r="I10" s="3195"/>
      <c r="J10" s="3195"/>
    </row>
    <row r="11" spans="1:10" ht="16.5">
      <c r="A11" s="3185" t="s">
        <v>2850</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2849</v>
      </c>
      <c r="B13" s="3189" t="s">
        <v>2821</v>
      </c>
      <c r="C13" s="3189" t="s">
        <v>2822</v>
      </c>
      <c r="D13" s="3189" t="s">
        <v>2834</v>
      </c>
      <c r="E13" s="3185" t="s">
        <v>2848</v>
      </c>
      <c r="F13" s="3185" t="s">
        <v>2827</v>
      </c>
      <c r="G13" s="3189" t="s">
        <v>2835</v>
      </c>
      <c r="H13" s="3189" t="s">
        <v>2836</v>
      </c>
      <c r="I13" s="3189" t="s">
        <v>2837</v>
      </c>
      <c r="J13" s="3195"/>
    </row>
    <row r="14" spans="1:10" ht="16.5">
      <c r="A14" s="3190" t="s">
        <v>2847</v>
      </c>
      <c r="B14" s="3191">
        <f>结果表!L38</f>
        <v>104789.91</v>
      </c>
      <c r="C14" s="3191">
        <f>结果表!K38</f>
        <v>26559.06</v>
      </c>
      <c r="D14" s="3191">
        <f ca="1">结果表!C42</f>
        <v>318275</v>
      </c>
      <c r="E14" s="3191">
        <f ca="1">ROUND(D14*10000/B14,0)</f>
        <v>30373</v>
      </c>
      <c r="F14" s="3191">
        <f ca="1">ROUND(D14*10000/C14,0)</f>
        <v>119837</v>
      </c>
      <c r="G14" s="3191">
        <f ca="1">结果表!C44</f>
        <v>312282</v>
      </c>
      <c r="H14" s="3191" t="str">
        <f>结果表!C45</f>
        <v>——</v>
      </c>
      <c r="I14" s="3191">
        <f ca="1">结果表!C46</f>
        <v>131980</v>
      </c>
      <c r="J14" s="3195"/>
    </row>
    <row r="15" spans="1:10" ht="16.5">
      <c r="A15" s="3190" t="s">
        <v>2838</v>
      </c>
      <c r="B15" s="3192"/>
      <c r="C15" s="3192"/>
      <c r="D15" s="3192"/>
      <c r="E15" s="3191" t="e">
        <f t="shared" ref="E15:E23" si="2">ROUND(D15*10000/B15,0)</f>
        <v>#DIV/0!</v>
      </c>
      <c r="F15" s="3191" t="e">
        <f t="shared" ref="F15:F23" si="3">ROUND(D15*10000/C15,0)</f>
        <v>#DIV/0!</v>
      </c>
      <c r="G15" s="2757"/>
      <c r="H15" s="2757"/>
      <c r="I15" s="3192"/>
      <c r="J15" s="3195"/>
    </row>
    <row r="16" spans="1:10" ht="16.5">
      <c r="A16" s="3190" t="s">
        <v>2839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6" zoomScaleNormal="100" zoomScaleSheetLayoutView="100" zoomScalePageLayoutView="80" workbookViewId="0">
      <selection activeCell="N42" sqref="N42:O42"/>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45" t="str">
        <f>项目基本情况!K2</f>
        <v>北京市朝阳区东坝北东南一期土地储备项目1104-611地块出让国有建设用地使用权</v>
      </c>
      <c r="B2" s="3446"/>
      <c r="C2" s="3447"/>
      <c r="D2" s="3447"/>
      <c r="E2" s="3447"/>
      <c r="F2" s="3447"/>
      <c r="G2" s="3446"/>
      <c r="H2" s="3446"/>
      <c r="I2" s="3448"/>
      <c r="J2" s="1912"/>
      <c r="K2" s="1911"/>
      <c r="L2" s="1911"/>
      <c r="M2" s="1911"/>
      <c r="N2" s="1911"/>
      <c r="O2" s="1911"/>
      <c r="P2" s="1911"/>
      <c r="Q2" s="1911"/>
      <c r="R2" s="1911"/>
      <c r="S2" s="1911"/>
      <c r="T2" s="1911"/>
      <c r="U2" s="1911"/>
      <c r="V2" s="1911"/>
    </row>
    <row r="3" spans="1:22" ht="14.25">
      <c r="A3" s="3438" t="s">
        <v>297</v>
      </c>
      <c r="B3" s="3439"/>
      <c r="C3" s="3439"/>
      <c r="D3" s="3439"/>
      <c r="E3" s="3439"/>
      <c r="F3" s="3439"/>
      <c r="G3" s="3439"/>
      <c r="H3" s="3439"/>
      <c r="I3" s="3439"/>
      <c r="J3" s="1912"/>
      <c r="K3" s="1911"/>
      <c r="L3" s="1911"/>
      <c r="M3" s="1911"/>
      <c r="N3" s="1911"/>
      <c r="O3" s="1911"/>
      <c r="P3" s="1911"/>
      <c r="Q3" s="1911"/>
      <c r="R3" s="1911"/>
      <c r="S3" s="1911"/>
      <c r="T3" s="1911"/>
      <c r="U3" s="1911"/>
      <c r="V3" s="1911"/>
    </row>
    <row r="4" spans="1:22" ht="14.25">
      <c r="A4" s="256" t="s">
        <v>298</v>
      </c>
      <c r="B4" s="257" t="s">
        <v>299</v>
      </c>
      <c r="C4" s="258" t="s">
        <v>3576</v>
      </c>
      <c r="D4" s="258" t="s">
        <v>3575</v>
      </c>
      <c r="E4" s="3404" t="s">
        <v>300</v>
      </c>
      <c r="F4" s="3405"/>
      <c r="G4" s="3405"/>
      <c r="H4" s="3405"/>
      <c r="I4" s="3440"/>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03" t="s">
        <v>301</v>
      </c>
      <c r="B5" s="3432">
        <v>25</v>
      </c>
      <c r="C5" s="3430"/>
      <c r="D5" s="3434"/>
      <c r="E5" s="259" t="s">
        <v>302</v>
      </c>
      <c r="F5" s="260"/>
      <c r="G5" s="260"/>
      <c r="H5" s="260"/>
      <c r="I5" s="261"/>
      <c r="J5" s="1912"/>
      <c r="K5" s="1911"/>
      <c r="L5" s="1911"/>
      <c r="M5" s="1911"/>
      <c r="N5" s="1911"/>
      <c r="O5" s="1911"/>
      <c r="P5" s="1911"/>
      <c r="Q5" s="1911"/>
      <c r="R5" s="1911"/>
      <c r="S5" s="1911"/>
      <c r="T5" s="1911"/>
      <c r="U5" s="1911"/>
      <c r="V5" s="1911"/>
    </row>
    <row r="6" spans="1:22" ht="14.25">
      <c r="A6" s="3403"/>
      <c r="B6" s="3432"/>
      <c r="C6" s="3433"/>
      <c r="D6" s="3434"/>
      <c r="E6" s="259" t="s">
        <v>303</v>
      </c>
      <c r="F6" s="260"/>
      <c r="G6" s="260"/>
      <c r="H6" s="260"/>
      <c r="I6" s="261"/>
      <c r="J6" s="1912"/>
      <c r="K6" s="1911"/>
      <c r="L6" s="1911"/>
      <c r="M6" s="1911"/>
      <c r="N6" s="1911"/>
      <c r="O6" s="1911"/>
      <c r="P6" s="1911"/>
      <c r="Q6" s="1911"/>
      <c r="R6" s="1911"/>
      <c r="S6" s="1911"/>
      <c r="T6" s="1911"/>
      <c r="U6" s="1911"/>
      <c r="V6" s="1911"/>
    </row>
    <row r="7" spans="1:22" ht="14.25">
      <c r="A7" s="3403"/>
      <c r="B7" s="3432"/>
      <c r="C7" s="3431"/>
      <c r="D7" s="3434"/>
      <c r="E7" s="259" t="s">
        <v>304</v>
      </c>
      <c r="F7" s="260"/>
      <c r="G7" s="260"/>
      <c r="H7" s="260"/>
      <c r="I7" s="261"/>
      <c r="J7" s="1912"/>
      <c r="K7" s="1911"/>
      <c r="L7" s="1911"/>
      <c r="M7" s="1911"/>
      <c r="N7" s="1911"/>
      <c r="O7" s="1911"/>
      <c r="P7" s="1911"/>
      <c r="Q7" s="1911"/>
      <c r="R7" s="1911"/>
      <c r="S7" s="1911"/>
      <c r="T7" s="1911"/>
      <c r="U7" s="1911"/>
      <c r="V7" s="1911"/>
    </row>
    <row r="8" spans="1:22" ht="14.25">
      <c r="A8" s="3403" t="s">
        <v>305</v>
      </c>
      <c r="B8" s="3432">
        <v>15</v>
      </c>
      <c r="C8" s="3430"/>
      <c r="D8" s="3434"/>
      <c r="E8" s="259" t="s">
        <v>306</v>
      </c>
      <c r="F8" s="260"/>
      <c r="G8" s="260"/>
      <c r="H8" s="260"/>
      <c r="I8" s="261"/>
      <c r="J8" s="1912"/>
      <c r="K8" s="1911"/>
      <c r="L8" s="1911"/>
      <c r="M8" s="1911"/>
      <c r="N8" s="1911"/>
      <c r="O8" s="1911"/>
      <c r="P8" s="1911"/>
      <c r="Q8" s="1911"/>
      <c r="R8" s="1911"/>
      <c r="S8" s="1911"/>
      <c r="T8" s="1911"/>
      <c r="U8" s="1911"/>
      <c r="V8" s="1911"/>
    </row>
    <row r="9" spans="1:22" ht="14.25">
      <c r="A9" s="3403"/>
      <c r="B9" s="3432"/>
      <c r="C9" s="3431"/>
      <c r="D9" s="3434"/>
      <c r="E9" s="259" t="s">
        <v>307</v>
      </c>
      <c r="F9" s="260"/>
      <c r="G9" s="260"/>
      <c r="H9" s="260"/>
      <c r="I9" s="261"/>
      <c r="J9" s="1912"/>
      <c r="K9" s="1911"/>
      <c r="L9" s="1911"/>
      <c r="M9" s="1911"/>
      <c r="N9" s="1911"/>
      <c r="O9" s="1911"/>
      <c r="P9" s="1911"/>
      <c r="Q9" s="1911"/>
      <c r="R9" s="1911"/>
      <c r="S9" s="1911"/>
      <c r="T9" s="1911"/>
      <c r="U9" s="1911"/>
      <c r="V9" s="1911"/>
    </row>
    <row r="10" spans="1:22" ht="14.25">
      <c r="A10" s="3403" t="s">
        <v>308</v>
      </c>
      <c r="B10" s="3432">
        <v>15</v>
      </c>
      <c r="C10" s="3430"/>
      <c r="D10" s="3434"/>
      <c r="E10" s="259" t="s">
        <v>309</v>
      </c>
      <c r="F10" s="260"/>
      <c r="G10" s="260"/>
      <c r="H10" s="260"/>
      <c r="I10" s="261"/>
      <c r="J10" s="1912"/>
      <c r="K10" s="1911"/>
      <c r="L10" s="1911"/>
      <c r="M10" s="1911"/>
      <c r="N10" s="1911"/>
      <c r="O10" s="1911"/>
      <c r="P10" s="1911"/>
      <c r="Q10" s="1911"/>
      <c r="R10" s="1911"/>
      <c r="S10" s="1911"/>
      <c r="T10" s="1911"/>
      <c r="U10" s="1911"/>
      <c r="V10" s="1911"/>
    </row>
    <row r="11" spans="1:22" ht="14.25">
      <c r="A11" s="3403"/>
      <c r="B11" s="3432"/>
      <c r="C11" s="3431"/>
      <c r="D11" s="3434"/>
      <c r="E11" s="259" t="s">
        <v>310</v>
      </c>
      <c r="F11" s="260"/>
      <c r="G11" s="260"/>
      <c r="H11" s="260"/>
      <c r="I11" s="261"/>
      <c r="J11" s="1912"/>
      <c r="K11" s="1911"/>
      <c r="L11" s="1911"/>
      <c r="M11" s="1911"/>
      <c r="N11" s="1911"/>
      <c r="O11" s="1911"/>
      <c r="P11" s="1911"/>
      <c r="Q11" s="1911"/>
      <c r="R11" s="1911"/>
      <c r="S11" s="1911"/>
      <c r="T11" s="1911"/>
      <c r="U11" s="1911"/>
      <c r="V11" s="1911"/>
    </row>
    <row r="12" spans="1:22" ht="14.25">
      <c r="A12" s="3403" t="s">
        <v>311</v>
      </c>
      <c r="B12" s="3432">
        <v>15</v>
      </c>
      <c r="C12" s="3430"/>
      <c r="D12" s="3434"/>
      <c r="E12" s="259" t="s">
        <v>312</v>
      </c>
      <c r="F12" s="260"/>
      <c r="G12" s="260"/>
      <c r="H12" s="260"/>
      <c r="I12" s="261"/>
      <c r="J12" s="1912"/>
      <c r="K12" s="1911"/>
      <c r="L12" s="1911"/>
      <c r="M12" s="1911"/>
      <c r="N12" s="1911"/>
      <c r="O12" s="1911"/>
      <c r="P12" s="1911"/>
      <c r="Q12" s="1911"/>
      <c r="R12" s="1911"/>
      <c r="S12" s="1911"/>
      <c r="T12" s="1911"/>
      <c r="U12" s="1911"/>
      <c r="V12" s="1911"/>
    </row>
    <row r="13" spans="1:22" ht="14.25">
      <c r="A13" s="3403"/>
      <c r="B13" s="3432"/>
      <c r="C13" s="3431"/>
      <c r="D13" s="3434"/>
      <c r="E13" s="259" t="s">
        <v>313</v>
      </c>
      <c r="F13" s="260"/>
      <c r="G13" s="260"/>
      <c r="H13" s="260"/>
      <c r="I13" s="261"/>
      <c r="J13" s="1912"/>
      <c r="K13" s="1911"/>
      <c r="L13" s="1911"/>
      <c r="M13" s="1911"/>
      <c r="N13" s="1911"/>
      <c r="O13" s="1911"/>
      <c r="P13" s="1911"/>
      <c r="Q13" s="1911"/>
      <c r="R13" s="1911"/>
      <c r="S13" s="1911"/>
      <c r="T13" s="1911"/>
      <c r="U13" s="1911"/>
      <c r="V13" s="1911"/>
    </row>
    <row r="14" spans="1:22" ht="14.25">
      <c r="A14" s="3403" t="s">
        <v>314</v>
      </c>
      <c r="B14" s="3432">
        <v>30</v>
      </c>
      <c r="C14" s="3430">
        <v>5</v>
      </c>
      <c r="D14" s="3434">
        <v>5</v>
      </c>
      <c r="E14" s="259" t="s">
        <v>315</v>
      </c>
      <c r="F14" s="260"/>
      <c r="G14" s="260"/>
      <c r="H14" s="260"/>
      <c r="I14" s="261"/>
      <c r="J14" s="1912"/>
      <c r="K14" s="1911"/>
      <c r="L14" s="1911"/>
      <c r="M14" s="1911"/>
      <c r="N14" s="1911"/>
      <c r="O14" s="1911"/>
      <c r="P14" s="1911"/>
      <c r="Q14" s="1911"/>
      <c r="R14" s="1911"/>
      <c r="S14" s="1911"/>
      <c r="T14" s="1911"/>
      <c r="U14" s="1911"/>
      <c r="V14" s="1911"/>
    </row>
    <row r="15" spans="1:22" ht="14.25">
      <c r="A15" s="3403"/>
      <c r="B15" s="3432"/>
      <c r="C15" s="3433"/>
      <c r="D15" s="3434"/>
      <c r="E15" s="259" t="s">
        <v>316</v>
      </c>
      <c r="F15" s="260"/>
      <c r="G15" s="260"/>
      <c r="H15" s="260"/>
      <c r="I15" s="261"/>
      <c r="J15" s="1912"/>
      <c r="K15" s="1911"/>
      <c r="L15" s="1911"/>
      <c r="M15" s="1911"/>
      <c r="N15" s="1911"/>
      <c r="O15" s="1911"/>
      <c r="P15" s="1911"/>
      <c r="Q15" s="1911"/>
      <c r="R15" s="1911"/>
      <c r="S15" s="1911"/>
      <c r="T15" s="1911"/>
      <c r="U15" s="1911"/>
      <c r="V15" s="1911"/>
    </row>
    <row r="16" spans="1:22" ht="14.25">
      <c r="A16" s="3403"/>
      <c r="B16" s="3432"/>
      <c r="C16" s="3431"/>
      <c r="D16" s="3434"/>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0.5</v>
      </c>
      <c r="D18" s="265">
        <f>1-C18</f>
        <v>0.5</v>
      </c>
      <c r="E18" s="3435" t="s">
        <v>2961</v>
      </c>
      <c r="F18" s="3436"/>
      <c r="G18" s="3436"/>
      <c r="H18" s="3436"/>
      <c r="I18" s="3436"/>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323346</v>
      </c>
      <c r="D19" s="269">
        <f ca="1">SUMIF(INDIRECT("'"&amp;D4&amp;"'"&amp;"!A:A"),结果表!B19,INDIRECT("'"&amp;D4&amp;"'"&amp;"!B:B"))</f>
        <v>313203</v>
      </c>
      <c r="E19" s="266" t="s">
        <v>322</v>
      </c>
      <c r="F19" s="267" t="s">
        <v>321</v>
      </c>
      <c r="G19" s="270">
        <f ca="1">ROUND(C19*$C$18+D19*$D$18,0)</f>
        <v>318275</v>
      </c>
      <c r="H19" s="271" t="s">
        <v>323</v>
      </c>
      <c r="I19" s="309"/>
      <c r="J19" s="1911"/>
      <c r="K19" s="1911"/>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30857</v>
      </c>
      <c r="D20" s="275">
        <f ca="1">SUMIF(INDIRECT("'"&amp;D4&amp;"'"&amp;"!A:A"),结果表!B20,INDIRECT("'"&amp;D4&amp;"'"&amp;"!B:B"))</f>
        <v>29889</v>
      </c>
      <c r="E20" s="272"/>
      <c r="F20" s="273" t="s">
        <v>324</v>
      </c>
      <c r="G20" s="276">
        <f ca="1">ROUND(C20*$C$18+D20*$D$18,0)</f>
        <v>30373</v>
      </c>
      <c r="H20" s="277" t="s">
        <v>325</v>
      </c>
      <c r="I20" s="309"/>
      <c r="J20" s="1911"/>
      <c r="K20" s="1911"/>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121746</v>
      </c>
      <c r="D21" s="149">
        <f ca="1">SUMIF(INDIRECT("'"&amp;D4&amp;"'"&amp;"!A:A"),结果表!B21,INDIRECT("'"&amp;D4&amp;"'"&amp;"!B:B"))</f>
        <v>117927</v>
      </c>
      <c r="E21" s="272"/>
      <c r="F21" s="278" t="s">
        <v>326</v>
      </c>
      <c r="G21" s="280">
        <f ca="1">ROUND(C21*$C$18+D21*$D$18,0)</f>
        <v>119837</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3.2384747272535597E-2</v>
      </c>
      <c r="E22" s="282"/>
      <c r="F22" s="283"/>
      <c r="G22" s="284">
        <f ca="1">ROUND(G19/('数据-汇总表'!D3/666.67),0)</f>
        <v>7989</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9" t="s">
        <v>329</v>
      </c>
      <c r="B24" s="267" t="s">
        <v>321</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10"/>
      <c r="B25" s="1275" t="s">
        <v>330</v>
      </c>
      <c r="C25" s="288">
        <f>IF(B30=0,0,C30)</f>
        <v>0</v>
      </c>
      <c r="D25" s="289"/>
      <c r="E25" s="309"/>
      <c r="F25" s="309"/>
      <c r="G25" s="309"/>
      <c r="H25" s="309"/>
      <c r="I25" s="309"/>
      <c r="J25" s="1911"/>
      <c r="K25" s="1209" t="str">
        <f ca="1">项目基本情况!B16&amp;"国有建设用地使用权价格："&amp;O38&amp;"万元"</f>
        <v>出让国有建设用地使用权价格：318275万元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大写金额：人民币叁拾壹亿捌仟贰佰柒拾伍万元整</v>
      </c>
      <c r="L26" s="1206"/>
      <c r="M26" s="1206"/>
      <c r="N26" s="1206"/>
      <c r="O26" s="1205"/>
      <c r="P26" s="1911"/>
      <c r="Q26" s="1911"/>
      <c r="R26" s="1911"/>
      <c r="S26" s="1911"/>
      <c r="T26" s="1911"/>
      <c r="U26" s="1911"/>
      <c r="V26" s="1911"/>
      <c r="W26" s="290"/>
      <c r="X26" s="290"/>
      <c r="Y26" s="290"/>
      <c r="Z26" s="290"/>
    </row>
    <row r="27" spans="1:26" ht="18">
      <c r="A27" s="3306"/>
      <c r="B27" s="292"/>
      <c r="C27" s="292"/>
      <c r="D27" s="293"/>
      <c r="E27" s="309"/>
      <c r="F27" s="309"/>
      <c r="G27" s="309"/>
      <c r="H27" s="309"/>
      <c r="I27" s="309"/>
      <c r="J27" s="1911"/>
      <c r="K27" s="1212" t="str">
        <f ca="1">"单位面积地价："&amp;M38&amp;"元/平方米"</f>
        <v>单位面积地价：119837元/平方米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楼面地价：30373元/平方米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抵押价格：312282万元</v>
      </c>
      <c r="L29" s="1206"/>
      <c r="M29" s="1206"/>
      <c r="N29" s="1206"/>
      <c r="O29" s="1205"/>
      <c r="P29" s="1911"/>
      <c r="V29" s="1911"/>
    </row>
    <row r="30" spans="1:26" ht="18.75" thickBot="1">
      <c r="A30" s="2800" t="s">
        <v>335</v>
      </c>
      <c r="B30" s="307"/>
      <c r="C30" s="307"/>
      <c r="D30" s="308"/>
      <c r="E30" s="3003" t="s">
        <v>2962</v>
      </c>
      <c r="F30" s="309"/>
      <c r="G30" s="309"/>
      <c r="H30" s="309"/>
      <c r="I30" s="309"/>
      <c r="J30" s="1911"/>
      <c r="K30" s="1212" t="str">
        <f ca="1">IF(K29="——","——","大写金额：人民币"&amp;NUMBERSTRING(INT(O39*10000),2)&amp;"元整")</f>
        <v>大写金额：人民币叁拾壹亿贰仟贰佰捌拾贰万元整</v>
      </c>
      <c r="L30" s="1206"/>
      <c r="M30" s="1206"/>
      <c r="N30" s="1206"/>
      <c r="O30" s="1205"/>
      <c r="P30" s="1911"/>
      <c r="V30" s="1911"/>
    </row>
    <row r="31" spans="1:26" ht="24" customHeight="1" thickBot="1">
      <c r="A31" s="3437" t="s">
        <v>2963</v>
      </c>
      <c r="B31" s="3437"/>
      <c r="C31" s="3437"/>
      <c r="D31" s="3437"/>
      <c r="E31" s="3437"/>
      <c r="F31" s="3437"/>
      <c r="G31" s="3437"/>
      <c r="H31" s="3437"/>
      <c r="I31" s="3437"/>
      <c r="J31" s="1911"/>
      <c r="K31" s="2322" t="str">
        <f>IF(项目基本情况!E8="抵押价格","——","抵押担保权已注销时的抵押价格："&amp;O40&amp;"万元")</f>
        <v>——</v>
      </c>
      <c r="L31" s="2318"/>
      <c r="M31" s="2318"/>
      <c r="N31" s="2318"/>
      <c r="O31" s="2319"/>
      <c r="P31" s="1911"/>
      <c r="V31" s="1911"/>
    </row>
    <row r="32" spans="1:26" ht="19.5" thickTop="1" thickBot="1">
      <c r="A32" s="272" t="s">
        <v>336</v>
      </c>
      <c r="B32" s="3004" t="s">
        <v>1678</v>
      </c>
      <c r="C32" s="264">
        <f ca="1">G19-C24</f>
        <v>318275</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339</v>
      </c>
      <c r="B33" s="1332" t="s">
        <v>1680</v>
      </c>
      <c r="C33" s="262">
        <f ca="1">ROUND(C32*10000/'数据-汇总表'!E3,0)</f>
        <v>30373</v>
      </c>
      <c r="D33" s="1333" t="s">
        <v>1681</v>
      </c>
      <c r="E33" s="3409" t="s">
        <v>337</v>
      </c>
      <c r="F33" s="294" t="s">
        <v>338</v>
      </c>
      <c r="G33" s="295"/>
      <c r="H33" s="968"/>
      <c r="I33" s="1213"/>
      <c r="J33" s="1911"/>
      <c r="K33" s="1212" t="str">
        <f ca="1">IF(项目基本情况!E9="——","——","抵押净值："&amp;C46&amp;"万元")</f>
        <v>抵押净值：131980万元</v>
      </c>
      <c r="L33" s="1206"/>
      <c r="M33" s="1206"/>
      <c r="N33" s="1206"/>
      <c r="O33" s="1205"/>
      <c r="P33" s="1911"/>
      <c r="V33" s="1911"/>
    </row>
    <row r="34" spans="1:26" s="1208" customFormat="1" ht="18.75" thickBot="1">
      <c r="A34" s="298"/>
      <c r="B34" s="1334" t="s">
        <v>1682</v>
      </c>
      <c r="C34" s="262">
        <f ca="1">ROUND(C32*10000/'数据-汇总表'!D3,0)</f>
        <v>119837</v>
      </c>
      <c r="D34" s="1335" t="s">
        <v>1681</v>
      </c>
      <c r="E34" s="3453"/>
      <c r="F34" s="127" t="s">
        <v>340</v>
      </c>
      <c r="G34" s="297"/>
      <c r="H34" s="105"/>
      <c r="I34" s="309"/>
      <c r="J34" s="1911"/>
      <c r="K34" s="1215" t="str">
        <f ca="1">IF(K33="——","——","大写金额：人民币"&amp;NUMBERSTRING(INT(O41*10000),2)&amp;"元整")</f>
        <v>大写金额：人民币壹拾叁亿壹仟玖佰捌拾万元整</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7989</v>
      </c>
      <c r="D35" s="1338" t="s">
        <v>1683</v>
      </c>
      <c r="E35" s="3454"/>
      <c r="F35" s="299" t="s">
        <v>341</v>
      </c>
      <c r="G35" s="970">
        <f>E37+E38</f>
        <v>5993</v>
      </c>
      <c r="H35" s="969" t="s">
        <v>342</v>
      </c>
      <c r="I35" s="309"/>
      <c r="J35" s="1911"/>
      <c r="K35" s="3427" t="s">
        <v>349</v>
      </c>
      <c r="L35" s="3427" t="s">
        <v>350</v>
      </c>
      <c r="M35" s="1218" t="s">
        <v>351</v>
      </c>
      <c r="N35" s="3427" t="s">
        <v>352</v>
      </c>
      <c r="O35" s="3427" t="s">
        <v>353</v>
      </c>
      <c r="P35" s="1911"/>
      <c r="V35" s="1911"/>
    </row>
    <row r="36" spans="1:26" ht="16.5" customHeight="1">
      <c r="A36" s="301" t="s">
        <v>343</v>
      </c>
      <c r="B36" s="302" t="s">
        <v>332</v>
      </c>
      <c r="C36" s="303" t="s">
        <v>344</v>
      </c>
      <c r="D36" s="303" t="s">
        <v>345</v>
      </c>
      <c r="E36" s="304" t="s">
        <v>346</v>
      </c>
      <c r="F36" s="309"/>
      <c r="G36" s="309"/>
      <c r="H36" s="309"/>
      <c r="I36" s="309"/>
      <c r="J36" s="1913"/>
      <c r="K36" s="3428"/>
      <c r="L36" s="3428"/>
      <c r="M36" s="1220" t="s">
        <v>354</v>
      </c>
      <c r="N36" s="3428"/>
      <c r="O36" s="3428"/>
      <c r="P36" s="1911"/>
      <c r="V36" s="1911"/>
    </row>
    <row r="37" spans="1:26" ht="16.5" customHeight="1" thickBot="1">
      <c r="A37" s="1214" t="s">
        <v>347</v>
      </c>
      <c r="B37" s="305">
        <f>'数据-汇总表'!G21</f>
        <v>4432.97</v>
      </c>
      <c r="C37" s="292">
        <f>ROUND(47036*0.25*0.25,0)</f>
        <v>2940</v>
      </c>
      <c r="D37" s="3307">
        <v>3.0499999999999999E-2</v>
      </c>
      <c r="E37" s="293">
        <f>ROUND(B37*C37*(1+D37)/10000,0)</f>
        <v>1343</v>
      </c>
      <c r="F37" s="309"/>
      <c r="G37" s="309"/>
      <c r="H37" s="309"/>
      <c r="I37" s="309"/>
      <c r="J37" s="1913"/>
      <c r="K37" s="3429"/>
      <c r="L37" s="3429"/>
      <c r="M37" s="1221"/>
      <c r="N37" s="3429"/>
      <c r="O37" s="3429"/>
      <c r="P37" s="1911"/>
      <c r="V37" s="1911"/>
    </row>
    <row r="38" spans="1:26" ht="16.5" customHeight="1" thickBot="1">
      <c r="A38" s="1214" t="s">
        <v>348</v>
      </c>
      <c r="B38" s="305">
        <f>'数据-汇总表'!G22</f>
        <v>19183.87</v>
      </c>
      <c r="C38" s="292">
        <f>ROUND(47036*0.2*0.25,0)</f>
        <v>2352</v>
      </c>
      <c r="D38" s="3307">
        <v>3.0499999999999999E-2</v>
      </c>
      <c r="E38" s="293">
        <f>ROUND(B38*C38*(1+D38)/10000,0)</f>
        <v>4650</v>
      </c>
      <c r="F38" s="309"/>
      <c r="G38" s="309"/>
      <c r="H38" s="309"/>
      <c r="I38" s="309"/>
      <c r="J38" s="1913"/>
      <c r="K38" s="1222">
        <f>'数据-汇总表'!D3</f>
        <v>26559.06</v>
      </c>
      <c r="L38" s="1223">
        <f>'数据-汇总表'!E3</f>
        <v>104789.91</v>
      </c>
      <c r="M38" s="1223">
        <f ca="1">C34</f>
        <v>119837</v>
      </c>
      <c r="N38" s="1223">
        <f ca="1">C33</f>
        <v>30373</v>
      </c>
      <c r="O38" s="1224">
        <f ca="1">C32</f>
        <v>318275</v>
      </c>
      <c r="P38" s="1911"/>
      <c r="V38" s="1911"/>
    </row>
    <row r="39" spans="1:26" ht="16.5" customHeight="1" thickBot="1">
      <c r="A39" s="1219"/>
      <c r="B39" s="306"/>
      <c r="C39" s="307"/>
      <c r="D39" s="307"/>
      <c r="E39" s="308"/>
      <c r="F39" s="309"/>
      <c r="G39" s="309"/>
      <c r="H39" s="309"/>
      <c r="I39" s="309"/>
      <c r="J39" s="1913"/>
      <c r="K39" s="3467" t="str">
        <f>MID(A44,3,LEN(A44)-2)</f>
        <v>抵押价格</v>
      </c>
      <c r="L39" s="3468"/>
      <c r="M39" s="3468"/>
      <c r="N39" s="3469"/>
      <c r="O39" s="1340">
        <f ca="1">C44</f>
        <v>312282</v>
      </c>
      <c r="P39" s="1911"/>
      <c r="V39" s="1911"/>
    </row>
    <row r="40" spans="1:26" ht="19.5" thickBot="1">
      <c r="A40" s="104" t="s">
        <v>863</v>
      </c>
      <c r="B40" s="309"/>
      <c r="C40" s="309"/>
      <c r="D40" s="309"/>
      <c r="E40" s="309"/>
      <c r="F40" s="309"/>
      <c r="G40" s="309"/>
      <c r="H40" s="309"/>
      <c r="I40" s="309"/>
      <c r="J40" s="1913"/>
      <c r="K40" s="3467" t="str">
        <f t="shared" ref="K40:K41" si="0">MID(A45,3,LEN(A45)-2)</f>
        <v/>
      </c>
      <c r="L40" s="3468"/>
      <c r="M40" s="3468"/>
      <c r="N40" s="3469"/>
      <c r="O40" s="1340" t="str">
        <f>C45</f>
        <v>——</v>
      </c>
      <c r="P40" s="1911"/>
      <c r="V40" s="1911"/>
    </row>
    <row r="41" spans="1:26" ht="16.5" thickBot="1">
      <c r="A41" s="310" t="s">
        <v>355</v>
      </c>
      <c r="B41" s="311"/>
      <c r="C41" s="312" t="s">
        <v>356</v>
      </c>
      <c r="D41" s="313" t="s">
        <v>357</v>
      </c>
      <c r="E41" s="313" t="s">
        <v>358</v>
      </c>
      <c r="F41" s="314" t="s">
        <v>359</v>
      </c>
      <c r="G41" s="309"/>
      <c r="H41" s="309"/>
      <c r="I41" s="309"/>
      <c r="J41" s="1913"/>
      <c r="K41" s="3467" t="str">
        <f t="shared" si="0"/>
        <v>抵押净值</v>
      </c>
      <c r="L41" s="3468"/>
      <c r="M41" s="3468"/>
      <c r="N41" s="3469"/>
      <c r="O41" s="1340">
        <f ca="1">C46</f>
        <v>131980</v>
      </c>
      <c r="P41" s="1911"/>
      <c r="V41" s="1911"/>
    </row>
    <row r="42" spans="1:26" ht="29.25">
      <c r="A42" s="3411" t="s">
        <v>2055</v>
      </c>
      <c r="B42" s="3412"/>
      <c r="C42" s="262">
        <f ca="1">C32</f>
        <v>318275</v>
      </c>
      <c r="D42" s="315">
        <f ca="1">C33</f>
        <v>30373</v>
      </c>
      <c r="E42" s="315">
        <f ca="1">C34</f>
        <v>119837</v>
      </c>
      <c r="F42" s="316">
        <f ca="1">C35</f>
        <v>7989</v>
      </c>
      <c r="G42" s="309"/>
      <c r="H42" s="309"/>
      <c r="I42" s="317"/>
      <c r="J42" s="1913"/>
      <c r="K42" s="1225" t="s">
        <v>360</v>
      </c>
      <c r="L42" s="1930" t="s">
        <v>361</v>
      </c>
      <c r="M42" s="1226" t="s">
        <v>362</v>
      </c>
      <c r="N42" s="1931" t="s">
        <v>363</v>
      </c>
      <c r="O42" s="1932" t="s">
        <v>364</v>
      </c>
      <c r="P42" s="1911"/>
      <c r="V42" s="1911"/>
    </row>
    <row r="43" spans="1:26" ht="30">
      <c r="A43" s="3422" t="s">
        <v>2708</v>
      </c>
      <c r="B43" s="3423"/>
      <c r="C43" s="262">
        <f>IF(H33="正常操作",G33+G34+G35,G34+G35)</f>
        <v>5993</v>
      </c>
      <c r="D43" s="315" t="s">
        <v>43</v>
      </c>
      <c r="E43" s="315" t="s">
        <v>44</v>
      </c>
      <c r="F43" s="316" t="s">
        <v>44</v>
      </c>
      <c r="G43" s="2583" t="s">
        <v>942</v>
      </c>
      <c r="H43" s="309"/>
      <c r="I43" s="317"/>
      <c r="J43" s="1913"/>
      <c r="K43" s="1227" t="str">
        <f>C4</f>
        <v>比较法-住宅、综合</v>
      </c>
      <c r="L43" s="1228">
        <f ca="1">IF(L42="估价结果/万元",C19,C20)</f>
        <v>323346</v>
      </c>
      <c r="M43" s="1229">
        <f>C18</f>
        <v>0.5</v>
      </c>
      <c r="N43" s="1230">
        <f ca="1">IF(N42="测算结果/万元",G19,G20)</f>
        <v>318275</v>
      </c>
      <c r="O43" s="1231">
        <f ca="1">IF(O42="最终结果/万元",C32,C33)</f>
        <v>318275</v>
      </c>
      <c r="P43" s="1911"/>
      <c r="V43" s="1911"/>
    </row>
    <row r="44" spans="1:26" ht="30.75" thickBot="1">
      <c r="A44" s="3411" t="str">
        <f>IF(OR(项目基本情况!E8="抵押价格",项目基本情况!E8="已注销及未注销"),"3.抵押价格","——")</f>
        <v>3.抵押价格</v>
      </c>
      <c r="B44" s="3412"/>
      <c r="C44" s="262">
        <f ca="1">IF(A44="——","——",C42-C43)</f>
        <v>312282</v>
      </c>
      <c r="D44" s="315">
        <f ca="1">ROUND(C44*10000/'数据-汇总表'!E3,0)</f>
        <v>29801</v>
      </c>
      <c r="E44" s="315">
        <f ca="1">ROUND(C44*10000/'数据-汇总表'!D3,0)</f>
        <v>117580</v>
      </c>
      <c r="F44" s="316">
        <f ca="1">ROUND(C44/('数据-汇总表'!D3/666.67),0)</f>
        <v>7839</v>
      </c>
      <c r="G44" s="309"/>
      <c r="H44" s="309"/>
      <c r="I44" s="317"/>
      <c r="J44" s="1913"/>
      <c r="K44" s="1232" t="str">
        <f>D4</f>
        <v>剩余法-待开发</v>
      </c>
      <c r="L44" s="1233">
        <f ca="1">IF(L42="估价结果/万元",D19,D20)</f>
        <v>313203</v>
      </c>
      <c r="M44" s="1234">
        <f>D18</f>
        <v>0.5</v>
      </c>
      <c r="N44" s="1235"/>
      <c r="O44" s="1236"/>
      <c r="P44" s="1911"/>
      <c r="V44" s="1911"/>
    </row>
    <row r="45" spans="1:26" ht="15">
      <c r="A45" s="3417" t="str">
        <f>IF(项目基本情况!E8="已注销及未注销","4.抵押担保权已注销时的抵押价格",IF(项目基本情况!E8="已注销","3.抵押担保权已注销时的抵押价格","——"))</f>
        <v>——</v>
      </c>
      <c r="B45" s="341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13" t="str">
        <f>IF(项目基本情况!E9="抵押净值",IF(A45="——","4.抵押净值","5.抵押净值"),"——")</f>
        <v>4.抵押净值</v>
      </c>
      <c r="B46" s="3414"/>
      <c r="C46" s="318">
        <f ca="1">IF(A46="——","——",O79)</f>
        <v>131980</v>
      </c>
      <c r="D46" s="315">
        <f ca="1">ROUND(C46*10000/'数据-汇总表'!E3,0)</f>
        <v>12595</v>
      </c>
      <c r="E46" s="315">
        <f ca="1">ROUND(C46*10000/'数据-汇总表'!D3,0)</f>
        <v>49693</v>
      </c>
      <c r="F46" s="316">
        <f ca="1">ROUND(C46/('数据-汇总表'!D3/666.67),0)</f>
        <v>3313</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本次评估估价师知悉的法定优先受偿款为人民币5993万元整。</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61" t="s">
        <v>373</v>
      </c>
      <c r="B63" s="3462"/>
      <c r="C63" s="3463"/>
      <c r="D63" s="339">
        <f ca="1">ROUND(C42*F63,0)</f>
        <v>318275</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419" t="s">
        <v>377</v>
      </c>
      <c r="B64" s="3420"/>
      <c r="C64" s="3420"/>
      <c r="D64" s="3420"/>
      <c r="E64" s="3420"/>
      <c r="F64" s="3420"/>
      <c r="G64" s="3421"/>
      <c r="H64" s="1242"/>
      <c r="I64" s="937"/>
      <c r="J64" s="1902"/>
      <c r="K64" s="1498"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415" t="s">
        <v>385</v>
      </c>
      <c r="B66" s="3416"/>
      <c r="C66" s="3416"/>
      <c r="D66" s="259" t="b">
        <f>IF(H66="情况1",0,IF(H66="情况2",D70,IF(H66="情况3",D71,IF(H66="情况4",D72))))</f>
        <v>0</v>
      </c>
      <c r="E66" s="981" t="str">
        <f>IF(H66="情况4","(销售额-原购置价)×税（费）率","销售额×税（费）率")</f>
        <v>销售额×税（费）率</v>
      </c>
      <c r="F66" s="348">
        <f>IF(H66="情况1","免征",'数据-取费表'!B41)</f>
        <v>5.6000000000000001E-2</v>
      </c>
      <c r="G66" s="349" t="s">
        <v>386</v>
      </c>
      <c r="H66" s="189"/>
      <c r="I66" s="1242"/>
      <c r="J66" s="1917"/>
      <c r="K66" s="1245">
        <v>1</v>
      </c>
      <c r="L66" s="3476" t="s">
        <v>384</v>
      </c>
      <c r="M66" s="3477"/>
      <c r="N66" s="2312"/>
      <c r="O66" s="2313"/>
      <c r="P66" s="2314"/>
      <c r="Q66" s="1911"/>
      <c r="R66" s="1911"/>
      <c r="S66" s="1911"/>
      <c r="T66" s="1911"/>
      <c r="U66" s="1911"/>
      <c r="V66" s="1911"/>
    </row>
    <row r="67" spans="1:22" ht="25.5" customHeight="1">
      <c r="A67" s="350" t="s">
        <v>388</v>
      </c>
      <c r="B67" s="3406" t="s">
        <v>389</v>
      </c>
      <c r="C67" s="3406"/>
      <c r="D67" s="351">
        <v>0</v>
      </c>
      <c r="E67" s="41" t="s">
        <v>390</v>
      </c>
      <c r="F67" s="62" t="s">
        <v>21</v>
      </c>
      <c r="G67" s="3464"/>
      <c r="H67" s="3006" t="s">
        <v>2964</v>
      </c>
      <c r="I67" s="3008"/>
      <c r="J67" s="1918"/>
      <c r="K67" s="1890">
        <v>2</v>
      </c>
      <c r="L67" s="3470" t="s">
        <v>387</v>
      </c>
      <c r="M67" s="3470"/>
      <c r="N67" s="1279">
        <f>'数据-取费表'!B2</f>
        <v>44300</v>
      </c>
      <c r="O67" s="1279"/>
      <c r="P67" s="1279"/>
      <c r="Q67" s="1911"/>
      <c r="R67" s="1911"/>
      <c r="S67" s="1911"/>
      <c r="T67" s="1911"/>
      <c r="U67" s="1911"/>
      <c r="V67" s="1911"/>
    </row>
    <row r="68" spans="1:22" ht="25.5" customHeight="1">
      <c r="A68" s="352"/>
      <c r="B68" s="3406" t="s">
        <v>392</v>
      </c>
      <c r="C68" s="3406"/>
      <c r="D68" s="353"/>
      <c r="E68" s="77"/>
      <c r="F68" s="354"/>
      <c r="G68" s="3465"/>
      <c r="H68" s="3007" t="s">
        <v>2965</v>
      </c>
      <c r="I68" s="3008"/>
      <c r="J68" s="1918"/>
      <c r="K68" s="1890">
        <v>3</v>
      </c>
      <c r="L68" s="3470" t="s">
        <v>391</v>
      </c>
      <c r="M68" s="3470"/>
      <c r="N68" s="1247">
        <f ca="1">C42</f>
        <v>318275</v>
      </c>
      <c r="O68" s="1247"/>
      <c r="P68" s="1247"/>
      <c r="Q68" s="1911"/>
      <c r="R68" s="1911"/>
      <c r="S68" s="1911"/>
      <c r="T68" s="1911"/>
      <c r="U68" s="1911"/>
      <c r="V68" s="1911"/>
    </row>
    <row r="69" spans="1:22" ht="23.45" customHeight="1">
      <c r="A69" s="355"/>
      <c r="B69" s="3406" t="s">
        <v>393</v>
      </c>
      <c r="C69" s="3406"/>
      <c r="D69" s="356"/>
      <c r="E69" s="73"/>
      <c r="F69" s="354"/>
      <c r="G69" s="3466"/>
      <c r="H69" s="3007" t="s">
        <v>2966</v>
      </c>
      <c r="I69" s="3008"/>
      <c r="J69" s="1918"/>
      <c r="K69" s="1248">
        <v>4</v>
      </c>
      <c r="L69" s="3480" t="s">
        <v>2860</v>
      </c>
      <c r="M69" s="3481"/>
      <c r="N69" s="1249">
        <f ca="1">C44</f>
        <v>312282</v>
      </c>
      <c r="O69" s="1249"/>
      <c r="P69" s="1249"/>
      <c r="Q69" s="1911"/>
      <c r="R69" s="1911"/>
      <c r="S69" s="1911"/>
      <c r="T69" s="1911"/>
      <c r="U69" s="1911"/>
      <c r="V69" s="1911"/>
    </row>
    <row r="70" spans="1:22" ht="24" customHeight="1">
      <c r="A70" s="357" t="s">
        <v>394</v>
      </c>
      <c r="B70" s="3406" t="s">
        <v>395</v>
      </c>
      <c r="C70" s="3406"/>
      <c r="D70" s="356">
        <f ca="1">ROUND(D63*'数据-取费表'!B41/(1+'数据-取费表'!C42),0)</f>
        <v>16975</v>
      </c>
      <c r="E70" s="17" t="s">
        <v>396</v>
      </c>
      <c r="F70" s="358">
        <f>'数据-取费表'!B41</f>
        <v>5.6000000000000001E-2</v>
      </c>
      <c r="G70" s="359"/>
      <c r="H70" s="309"/>
      <c r="I70" s="1246"/>
      <c r="J70" s="1918"/>
      <c r="K70" s="2765"/>
      <c r="L70" s="2766"/>
      <c r="M70" s="2766"/>
      <c r="N70" s="2767" t="s">
        <v>2864</v>
      </c>
      <c r="O70" s="2766"/>
      <c r="P70" s="2768"/>
      <c r="Q70" s="1911"/>
      <c r="R70" s="1911"/>
      <c r="S70" s="1911"/>
      <c r="T70" s="1911"/>
      <c r="U70" s="1911"/>
      <c r="V70" s="1911"/>
    </row>
    <row r="71" spans="1:22" ht="12" customHeight="1">
      <c r="A71" s="357" t="s">
        <v>402</v>
      </c>
      <c r="B71" s="3407" t="s">
        <v>2995</v>
      </c>
      <c r="C71" s="3408"/>
      <c r="D71" s="356">
        <f ca="1">ROUND(D63*'数据-取费表'!B41/(1+'数据-取费表'!C42),0)</f>
        <v>16975</v>
      </c>
      <c r="E71" s="17" t="s">
        <v>396</v>
      </c>
      <c r="F71" s="358">
        <f>'数据-取费表'!B41</f>
        <v>5.6000000000000001E-2</v>
      </c>
      <c r="G71" s="359"/>
      <c r="H71" s="309"/>
      <c r="I71" s="1246"/>
      <c r="J71" s="1918"/>
      <c r="K71" s="2764" t="s">
        <v>397</v>
      </c>
      <c r="L71" s="3482" t="s">
        <v>398</v>
      </c>
      <c r="M71" s="3482"/>
      <c r="N71" s="2764" t="s">
        <v>399</v>
      </c>
      <c r="O71" s="2764" t="s">
        <v>400</v>
      </c>
      <c r="P71" s="2764" t="s">
        <v>401</v>
      </c>
      <c r="Q71" s="1911"/>
      <c r="R71" s="1911"/>
      <c r="S71" s="1911"/>
      <c r="T71" s="1911"/>
      <c r="U71" s="1911"/>
      <c r="V71" s="1911"/>
    </row>
    <row r="72" spans="1:22" ht="12" customHeight="1">
      <c r="A72" s="357" t="s">
        <v>404</v>
      </c>
      <c r="B72" s="3407" t="s">
        <v>2996</v>
      </c>
      <c r="C72" s="3408"/>
      <c r="D72" s="356">
        <f ca="1">C86</f>
        <v>16975</v>
      </c>
      <c r="E72" s="73" t="s">
        <v>405</v>
      </c>
      <c r="F72" s="358">
        <f>'数据-取费表'!B41</f>
        <v>5.6000000000000001E-2</v>
      </c>
      <c r="G72" s="359"/>
      <c r="H72" s="1252"/>
      <c r="I72" s="1246"/>
      <c r="J72" s="1918"/>
      <c r="K72" s="1890">
        <v>1</v>
      </c>
      <c r="L72" s="3457" t="s">
        <v>403</v>
      </c>
      <c r="M72" s="3457"/>
      <c r="N72" s="1250" t="b">
        <f>D66</f>
        <v>0</v>
      </c>
      <c r="O72" s="1773" t="str">
        <f>E66</f>
        <v>销售额×税（费）率</v>
      </c>
      <c r="P72" s="1251">
        <f>F66</f>
        <v>5.6000000000000001E-2</v>
      </c>
      <c r="Q72" s="1911"/>
      <c r="R72" s="1911"/>
      <c r="S72" s="1911"/>
      <c r="T72" s="1911"/>
      <c r="U72" s="1911"/>
      <c r="V72" s="1911"/>
    </row>
    <row r="73" spans="1:22" ht="24" customHeight="1">
      <c r="A73" s="3452" t="s">
        <v>407</v>
      </c>
      <c r="B73" s="3416"/>
      <c r="C73" s="3416"/>
      <c r="D73" s="360">
        <f ca="1">IF(H73="个人住宅",0,ROUND(D63*I73,0))</f>
        <v>159</v>
      </c>
      <c r="E73" s="17" t="s">
        <v>408</v>
      </c>
      <c r="F73" s="358" t="str">
        <f>IF(H73="正常",I73,"免征")</f>
        <v>免征</v>
      </c>
      <c r="G73" s="359"/>
      <c r="H73" s="189"/>
      <c r="I73" s="358">
        <f>'数据-取费表'!B49</f>
        <v>5.0000000000000001E-4</v>
      </c>
      <c r="J73" s="1918"/>
      <c r="K73" s="1890">
        <v>2</v>
      </c>
      <c r="L73" s="3457" t="s">
        <v>406</v>
      </c>
      <c r="M73" s="3457"/>
      <c r="N73" s="1250">
        <f t="shared" ref="N73:P74" ca="1" si="1">D73</f>
        <v>159</v>
      </c>
      <c r="O73" s="1773" t="str">
        <f t="shared" si="1"/>
        <v>销售额×税（费）率</v>
      </c>
      <c r="P73" s="1251" t="str">
        <f t="shared" si="1"/>
        <v>免征</v>
      </c>
      <c r="Q73" s="1911"/>
      <c r="R73" s="1911"/>
      <c r="S73" s="1911"/>
      <c r="T73" s="1911"/>
      <c r="U73" s="1911"/>
      <c r="V73" s="1911"/>
    </row>
    <row r="74" spans="1:22" ht="24.75">
      <c r="A74" s="3452" t="s">
        <v>410</v>
      </c>
      <c r="B74" s="3416"/>
      <c r="C74" s="3416"/>
      <c r="D74" s="360">
        <f ca="1">IF(H74="个人住宅",D75,D76)</f>
        <v>180143</v>
      </c>
      <c r="E74" s="17" t="s">
        <v>411</v>
      </c>
      <c r="F74" s="358" t="str">
        <f>IF(H74="正常",F76,"免征")</f>
        <v>免征</v>
      </c>
      <c r="G74" s="971" t="s">
        <v>412</v>
      </c>
      <c r="H74" s="361"/>
      <c r="I74" s="42"/>
      <c r="J74" s="1918"/>
      <c r="K74" s="1890">
        <v>3</v>
      </c>
      <c r="L74" s="3457" t="s">
        <v>409</v>
      </c>
      <c r="M74" s="3457"/>
      <c r="N74" s="1250">
        <f t="shared" ca="1" si="1"/>
        <v>180143</v>
      </c>
      <c r="O74" s="1773" t="str">
        <f t="shared" si="1"/>
        <v>增值额×税（费）率</v>
      </c>
      <c r="P74" s="1253" t="str">
        <f t="shared" si="1"/>
        <v>免征</v>
      </c>
      <c r="Q74" s="1911"/>
      <c r="R74" s="1911"/>
      <c r="S74" s="1911"/>
      <c r="T74" s="1911"/>
      <c r="U74" s="1911"/>
      <c r="V74" s="1911"/>
    </row>
    <row r="75" spans="1:22" ht="12.75">
      <c r="A75" s="357" t="s">
        <v>413</v>
      </c>
      <c r="B75" s="3404" t="s">
        <v>414</v>
      </c>
      <c r="C75" s="3440"/>
      <c r="D75" s="362">
        <v>0</v>
      </c>
      <c r="E75" s="41" t="s">
        <v>415</v>
      </c>
      <c r="F75" s="363"/>
      <c r="G75" s="359"/>
      <c r="H75" s="42"/>
      <c r="I75" s="42"/>
      <c r="J75" s="1918"/>
      <c r="K75" s="2758">
        <f>IF(H77="非个人房产","",4)</f>
        <v>4</v>
      </c>
      <c r="L75" s="3457" t="str">
        <f>IF(H77="非个人房产","——","个人所得税")</f>
        <v>个人所得税</v>
      </c>
      <c r="M75" s="3457"/>
      <c r="N75" s="1254">
        <f>D77</f>
        <v>0</v>
      </c>
      <c r="O75" s="1786" t="str">
        <f>E77</f>
        <v>差额计税</v>
      </c>
      <c r="P75" s="1255">
        <f>F77</f>
        <v>0.01</v>
      </c>
      <c r="Q75" s="1911"/>
      <c r="R75" s="1911"/>
      <c r="S75" s="1911"/>
      <c r="T75" s="1911"/>
      <c r="U75" s="1911"/>
      <c r="V75" s="1911"/>
    </row>
    <row r="76" spans="1:22" ht="24.75">
      <c r="A76" s="357" t="s">
        <v>394</v>
      </c>
      <c r="B76" s="3404" t="s">
        <v>417</v>
      </c>
      <c r="C76" s="3405"/>
      <c r="D76" s="360">
        <f ca="1">IF(H76="转让取得",C99,C115)</f>
        <v>180143</v>
      </c>
      <c r="E76" s="17" t="s">
        <v>418</v>
      </c>
      <c r="F76" s="53" t="s">
        <v>21</v>
      </c>
      <c r="G76" s="359"/>
      <c r="H76" s="361"/>
      <c r="I76" s="42"/>
      <c r="J76" s="1918"/>
      <c r="K76" s="2758" t="str">
        <f>IF(项目基本情况!K6="上海银行",IF(K75="",4,K75+1),"")</f>
        <v/>
      </c>
      <c r="L76" s="3472" t="str">
        <f>IF(项目基本情况!K6="上海银行","其他处置费用","")</f>
        <v/>
      </c>
      <c r="M76" s="3473"/>
      <c r="N76" s="1250" t="str">
        <f>IF(项目基本情况!K6="上海银行",N89,"")</f>
        <v/>
      </c>
      <c r="O76" s="3474" t="str">
        <f>IF(项目基本情况!K6="上海银行","包含处置中涉及的律师、诉讼、拍卖、评估等费用","")</f>
        <v/>
      </c>
      <c r="P76" s="3475"/>
      <c r="Q76" s="1911"/>
      <c r="R76" s="1911"/>
      <c r="S76" s="1911"/>
      <c r="T76" s="1911"/>
      <c r="U76" s="1911"/>
      <c r="V76" s="1911"/>
    </row>
    <row r="77" spans="1:22" ht="24.75" thickBot="1">
      <c r="A77" s="3459" t="s">
        <v>420</v>
      </c>
      <c r="B77" s="3460"/>
      <c r="C77" s="346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412</v>
      </c>
      <c r="H77" s="3010"/>
      <c r="I77" s="3009" t="s">
        <v>2967</v>
      </c>
      <c r="J77" s="1918"/>
      <c r="K77" s="3458">
        <f>IF(AND(K75="",K76=""),4,IF(项目基本情况!K6="上海银行",K76+1,K75+1))</f>
        <v>5</v>
      </c>
      <c r="L77" s="3457" t="s">
        <v>2861</v>
      </c>
      <c r="M77" s="2763" t="s">
        <v>416</v>
      </c>
      <c r="N77" s="1256"/>
      <c r="O77" s="1257">
        <f ca="1">SUMIF(N72:N76,"&lt;9e307")</f>
        <v>180302</v>
      </c>
      <c r="P77" s="1258"/>
      <c r="Q77" s="2761">
        <f ca="1">O77/N69</f>
        <v>0.57736917273489985</v>
      </c>
      <c r="R77" s="1911"/>
      <c r="S77" s="1911"/>
      <c r="T77" s="1911"/>
      <c r="U77" s="1911"/>
      <c r="V77" s="1911"/>
    </row>
    <row r="78" spans="1:22" ht="12" customHeight="1">
      <c r="A78" s="1259"/>
      <c r="B78" s="309"/>
      <c r="C78" s="309"/>
      <c r="D78" s="309"/>
      <c r="E78" s="42"/>
      <c r="F78" s="42"/>
      <c r="G78" s="42"/>
      <c r="H78" s="991"/>
      <c r="I78" s="309"/>
      <c r="J78" s="1918"/>
      <c r="K78" s="3458"/>
      <c r="L78" s="3457"/>
      <c r="M78" s="2763" t="s">
        <v>419</v>
      </c>
      <c r="N78" s="1256"/>
      <c r="O78" s="1257" t="str">
        <f ca="1">NUMBERSTRING(INT(O77*10000),2)&amp;"元整"</f>
        <v>壹拾捌亿零叁佰零贰万元整</v>
      </c>
      <c r="P78" s="1258"/>
      <c r="Q78" s="1911"/>
      <c r="R78" s="1911"/>
      <c r="S78" s="1911"/>
      <c r="T78" s="1911"/>
      <c r="U78" s="1911"/>
      <c r="V78" s="1911"/>
    </row>
    <row r="79" spans="1:22" ht="13.5" thickBot="1">
      <c r="A79" s="3424" t="s">
        <v>421</v>
      </c>
      <c r="B79" s="3424"/>
      <c r="C79" s="3424"/>
      <c r="D79" s="3424"/>
      <c r="E79" s="3424"/>
      <c r="F79" s="42"/>
      <c r="G79" s="42"/>
      <c r="H79" s="991"/>
      <c r="I79" s="309"/>
      <c r="J79" s="1918"/>
      <c r="K79" s="3478">
        <f>K77+1</f>
        <v>6</v>
      </c>
      <c r="L79" s="3457" t="s">
        <v>2862</v>
      </c>
      <c r="M79" s="2763" t="s">
        <v>416</v>
      </c>
      <c r="N79" s="1256"/>
      <c r="O79" s="1257">
        <f ca="1">N69-O77</f>
        <v>131980</v>
      </c>
      <c r="P79" s="1258"/>
      <c r="Q79" s="1911"/>
      <c r="R79" s="1911"/>
      <c r="S79" s="1911"/>
      <c r="T79" s="1911"/>
      <c r="U79" s="1911"/>
      <c r="V79" s="1911"/>
    </row>
    <row r="80" spans="1:22" ht="25.5">
      <c r="A80" s="3425" t="s">
        <v>422</v>
      </c>
      <c r="B80" s="3426"/>
      <c r="C80" s="982"/>
      <c r="D80" s="982" t="s">
        <v>423</v>
      </c>
      <c r="E80" s="364" t="s">
        <v>424</v>
      </c>
      <c r="F80" s="42"/>
      <c r="G80" s="42"/>
      <c r="H80" s="991"/>
      <c r="I80" s="309"/>
      <c r="J80" s="1911"/>
      <c r="K80" s="3479"/>
      <c r="L80" s="3457"/>
      <c r="M80" s="2763" t="s">
        <v>419</v>
      </c>
      <c r="N80" s="1256"/>
      <c r="O80" s="1257" t="str">
        <f ca="1">NUMBERSTRING(INT(O79*10000),2)&amp;"元整"</f>
        <v>壹拾叁亿壹仟玖佰捌拾万元整</v>
      </c>
      <c r="P80" s="1258"/>
      <c r="Q80" s="1911"/>
      <c r="R80" s="1911"/>
      <c r="S80" s="1911"/>
      <c r="T80" s="1911"/>
      <c r="U80" s="1911"/>
      <c r="V80" s="1911"/>
    </row>
    <row r="81" spans="1:26" ht="13.5" thickBot="1">
      <c r="A81" s="375" t="s">
        <v>1813</v>
      </c>
      <c r="B81" s="365" t="s">
        <v>425</v>
      </c>
      <c r="C81" s="366">
        <f ca="1">ROUND((C82+C83)/(1+'数据-取费表'!C42),0)</f>
        <v>303119</v>
      </c>
      <c r="D81" s="367"/>
      <c r="E81" s="368"/>
      <c r="F81" s="42"/>
      <c r="G81" s="42"/>
      <c r="H81" s="991"/>
      <c r="I81" s="309"/>
      <c r="J81" s="1911"/>
      <c r="K81" s="2758">
        <f>K79+1</f>
        <v>7</v>
      </c>
      <c r="L81" s="3455" t="s">
        <v>2863</v>
      </c>
      <c r="M81" s="3456"/>
      <c r="N81" s="1260"/>
      <c r="O81" s="1261">
        <f ca="1">ROUND(O79*10000/'数据-汇总表'!E3,0)</f>
        <v>12595</v>
      </c>
      <c r="P81" s="1262"/>
      <c r="Q81" s="1911"/>
      <c r="R81" s="1911"/>
      <c r="S81" s="1911"/>
      <c r="T81" s="1911"/>
      <c r="U81" s="1911"/>
      <c r="V81" s="1911"/>
    </row>
    <row r="82" spans="1:26" ht="13.5" thickTop="1">
      <c r="A82" s="369" t="s">
        <v>1814</v>
      </c>
      <c r="B82" s="370" t="s">
        <v>426</v>
      </c>
      <c r="C82" s="371">
        <f ca="1">D63</f>
        <v>318275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471" t="s">
        <v>2851</v>
      </c>
      <c r="L83" s="2769" t="s">
        <v>2852</v>
      </c>
      <c r="M83" s="2759">
        <f ca="1">IF(N69&gt;10000,N69*0.5%,IF(AND(N69&gt;1000,N69&lt;=10000),N69*1%,IF(AND(N69&gt;100,N69&lt;=1000),N69*3%,IF(AND(N69&gt;10,N69&lt;=100),N69*5%,N69*8%))))</f>
        <v>1561.41</v>
      </c>
      <c r="N83" s="53">
        <f ca="1">ROUND(M83,1)</f>
        <v>1561.4</v>
      </c>
      <c r="O83" s="2762"/>
      <c r="P83" s="1911"/>
      <c r="Q83" s="1911"/>
      <c r="R83" s="1911"/>
      <c r="S83" s="1911"/>
      <c r="T83" s="1911"/>
      <c r="U83" s="1911"/>
      <c r="V83" s="1911"/>
    </row>
    <row r="84" spans="1:26" ht="12.75">
      <c r="A84" s="375" t="s">
        <v>1816</v>
      </c>
      <c r="B84" s="376" t="s">
        <v>428</v>
      </c>
      <c r="C84" s="377"/>
      <c r="D84" s="378" t="s">
        <v>19</v>
      </c>
      <c r="E84" s="2787" t="s">
        <v>2905</v>
      </c>
      <c r="F84" s="42"/>
      <c r="G84" s="42"/>
      <c r="H84" s="991"/>
      <c r="I84" s="309"/>
      <c r="J84" s="1911"/>
      <c r="K84" s="3471"/>
      <c r="L84" s="2769" t="s">
        <v>2853</v>
      </c>
      <c r="M84" s="2759">
        <f ca="1">IF(N69&gt;2000,N69*0.5%,IF(AND(N69&gt;1000,N69&lt;=2000),N69*0.6%,IF(AND(N69&gt;500,N69&lt;=1000),N69*0.7%,IF(AND(N69&gt;200,N69&lt;=500),N69*0.8%,IF(AND(N69&gt;100,N69&lt;=200),N69*0.9%,IF(AND(N69&gt;50,N69&lt;=100),N69*1%,IF(AND(N69&gt;20,N69&lt;=50),N69*1.5%,IF(AND(N69&gt;10,N69&lt;=20),N69*2%,IF(AND(N69&gt;1,N69&lt;=10),N69*2.5%)))))))))</f>
        <v>1561.41</v>
      </c>
      <c r="N84" s="53">
        <f t="shared" ref="N84:N85" ca="1" si="2">ROUND(M84,1)</f>
        <v>1561.4</v>
      </c>
      <c r="O84" s="1911" t="s">
        <v>2854</v>
      </c>
      <c r="P84" s="1911"/>
      <c r="Q84" s="1911"/>
      <c r="R84" s="1911"/>
      <c r="S84" s="1911"/>
      <c r="T84" s="1911"/>
      <c r="U84" s="1911"/>
      <c r="V84" s="1911"/>
    </row>
    <row r="85" spans="1:26" ht="12.75">
      <c r="A85" s="375" t="s">
        <v>1817</v>
      </c>
      <c r="B85" s="376" t="s">
        <v>429</v>
      </c>
      <c r="C85" s="379">
        <f ca="1">C81-C84</f>
        <v>303119</v>
      </c>
      <c r="D85" s="372" t="s">
        <v>19</v>
      </c>
      <c r="E85" s="373"/>
      <c r="F85" s="42"/>
      <c r="G85" s="42"/>
      <c r="H85" s="991"/>
      <c r="I85" s="309"/>
      <c r="J85" s="1911"/>
      <c r="K85" s="3471"/>
      <c r="L85" s="2769" t="s">
        <v>2855</v>
      </c>
      <c r="M85" s="2759">
        <f ca="1">IF(N69&gt;1000,N69*0.1%,IF(AND(N69&gt;500,N69&lt;=1000),N69*0.5%,IF(AND(N69&gt;50,N69&lt;=500),N69*1%,IF(AND(N69&gt;1,N69&lt;=50),N69*1.5%))))</f>
        <v>312.28199999999998</v>
      </c>
      <c r="N85" s="53">
        <f t="shared" ca="1" si="2"/>
        <v>312.3</v>
      </c>
      <c r="O85" s="1911" t="s">
        <v>2854</v>
      </c>
      <c r="P85" s="1911"/>
      <c r="Q85" s="1911"/>
      <c r="R85" s="1911"/>
      <c r="S85" s="1911"/>
      <c r="T85" s="1911"/>
      <c r="U85" s="1911"/>
      <c r="V85" s="1911"/>
    </row>
    <row r="86" spans="1:26" ht="13.5" thickBot="1">
      <c r="A86" s="380" t="s">
        <v>1818</v>
      </c>
      <c r="B86" s="381" t="s">
        <v>430</v>
      </c>
      <c r="C86" s="382">
        <f ca="1">IF(C85&lt;=0,0,ROUND(C85*D86,0))</f>
        <v>16975</v>
      </c>
      <c r="D86" s="383">
        <f>'数据-取费表'!B41</f>
        <v>5.6000000000000001E-2</v>
      </c>
      <c r="E86" s="384"/>
      <c r="F86" s="42"/>
      <c r="G86" s="42"/>
      <c r="H86" s="991"/>
      <c r="I86" s="309"/>
      <c r="J86" s="1911"/>
      <c r="K86" s="3471"/>
      <c r="L86" s="2769" t="s">
        <v>2856</v>
      </c>
      <c r="M86" s="2759">
        <f ca="1">N69*0.5%</f>
        <v>1561.41</v>
      </c>
      <c r="N86" s="53">
        <f ca="1">IF(M86&gt;0.5,0.5,ROUND(M86,0))</f>
        <v>0.5</v>
      </c>
      <c r="O86" s="1911" t="s">
        <v>2857</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71"/>
      <c r="L87" s="2769" t="s">
        <v>2858</v>
      </c>
      <c r="M87" s="2759">
        <f ca="1">IF(N69&gt;=10000,(8.25+(N69-10000)*0.01%),IF(AND(N69&gt;=8000,N69&lt;10000),(7.85+(N69-8000)*0.02%),IF(AND(N69&gt;=5000,N69&lt;8000),(6.65+(N69-5000)*0.04%),IF(AND(N69&gt;=2000,N69&lt;5000),(4.25+(PN69-2000)*0.08%),IF(AND(N69&gt;=1000,N69&lt;2000),(2.75+(N69-1000)*0.15%),IF(AND(N69&gt;=100,N69&lt;1000),(0.5+(N69-100)*0.25%),IF(AND(N69&gt;0,N69&lt;100),N69*0.5%)))))))</f>
        <v>38.478200000000001</v>
      </c>
      <c r="N87" s="53">
        <f ca="1">ROUND(M87*0.9,1)</f>
        <v>34.6</v>
      </c>
      <c r="O87" s="2762"/>
      <c r="P87" s="1911"/>
      <c r="Q87" s="1911"/>
      <c r="R87" s="1911"/>
      <c r="S87" s="1911"/>
      <c r="T87" s="1911"/>
      <c r="U87" s="1911"/>
      <c r="V87" s="1911"/>
      <c r="W87" s="290"/>
      <c r="X87" s="290"/>
      <c r="Y87" s="290"/>
      <c r="Z87" s="290"/>
    </row>
    <row r="88" spans="1:26" s="1268" customFormat="1" ht="15" thickBot="1">
      <c r="A88" s="3450" t="s">
        <v>431</v>
      </c>
      <c r="B88" s="3451"/>
      <c r="C88" s="3451"/>
      <c r="D88" s="3451"/>
      <c r="E88" s="3451"/>
      <c r="F88" s="3451"/>
      <c r="G88" s="3451"/>
      <c r="H88" s="3451"/>
      <c r="I88" s="1269"/>
      <c r="J88" s="1919"/>
      <c r="K88" s="3471"/>
      <c r="L88" s="2769" t="s">
        <v>2859</v>
      </c>
      <c r="M88" s="2759">
        <f ca="1">IF(N69&gt;10000,N69*0.5%,IF(AND(N69&gt;5000,N69&lt;=10000),N69*1%,IF(AND(N69&gt;1000,N69&lt;=5000),N69*2%,IF(AND(N69&gt;200,N69&lt;=1000),N69*3%,N69*5%))))</f>
        <v>1561.41</v>
      </c>
      <c r="N88" s="53">
        <f ca="1">ROUND(M88,1)</f>
        <v>1561.4</v>
      </c>
      <c r="O88" s="2762"/>
      <c r="P88" s="1916"/>
      <c r="Q88" s="1916"/>
      <c r="R88" s="1916"/>
      <c r="S88" s="1916"/>
      <c r="T88" s="1916"/>
      <c r="U88" s="1916"/>
      <c r="V88" s="1916"/>
      <c r="W88" s="1920"/>
      <c r="X88" s="1920"/>
      <c r="Y88" s="1920"/>
      <c r="Z88" s="1920"/>
    </row>
    <row r="89" spans="1:26" s="1268" customFormat="1" ht="14.25">
      <c r="A89" s="3425" t="s">
        <v>422</v>
      </c>
      <c r="B89" s="3426"/>
      <c r="C89" s="982"/>
      <c r="D89" s="982" t="s">
        <v>423</v>
      </c>
      <c r="E89" s="385" t="s">
        <v>432</v>
      </c>
      <c r="F89" s="386"/>
      <c r="G89" s="386"/>
      <c r="H89" s="387"/>
      <c r="I89" s="1270"/>
      <c r="J89" s="1921"/>
      <c r="K89" s="3471"/>
      <c r="L89" s="2769" t="s">
        <v>27</v>
      </c>
      <c r="M89" s="2760"/>
      <c r="N89" s="53">
        <f ca="1">ROUND(SUM(N83:N88),0)</f>
        <v>5032</v>
      </c>
      <c r="O89" s="2770">
        <f ca="1">N89/N69</f>
        <v>1.611364087587501E-2</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303119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1819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407" t="s">
        <v>440</v>
      </c>
      <c r="F94" s="3406"/>
      <c r="G94" s="3406"/>
      <c r="H94" s="344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1819</v>
      </c>
      <c r="D96" s="400">
        <f>'数据-取费表'!B43</f>
        <v>6.000000000000001E-3</v>
      </c>
      <c r="E96" s="3441" t="s">
        <v>2412</v>
      </c>
      <c r="F96" s="3442"/>
      <c r="G96" s="3442"/>
      <c r="H96" s="344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444</v>
      </c>
      <c r="C97" s="379">
        <f ca="1">C90-C91</f>
        <v>301300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445</v>
      </c>
      <c r="C98" s="401">
        <f ca="1">IF(C97&lt;=0,0,C97/C91)</f>
        <v>165.64046179219352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446</v>
      </c>
      <c r="C99" s="402">
        <f ca="1">ROUND(IF(C97&lt;=0,0,IF(C98&gt;=200%,C97*60%-C91*35%,IF(C98&gt;=100%,C97*50%-C91*15%,IF(C98&gt;=50%,C97*40%-C91*5%,IF(C98&lt;50%,C97*30%,0))))),0)</f>
        <v>180143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50" t="s">
        <v>447</v>
      </c>
      <c r="B101" s="3451"/>
      <c r="C101" s="3451"/>
      <c r="D101" s="3451"/>
      <c r="E101" s="3451"/>
      <c r="F101" s="3451"/>
      <c r="G101" s="3451"/>
      <c r="H101" s="345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25" t="s">
        <v>422</v>
      </c>
      <c r="B102" s="3426"/>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303119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1819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401" t="s">
        <v>2959</v>
      </c>
      <c r="H108" s="340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454</v>
      </c>
      <c r="C109" s="399">
        <f>IF(H109="——",IF(F1="现房",'剩余法-现房'!C18,0),I109)</f>
        <v>0</v>
      </c>
      <c r="D109" s="400"/>
      <c r="E109" s="3444" t="s">
        <v>455</v>
      </c>
      <c r="F109" s="3442"/>
      <c r="G109" s="3442"/>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456</v>
      </c>
      <c r="C110" s="399">
        <f>ROUND((C105+C108+C109)*D110,0)</f>
        <v>0</v>
      </c>
      <c r="D110" s="3275">
        <v>0</v>
      </c>
      <c r="E110" s="3444" t="s">
        <v>457</v>
      </c>
      <c r="F110" s="3442"/>
      <c r="G110" s="3442"/>
      <c r="H110" s="3443"/>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443</v>
      </c>
      <c r="C111" s="399">
        <f ca="1">ROUND(D63*D111/(1+'数据-取费表'!C42),0)</f>
        <v>1819</v>
      </c>
      <c r="D111" s="400">
        <f>'数据-取费表'!B43</f>
        <v>6.000000000000001E-3</v>
      </c>
      <c r="E111" s="3441" t="s">
        <v>2412</v>
      </c>
      <c r="F111" s="3442"/>
      <c r="G111" s="3442"/>
      <c r="H111" s="344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458</v>
      </c>
      <c r="C112" s="399">
        <f>ROUND(C108*D112,0)</f>
        <v>0</v>
      </c>
      <c r="D112" s="400">
        <v>0.2</v>
      </c>
      <c r="E112" s="3444" t="s">
        <v>2435</v>
      </c>
      <c r="F112" s="3442"/>
      <c r="G112" s="3442"/>
      <c r="H112" s="344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444</v>
      </c>
      <c r="C113" s="379">
        <f ca="1">ROUND(C103-C104,0)</f>
        <v>301300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445</v>
      </c>
      <c r="C114" s="401">
        <f ca="1">IF(C113&lt;=0,0,C113/C104)</f>
        <v>165.64046179219352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446</v>
      </c>
      <c r="C115" s="402">
        <f ca="1">ROUND(IF(C113&lt;=0,0,IF(C114&gt;=200%,C113*60%-C104*35%,IF(C114&gt;=100%,C113*50%-C104*15%,IF(C114&gt;=50%,C113*40%-C104*5%,IF(C114&lt;50%,C113*30%,0))))),0)</f>
        <v>180143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9" sqref="E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460</v>
      </c>
      <c r="B2" s="1987">
        <f ca="1">C36</f>
        <v>313203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29889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117927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7862</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543237</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463</v>
      </c>
      <c r="B7" s="2550" t="s">
        <v>464</v>
      </c>
      <c r="C7" s="430" t="s">
        <v>3011</v>
      </c>
      <c r="D7" s="430" t="s">
        <v>3013</v>
      </c>
      <c r="E7" s="430" t="s">
        <v>3017</v>
      </c>
      <c r="F7" s="430" t="s">
        <v>35</v>
      </c>
      <c r="G7" s="430"/>
      <c r="H7" s="430"/>
      <c r="I7" s="430"/>
      <c r="J7" s="430"/>
      <c r="K7" s="431"/>
      <c r="AA7" s="1994"/>
      <c r="AB7" s="1994"/>
      <c r="AC7" s="1994"/>
      <c r="AD7" s="1994"/>
      <c r="AE7" s="1994"/>
    </row>
    <row r="8" spans="1:31" s="1997" customFormat="1" ht="13.5" customHeight="1">
      <c r="A8" s="793" t="s">
        <v>1835</v>
      </c>
      <c r="B8" s="259" t="s">
        <v>465</v>
      </c>
      <c r="C8" s="2551">
        <f>'不动产比较法-住宅'!B3</f>
        <v>70852</v>
      </c>
      <c r="D8" s="2551">
        <f ca="1">'不动产收益法-自持住宅'!B3</f>
        <v>27030</v>
      </c>
      <c r="E8" s="2551">
        <f>ROUND(C8*0.28,0)</f>
        <v>19839</v>
      </c>
      <c r="F8" s="2551">
        <f>'不动产比较法-车位'!B3</f>
        <v>12006</v>
      </c>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71050.5</v>
      </c>
      <c r="D9" s="435">
        <f>SUMIF('数据-汇总表'!$C19:$C33,'剩余法-待开发'!D7,'数据-汇总表'!$E19:$E33)</f>
        <v>2960.44</v>
      </c>
      <c r="E9" s="435">
        <f>SUMIF('数据-汇总表'!$C19:$C33,'剩余法-待开发'!E7,'数据-汇总表'!$E19:$E33)</f>
        <v>4432.97</v>
      </c>
      <c r="F9" s="435">
        <f>SUMIF('数据-汇总表'!$C19:$C33,'剩余法-待开发'!F7,'数据-汇总表'!$E19:$E33)</f>
        <v>19183.87</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42">
        <f>'不动产比较法-住宅'!B2</f>
        <v>503407</v>
      </c>
      <c r="D10" s="2742">
        <f ca="1">'不动产收益法-自持住宅'!B2</f>
        <v>8002</v>
      </c>
      <c r="E10" s="2742">
        <f>ROUND(E8*E9/10000,0)</f>
        <v>8795</v>
      </c>
      <c r="F10" s="2554">
        <f>'不动产比较法-车位'!B2</f>
        <v>23033</v>
      </c>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472</v>
      </c>
      <c r="C13" s="444">
        <f ca="1">IF(B1="",'数据-取费表'!P16,INDIRECT("'数据-取费表'!p"&amp;$K$1)+INDIRECT("'数据-取费表'!t"&amp;$K$1))</f>
        <v>61893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1857</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888</v>
      </c>
      <c r="D15" s="2561"/>
      <c r="E15" s="2562"/>
      <c r="F15" s="2564">
        <f>'数据-取费表'!B34</f>
        <v>0.02</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2096</v>
      </c>
      <c r="D16" s="2561">
        <f ca="1">IF(B1="",'数据-汇总表'!E3,INDIRECT("'数据-取费表'!K"&amp;$K$1)+INDIRECT("'数据-取费表'!S"&amp;$K$1))</f>
        <v>104789.91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928</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67662</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734</v>
      </c>
      <c r="D19" s="2571">
        <f ca="1">D16</f>
        <v>104789.91</v>
      </c>
      <c r="E19" s="2525">
        <f>'数据-取费表'!B32</f>
        <v>70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1800</v>
      </c>
      <c r="D20" s="2571"/>
      <c r="E20" s="2525"/>
      <c r="F20" s="2572"/>
      <c r="G20" s="2776" t="s">
        <v>3574</v>
      </c>
      <c r="H20" s="2527">
        <v>0</v>
      </c>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1184</v>
      </c>
      <c r="D21" s="2561">
        <f ca="1">IF(B1="",'数据-汇总表'!E5,IF(INDIRECT("'数据-取费表'!c"&amp;$K$1)="住宅",INDIRECT("'数据-取费表'!k"&amp;$K$1),0))</f>
        <v>74010.94</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616</v>
      </c>
      <c r="D22" s="2561">
        <f ca="1">IF(B1="",'数据-汇总表'!E6,IF(INDIRECT("'数据-取费表'!c"&amp;$K$1)="住宅",INDIRECT("'数据-取费表'!s"&amp;$K$1),INDIRECT("'数据-取费表'!k"&amp;$K$1)+INDIRECT("'数据-取费表'!s"&amp;$K$1)))</f>
        <v>30778.97</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2811</v>
      </c>
      <c r="C23" s="2569">
        <f ca="1">ROUND((C18+C19+C20)*F23,0)</f>
        <v>1404</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2814</v>
      </c>
      <c r="C24" s="2569">
        <f ca="1">ROUND(C6*F24,0)</f>
        <v>10865</v>
      </c>
      <c r="D24" s="469"/>
      <c r="E24" s="467"/>
      <c r="F24" s="2573">
        <f>'数据-取费表'!B38</f>
        <v>0.02</v>
      </c>
      <c r="G24" s="2538" t="s">
        <v>492</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2812</v>
      </c>
      <c r="C25" s="461">
        <f>ROUND(F25/(1+'数据-取费表'!C42),4)</f>
        <v>2.9000000000000001E-2</v>
      </c>
      <c r="D25" s="456" t="s">
        <v>2806</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2813</v>
      </c>
      <c r="C26" s="2574">
        <f ca="1">C28</f>
        <v>4508</v>
      </c>
      <c r="D26" s="461">
        <f ca="1">C27</f>
        <v>0.11559999999999999</v>
      </c>
      <c r="E26" s="463" t="s">
        <v>488</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489</v>
      </c>
      <c r="C27" s="2576">
        <f ca="1">ROUND(IF('数据-取费表'!B22&lt;=1,(1+C25)*F26*'数据-取费表'!B24,(1+C25)*(POWER((1+F26),'数据-取费表'!B24)-1)),4)</f>
        <v>0.11559999999999999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2815</v>
      </c>
      <c r="C28" s="2577">
        <f ca="1">ROUND(IF('数据-取费表'!B22&lt;=1,(C18+C19+C20+C23+C24)*F26*'数据-取费表'!B24/2,(C18+C19+C20+C23+C24)*(POWER((1+F26),'数据-取费表'!B24/2)-1)),0)</f>
        <v>4508</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490</v>
      </c>
      <c r="C29" s="2569">
        <f ca="1">ROUND(C6*F29/(1+'数据-取费表'!C42),0)</f>
        <v>28973</v>
      </c>
      <c r="D29" s="462"/>
      <c r="E29" s="462"/>
      <c r="F29" s="2750">
        <f>'数据-取费表'!B41</f>
        <v>5.6000000000000001E-2</v>
      </c>
      <c r="G29" s="2538" t="s">
        <v>491</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493</v>
      </c>
      <c r="C30" s="2574">
        <f ca="1">C31</f>
        <v>115946</v>
      </c>
      <c r="D30" s="471">
        <f ca="1">C32</f>
        <v>0.14460000000000001</v>
      </c>
      <c r="E30" s="463" t="s">
        <v>488</v>
      </c>
      <c r="F30" s="465"/>
      <c r="G30" s="2537" t="s">
        <v>2933</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115946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0.14460000000000001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2810</v>
      </c>
      <c r="B33" s="2745" t="s">
        <v>2808</v>
      </c>
      <c r="C33" s="472">
        <f ca="1">C35</f>
        <v>14019</v>
      </c>
      <c r="D33" s="461">
        <f ca="1">C34</f>
        <v>0.1749</v>
      </c>
      <c r="E33" s="463" t="s">
        <v>488</v>
      </c>
      <c r="F33" s="473">
        <f ca="1">IF(B1="",'数据-取费表'!Q16,INDIRECT("'数据-取费表'!q"&amp;$K$1))</f>
        <v>0.17</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494</v>
      </c>
      <c r="C34" s="466">
        <f ca="1">ROUND((1+C25)*F33,4)</f>
        <v>0.1749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2816</v>
      </c>
      <c r="C35" s="1556">
        <f ca="1">ROUND((C18+C19+C20+C23+C24)*F33,0)</f>
        <v>14019</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313203</v>
      </c>
      <c r="D36" s="2543"/>
      <c r="E36" s="2543"/>
      <c r="F36" s="2543"/>
      <c r="G36" s="2542" t="s">
        <v>2817</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460</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463</v>
      </c>
      <c r="B7" s="429" t="s">
        <v>464</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467</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463</v>
      </c>
      <c r="B12" s="438" t="s">
        <v>464</v>
      </c>
      <c r="C12" s="439" t="s">
        <v>468</v>
      </c>
      <c r="D12" s="440" t="s">
        <v>469</v>
      </c>
      <c r="E12" s="440" t="s">
        <v>470</v>
      </c>
      <c r="F12" s="440" t="s">
        <v>471</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472</v>
      </c>
      <c r="C13" s="444">
        <f ca="1">IF(B1="",'数据-取费表'!M16,INDIRECT("'数据-取费表'!M"&amp;$K$1)+INDIRECT("'数据-取费表'!t"&amp;$K$1))</f>
        <v>61893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473</v>
      </c>
      <c r="C14" s="53">
        <f ca="1">ROUND(C13*F14,0)</f>
        <v>1857</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475</v>
      </c>
      <c r="C15" s="53">
        <f ca="1">ROUND(IF(B1="",SUMIF('数据-取费表'!C:C,"住宅",'数据-取费表'!M:M)*F15,IF(INDIRECT("'数据-取费表'!c"&amp;$K$1)="住宅",INDIRECT("'数据-取费表'!M"&amp;$K$1)*F15,0)),0)</f>
        <v>888</v>
      </c>
      <c r="D15" s="445"/>
      <c r="E15" s="363"/>
      <c r="F15" s="447">
        <f>'数据-取费表'!B34</f>
        <v>0.02</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477</v>
      </c>
      <c r="C16" s="53">
        <f ca="1">ROUND(D16*E16/10000,0)</f>
        <v>2096</v>
      </c>
      <c r="D16" s="445">
        <f ca="1">IF(B1="",'数据-汇总表'!E3,INDIRECT("'数据-取费表'!K"&amp;$K$1)+INDIRECT("'数据-取费表'!S"&amp;$K$1))</f>
        <v>104789.91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478</v>
      </c>
      <c r="C17" s="448">
        <f ca="1">ROUND(C13*F17,0)</f>
        <v>928</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480</v>
      </c>
      <c r="C18" s="454">
        <f ca="1">SUM(C13:C17)</f>
        <v>67662</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486</v>
      </c>
      <c r="C19" s="454">
        <f ca="1">ROUND(C18*F19,0)</f>
        <v>1353</v>
      </c>
      <c r="D19" s="456"/>
      <c r="E19" s="456"/>
      <c r="F19" s="460">
        <f>'数据-取费表'!B37</f>
        <v>0.02</v>
      </c>
      <c r="G19" s="438" t="s">
        <v>496</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497</v>
      </c>
      <c r="C20" s="2743">
        <f>F20</f>
        <v>0.02</v>
      </c>
      <c r="D20" s="463" t="s">
        <v>498</v>
      </c>
      <c r="E20" s="463"/>
      <c r="F20" s="480">
        <f>'数据-取费表'!B38</f>
        <v>0.02</v>
      </c>
      <c r="G20" s="1281" t="s">
        <v>499</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487</v>
      </c>
      <c r="C21" s="464">
        <f ca="1">C22</f>
        <v>3773</v>
      </c>
      <c r="D21" s="461">
        <f ca="1">C23</f>
        <v>1.1000000000000001E-3</v>
      </c>
      <c r="E21" s="463" t="s">
        <v>500</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3773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501</v>
      </c>
      <c r="C23" s="482">
        <f ca="1">ROUND(IF('数据-取费表'!B22&lt;=1,F20*F21*'数据-取费表'!B20/2,F20*(POWER((1+F21),'数据-取费表'!B20/2)-1)),4)</f>
        <v>1.1000000000000001E-3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2809</v>
      </c>
      <c r="C24" s="472">
        <f ca="1">C25</f>
        <v>11733</v>
      </c>
      <c r="D24" s="483">
        <f ca="1">C26</f>
        <v>3.3999999999999998E-3</v>
      </c>
      <c r="E24" s="463" t="s">
        <v>500</v>
      </c>
      <c r="F24" s="473">
        <f ca="1">IF(B1="",'数据-取费表'!Q16,INDIRECT("'数据-取费表'!q"&amp;$K$1))</f>
        <v>0.17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11733</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502</v>
      </c>
      <c r="C26" s="485">
        <f ca="1">ROUND(F20*F24,4)</f>
        <v>3.3999999999999998E-3</v>
      </c>
      <c r="D26" s="466"/>
      <c r="E26" s="475"/>
      <c r="F26" s="474"/>
      <c r="G26" s="1280" t="s">
        <v>503</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504</v>
      </c>
      <c r="C27" s="2744">
        <f>ROUND(F27/(1+'数据-取费表'!C42),4)</f>
        <v>5.33E-2</v>
      </c>
      <c r="D27" s="456" t="s">
        <v>2807</v>
      </c>
      <c r="E27" s="456"/>
      <c r="F27" s="460">
        <f>'数据-取费表'!B41</f>
        <v>5.6000000000000001E-2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505</v>
      </c>
      <c r="C28" s="464">
        <f ca="1">ROUND((C18+C19+C21+C24)/(1-C20-D21-D24-C27),0)</f>
        <v>91651</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506</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507</v>
      </c>
      <c r="C30" s="491">
        <f ca="1">ROUND(C28*C29,0)</f>
        <v>0</v>
      </c>
      <c r="D30" s="487"/>
      <c r="E30" s="492"/>
      <c r="F30" s="493"/>
      <c r="G30" s="1283" t="s">
        <v>508</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10" t="str">
        <f>项目基本情况!B1</f>
        <v>北京市朝阳区东坝北东南一期土地储备项目1104-611地块出让国有建设用地使用权抵押价格预评估</v>
      </c>
      <c r="C37" s="3310"/>
      <c r="D37" s="3310"/>
      <c r="E37" s="3310"/>
      <c r="F37" s="3310"/>
      <c r="G37" s="3310"/>
      <c r="H37" s="3310"/>
      <c r="I37" s="3310"/>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崔锴、郑燚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5" zoomScaleNormal="95" zoomScaleSheetLayoutView="85" workbookViewId="0">
      <selection activeCell="H72" sqref="H7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460</v>
      </c>
      <c r="B2" s="502">
        <f>F68</f>
        <v>323346</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f>ROUND(B2*10000/'数据-汇总表'!E3,0)</f>
        <v>30857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513</v>
      </c>
      <c r="B4" s="421">
        <f>IF(B48="单位面积地价",C50,ROUND(B2*10000/'数据-汇总表'!D3,0))</f>
        <v>121746</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8116</v>
      </c>
      <c r="C5" s="425" t="s">
        <v>462</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492" t="s">
        <v>515</v>
      </c>
      <c r="D6" s="3493"/>
      <c r="E6" s="3492" t="s">
        <v>516</v>
      </c>
      <c r="F6" s="3493"/>
      <c r="G6" s="3492" t="s">
        <v>517</v>
      </c>
      <c r="H6" s="3493"/>
      <c r="I6" s="3492" t="s">
        <v>518</v>
      </c>
      <c r="J6" s="3493"/>
      <c r="K6" s="508" t="s">
        <v>519</v>
      </c>
      <c r="L6" s="2015"/>
      <c r="M6" s="2014"/>
      <c r="N6" s="2014"/>
      <c r="O6" s="2016"/>
      <c r="P6" s="3494" t="s">
        <v>520</v>
      </c>
      <c r="Q6" s="3495"/>
      <c r="R6" s="3500" t="s">
        <v>516</v>
      </c>
      <c r="S6" s="3501"/>
      <c r="T6" s="3500" t="s">
        <v>517</v>
      </c>
      <c r="U6" s="3501"/>
      <c r="V6" s="3487" t="s">
        <v>518</v>
      </c>
      <c r="W6" s="3487"/>
      <c r="X6" s="1501"/>
      <c r="Y6" s="3500" t="s">
        <v>520</v>
      </c>
      <c r="Z6" s="3501"/>
      <c r="AA6" s="3489" t="s">
        <v>516</v>
      </c>
      <c r="AB6" s="3490" t="s">
        <v>517</v>
      </c>
      <c r="AC6" s="3489" t="s">
        <v>518</v>
      </c>
    </row>
    <row r="7" spans="1:30" ht="44.25" customHeight="1">
      <c r="A7" s="509"/>
      <c r="B7" s="510"/>
      <c r="C7" s="3510" t="str">
        <f>项目基本情况!F10</f>
        <v>朝阳区东坝北东南一期土地储备项目1104-611地块</v>
      </c>
      <c r="D7" s="3509"/>
      <c r="E7" s="3508" t="str">
        <f>土地案例!A3</f>
        <v>北京市朝阳区东坝乡东风村1104-613地块R2二类居住用地、1104-614地块A33基础教育用地</v>
      </c>
      <c r="F7" s="3509"/>
      <c r="G7" s="3508" t="str">
        <f>土地案例!A4</f>
        <v>北京市朝阳区金盏乡小店村3005-12地块R2二类居住用地、3005-14地块A33基础教育用地、3005-15地块A22文化活动用地、3005-17地块A8社区综合服务设施用地</v>
      </c>
      <c r="H7" s="3509"/>
      <c r="I7" s="3508" t="str">
        <f>土地案例!A11</f>
        <v>北京市朝阳区崔各庄乡2909-0603地块F1住宅混合公建用地</v>
      </c>
      <c r="J7" s="3509"/>
      <c r="K7" s="508"/>
      <c r="L7" s="2015"/>
      <c r="M7" s="2014"/>
      <c r="N7" s="2014"/>
      <c r="O7" s="2016"/>
      <c r="P7" s="3496"/>
      <c r="Q7" s="3497"/>
      <c r="R7" s="3502"/>
      <c r="S7" s="3503"/>
      <c r="T7" s="3502"/>
      <c r="U7" s="3503"/>
      <c r="V7" s="3487"/>
      <c r="W7" s="3487"/>
      <c r="X7" s="1501"/>
      <c r="Y7" s="3502"/>
      <c r="Z7" s="3503"/>
      <c r="AA7" s="3490"/>
      <c r="AB7" s="3490"/>
      <c r="AC7" s="3490"/>
    </row>
    <row r="8" spans="1:30" ht="21" thickBot="1">
      <c r="A8" s="509"/>
      <c r="B8" s="510"/>
      <c r="C8" s="3511" t="s">
        <v>2898</v>
      </c>
      <c r="D8" s="3512"/>
      <c r="E8" s="3511" t="s">
        <v>2898</v>
      </c>
      <c r="F8" s="3512"/>
      <c r="G8" s="3506" t="s">
        <v>2898</v>
      </c>
      <c r="H8" s="3507"/>
      <c r="I8" s="3506" t="s">
        <v>2898</v>
      </c>
      <c r="J8" s="3507"/>
      <c r="K8" s="508" t="s">
        <v>521</v>
      </c>
      <c r="L8" s="2015"/>
      <c r="M8" s="2014"/>
      <c r="N8" s="2014"/>
      <c r="O8" s="2016"/>
      <c r="P8" s="3498"/>
      <c r="Q8" s="3499"/>
      <c r="R8" s="3502"/>
      <c r="S8" s="3503"/>
      <c r="T8" s="3504"/>
      <c r="U8" s="3505"/>
      <c r="V8" s="3487"/>
      <c r="W8" s="3487"/>
      <c r="X8" s="1501"/>
      <c r="Y8" s="3504"/>
      <c r="Z8" s="3505"/>
      <c r="AA8" s="3491"/>
      <c r="AB8" s="3491"/>
      <c r="AC8" s="3491"/>
    </row>
    <row r="9" spans="1:30" s="1203" customFormat="1" ht="21" thickBot="1">
      <c r="A9" s="2629"/>
      <c r="B9" s="2636" t="s">
        <v>522</v>
      </c>
      <c r="C9" s="2628">
        <f>'数据-取费表'!B2</f>
        <v>44300</v>
      </c>
      <c r="D9" s="514">
        <v>100</v>
      </c>
      <c r="E9" s="515" t="str">
        <f>土地案例!AA3</f>
        <v>2020-05-15</v>
      </c>
      <c r="F9" s="516">
        <f>SUMIF(72:72,YEAR(E9)&amp;"-"&amp;INT((MONTH(E9)+2)/3),73:73)</f>
        <v>96</v>
      </c>
      <c r="G9" s="517" t="str">
        <f>土地案例!AA4</f>
        <v>2020-04-02</v>
      </c>
      <c r="H9" s="514">
        <f>SUMIF(72:72,YEAR(G9)&amp;"-"&amp;INT((MONTH(G9)+2)/3),73:73)</f>
        <v>96</v>
      </c>
      <c r="I9" s="517" t="str">
        <f>土地案例!AA11</f>
        <v>2018-10-31</v>
      </c>
      <c r="J9" s="514">
        <f>SUMIF(72:72,YEAR(I9)&amp;"-"&amp;INT((MONTH(I9)+2)/3),73:73)</f>
        <v>90</v>
      </c>
      <c r="K9" s="518"/>
      <c r="L9" s="2017"/>
      <c r="M9" s="2014"/>
      <c r="N9" s="2014"/>
      <c r="O9" s="2018"/>
      <c r="P9" s="3518" t="s">
        <v>523</v>
      </c>
      <c r="Q9" s="3520"/>
      <c r="R9" s="1502" t="s">
        <v>8</v>
      </c>
      <c r="S9" s="1503">
        <f t="shared" ref="S9:S17" si="0">F9</f>
        <v>96</v>
      </c>
      <c r="T9" s="1502" t="s">
        <v>8</v>
      </c>
      <c r="U9" s="1503">
        <f t="shared" ref="U9:U17" si="1">H9</f>
        <v>96</v>
      </c>
      <c r="V9" s="1502" t="s">
        <v>8</v>
      </c>
      <c r="W9" s="1503">
        <f t="shared" ref="W9:W17" si="2">J9</f>
        <v>90</v>
      </c>
      <c r="X9" s="1504"/>
      <c r="Y9" s="3518" t="s">
        <v>523</v>
      </c>
      <c r="Z9" s="3519"/>
      <c r="AA9" s="1505">
        <f>D9/F9</f>
        <v>1.0416666666666667</v>
      </c>
      <c r="AB9" s="1505">
        <f>D9/H9</f>
        <v>1.0416666666666667</v>
      </c>
      <c r="AC9" s="1505">
        <f>D9/J9</f>
        <v>1.1111111111111112</v>
      </c>
    </row>
    <row r="10" spans="1:30" s="1203" customFormat="1" ht="21" thickBot="1">
      <c r="A10" s="2630"/>
      <c r="B10" s="2637" t="s">
        <v>524</v>
      </c>
      <c r="C10" s="845" t="s">
        <v>525</v>
      </c>
      <c r="D10" s="514">
        <v>100</v>
      </c>
      <c r="E10" s="845" t="s">
        <v>525</v>
      </c>
      <c r="F10" s="516">
        <f>SUMIF(75:75,E10,76:76)-SUMIF(75:75,C10,76:76)+100</f>
        <v>100</v>
      </c>
      <c r="G10" s="845" t="s">
        <v>525</v>
      </c>
      <c r="H10" s="514">
        <f>SUMIF(75:75,G10,76:76)-SUMIF(75:75,C10,76:76)+100</f>
        <v>100</v>
      </c>
      <c r="I10" s="845" t="s">
        <v>525</v>
      </c>
      <c r="J10" s="514">
        <f>SUMIF(75:75,I10,76:76)-SUMIF(75:75,C10,76:76)+100</f>
        <v>100</v>
      </c>
      <c r="K10" s="518"/>
      <c r="L10" s="2017"/>
      <c r="M10" s="2014"/>
      <c r="N10" s="2014"/>
      <c r="O10" s="2018"/>
      <c r="P10" s="3518" t="s">
        <v>526</v>
      </c>
      <c r="Q10" s="3519"/>
      <c r="R10" s="1502" t="s">
        <v>8</v>
      </c>
      <c r="S10" s="1503">
        <f t="shared" si="0"/>
        <v>100</v>
      </c>
      <c r="T10" s="1502" t="s">
        <v>8</v>
      </c>
      <c r="U10" s="1503">
        <f t="shared" si="1"/>
        <v>100</v>
      </c>
      <c r="V10" s="1502" t="s">
        <v>8</v>
      </c>
      <c r="W10" s="1503">
        <f t="shared" si="2"/>
        <v>100</v>
      </c>
      <c r="X10" s="1504"/>
      <c r="Y10" s="3518" t="s">
        <v>526</v>
      </c>
      <c r="Z10" s="3519"/>
      <c r="AA10" s="1505">
        <f t="shared" ref="AA10:AA47" si="3">D10/F10</f>
        <v>1</v>
      </c>
      <c r="AB10" s="1505">
        <f t="shared" ref="AB10:AB47" si="4">D10/H10</f>
        <v>1</v>
      </c>
      <c r="AC10" s="1505">
        <f t="shared" ref="AC10:AC47" si="5">D10/J10</f>
        <v>1</v>
      </c>
    </row>
    <row r="11" spans="1:30" s="1203" customFormat="1" ht="20.25">
      <c r="A11" s="2631"/>
      <c r="B11" s="2638" t="s">
        <v>2734</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486" t="s">
        <v>528</v>
      </c>
      <c r="Q11" s="1134" t="str">
        <f t="shared" ref="Q11:Q17" si="6">B11</f>
        <v>用途</v>
      </c>
      <c r="R11" s="1502" t="s">
        <v>8</v>
      </c>
      <c r="S11" s="1503">
        <f t="shared" si="0"/>
        <v>100</v>
      </c>
      <c r="T11" s="1502" t="s">
        <v>8</v>
      </c>
      <c r="U11" s="1503">
        <f t="shared" si="1"/>
        <v>100</v>
      </c>
      <c r="V11" s="1502" t="s">
        <v>8</v>
      </c>
      <c r="W11" s="1503">
        <f t="shared" si="2"/>
        <v>100</v>
      </c>
      <c r="X11" s="1504"/>
      <c r="Y11" s="3432" t="s">
        <v>529</v>
      </c>
      <c r="Z11" s="1133" t="str">
        <f t="shared" ref="Z11:Z17" si="7">Q11</f>
        <v>用途</v>
      </c>
      <c r="AA11" s="1505">
        <f t="shared" si="3"/>
        <v>1</v>
      </c>
      <c r="AB11" s="1505">
        <f t="shared" si="4"/>
        <v>1</v>
      </c>
      <c r="AC11" s="1505">
        <f t="shared" si="5"/>
        <v>1</v>
      </c>
    </row>
    <row r="12" spans="1:30" s="1292" customFormat="1" ht="27">
      <c r="A12" s="2632"/>
      <c r="B12" s="2637" t="s">
        <v>2735</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86"/>
      <c r="Q12" s="1134" t="str">
        <f t="shared" si="6"/>
        <v>土地使用年限（年）</v>
      </c>
      <c r="R12" s="1502" t="s">
        <v>8</v>
      </c>
      <c r="S12" s="1503">
        <f t="shared" si="0"/>
        <v>100</v>
      </c>
      <c r="T12" s="1502" t="s">
        <v>8</v>
      </c>
      <c r="U12" s="1503">
        <f t="shared" si="1"/>
        <v>100</v>
      </c>
      <c r="V12" s="1502" t="s">
        <v>8</v>
      </c>
      <c r="W12" s="1503">
        <f t="shared" si="2"/>
        <v>100</v>
      </c>
      <c r="X12" s="1504"/>
      <c r="Y12" s="3432"/>
      <c r="Z12" s="1133" t="str">
        <f t="shared" si="7"/>
        <v>土地使用年限（年）</v>
      </c>
      <c r="AA12" s="1505">
        <f t="shared" si="3"/>
        <v>1</v>
      </c>
      <c r="AB12" s="1505">
        <f t="shared" si="4"/>
        <v>1</v>
      </c>
      <c r="AC12" s="1505">
        <f t="shared" si="5"/>
        <v>1</v>
      </c>
    </row>
    <row r="13" spans="1:30" ht="20.25">
      <c r="A13" s="2633"/>
      <c r="B13" s="2637" t="s">
        <v>2736</v>
      </c>
      <c r="C13" s="528">
        <f>'数据-汇总表'!I4</f>
        <v>2.8</v>
      </c>
      <c r="D13" s="253">
        <v>100</v>
      </c>
      <c r="E13" s="527">
        <v>2.8</v>
      </c>
      <c r="F13" s="253">
        <f>LOOKUP(E13,82:82,83:83)-LOOKUP(C13,82:82,83:83)+100</f>
        <v>100</v>
      </c>
      <c r="G13" s="528">
        <v>1.5</v>
      </c>
      <c r="H13" s="253">
        <f>LOOKUP(G13,82:82,83:83)-LOOKUP(C13,82:82,83:83)+100</f>
        <v>103</v>
      </c>
      <c r="I13" s="527">
        <v>3</v>
      </c>
      <c r="J13" s="253">
        <f>LOOKUP(I13,82:82,83:83)-LOOKUP(C13,82:82,83:83)+100</f>
        <v>97</v>
      </c>
      <c r="K13" s="529">
        <v>3</v>
      </c>
      <c r="L13" s="2022"/>
      <c r="M13" s="2014"/>
      <c r="N13" s="2014"/>
      <c r="O13" s="2023"/>
      <c r="P13" s="3486"/>
      <c r="Q13" s="1134" t="str">
        <f t="shared" si="6"/>
        <v>容积率</v>
      </c>
      <c r="R13" s="1502" t="s">
        <v>8</v>
      </c>
      <c r="S13" s="1503">
        <f t="shared" si="0"/>
        <v>100</v>
      </c>
      <c r="T13" s="1502" t="s">
        <v>8</v>
      </c>
      <c r="U13" s="1503">
        <f t="shared" si="1"/>
        <v>103</v>
      </c>
      <c r="V13" s="1502" t="s">
        <v>8</v>
      </c>
      <c r="W13" s="1503">
        <f t="shared" si="2"/>
        <v>97</v>
      </c>
      <c r="X13" s="1504"/>
      <c r="Y13" s="3432"/>
      <c r="Z13" s="1133" t="str">
        <f t="shared" si="7"/>
        <v>容积率</v>
      </c>
      <c r="AA13" s="1505">
        <f t="shared" si="3"/>
        <v>1</v>
      </c>
      <c r="AB13" s="1505">
        <f t="shared" si="4"/>
        <v>0.970873786407767</v>
      </c>
      <c r="AC13" s="1505">
        <f t="shared" si="5"/>
        <v>1.0309278350515463</v>
      </c>
    </row>
    <row r="14" spans="1:30" s="1203" customFormat="1" ht="20.25">
      <c r="A14" s="2630"/>
      <c r="B14" s="2639" t="s">
        <v>2737</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6"/>
      <c r="Q14" s="1134" t="str">
        <f t="shared" si="6"/>
        <v>配建</v>
      </c>
      <c r="R14" s="1502" t="s">
        <v>8</v>
      </c>
      <c r="S14" s="1503">
        <f t="shared" si="0"/>
        <v>100</v>
      </c>
      <c r="T14" s="1502" t="s">
        <v>8</v>
      </c>
      <c r="U14" s="1503">
        <f t="shared" si="1"/>
        <v>100</v>
      </c>
      <c r="V14" s="1502" t="s">
        <v>8</v>
      </c>
      <c r="W14" s="1503">
        <f t="shared" si="2"/>
        <v>100</v>
      </c>
      <c r="X14" s="1504"/>
      <c r="Y14" s="3432"/>
      <c r="Z14" s="1133" t="str">
        <f t="shared" si="7"/>
        <v>配建</v>
      </c>
      <c r="AA14" s="1505">
        <f>D14/F14</f>
        <v>1</v>
      </c>
      <c r="AB14" s="1505">
        <f>D14/H14</f>
        <v>1</v>
      </c>
      <c r="AC14" s="1505">
        <f>D14/J14</f>
        <v>1</v>
      </c>
    </row>
    <row r="15" spans="1:30" ht="20.25">
      <c r="A15" s="2634"/>
      <c r="B15" s="3296" t="s">
        <v>3523</v>
      </c>
      <c r="C15" s="3303">
        <v>0.04</v>
      </c>
      <c r="D15" s="534">
        <v>100</v>
      </c>
      <c r="E15" s="3304">
        <v>0</v>
      </c>
      <c r="F15" s="253">
        <f>SUMIF(86:86,E15,87:87)-SUMIF(86:86,C15,87:87)+100</f>
        <v>101</v>
      </c>
      <c r="G15" s="3305">
        <v>0</v>
      </c>
      <c r="H15" s="534">
        <f>SUMIF(86:86,G15,87:87)-SUMIF(86:86,C15,87:87)+100</f>
        <v>101</v>
      </c>
      <c r="I15" s="3305">
        <v>0</v>
      </c>
      <c r="J15" s="534">
        <f>SUMIF(86:86,I15,87:87)-SUMIF(86:86,C15,87:87)+100</f>
        <v>101</v>
      </c>
      <c r="K15" s="525"/>
      <c r="L15" s="2024"/>
      <c r="M15" s="2014"/>
      <c r="N15" s="2014"/>
      <c r="O15" s="2023"/>
      <c r="P15" s="3486"/>
      <c r="Q15" s="1134" t="str">
        <f t="shared" si="6"/>
        <v>自持比例</v>
      </c>
      <c r="R15" s="1502" t="s">
        <v>8</v>
      </c>
      <c r="S15" s="1503">
        <f t="shared" si="0"/>
        <v>101</v>
      </c>
      <c r="T15" s="1502" t="s">
        <v>8</v>
      </c>
      <c r="U15" s="1503">
        <f t="shared" si="1"/>
        <v>101</v>
      </c>
      <c r="V15" s="1502" t="s">
        <v>8</v>
      </c>
      <c r="W15" s="1503">
        <f t="shared" si="2"/>
        <v>101</v>
      </c>
      <c r="X15" s="1504"/>
      <c r="Y15" s="3432"/>
      <c r="Z15" s="1133" t="str">
        <f t="shared" si="7"/>
        <v>自持比例</v>
      </c>
      <c r="AA15" s="1505">
        <f>D15/F15</f>
        <v>0.99009900990099009</v>
      </c>
      <c r="AB15" s="1505">
        <f>D15/H15</f>
        <v>0.99009900990099009</v>
      </c>
      <c r="AC15" s="1505">
        <f>D15/J15</f>
        <v>0.99009900990099009</v>
      </c>
    </row>
    <row r="16" spans="1:30" ht="21" thickBot="1">
      <c r="A16" s="2635"/>
      <c r="B16" s="3298" t="s">
        <v>3524</v>
      </c>
      <c r="C16" s="3302" t="s">
        <v>3525</v>
      </c>
      <c r="D16" s="540">
        <v>100</v>
      </c>
      <c r="E16" s="3302" t="s">
        <v>3525</v>
      </c>
      <c r="F16" s="540">
        <f>SUMIF(88:88,E16,89:89)-SUMIF(88:88,C16,89:89)+100</f>
        <v>100</v>
      </c>
      <c r="G16" s="3302" t="s">
        <v>3526</v>
      </c>
      <c r="H16" s="540">
        <f>SUMIF(88:88,G16,89:89)-SUMIF(88:88,C16,89:89)+100</f>
        <v>103</v>
      </c>
      <c r="I16" s="3302" t="s">
        <v>3525</v>
      </c>
      <c r="J16" s="540">
        <f>SUMIF(88:88,I16,89:89)-SUMIF(88:88,C16,89:89)+100</f>
        <v>100</v>
      </c>
      <c r="K16" s="525"/>
      <c r="L16" s="2024"/>
      <c r="M16" s="2014"/>
      <c r="N16" s="2014"/>
      <c r="O16" s="2023"/>
      <c r="P16" s="3486"/>
      <c r="Q16" s="1134" t="str">
        <f t="shared" si="6"/>
        <v>是否限价</v>
      </c>
      <c r="R16" s="1502" t="s">
        <v>8</v>
      </c>
      <c r="S16" s="1503">
        <f t="shared" si="0"/>
        <v>100</v>
      </c>
      <c r="T16" s="1502" t="s">
        <v>8</v>
      </c>
      <c r="U16" s="1503">
        <f t="shared" si="1"/>
        <v>103</v>
      </c>
      <c r="V16" s="1502" t="s">
        <v>8</v>
      </c>
      <c r="W16" s="1503">
        <f t="shared" si="2"/>
        <v>100</v>
      </c>
      <c r="X16" s="1504"/>
      <c r="Y16" s="3432"/>
      <c r="Z16" s="1133" t="str">
        <f t="shared" si="7"/>
        <v>是否限价</v>
      </c>
      <c r="AA16" s="1505">
        <f>D16/F16</f>
        <v>1</v>
      </c>
      <c r="AB16" s="1505">
        <f>D16/H16</f>
        <v>0.970873786407767</v>
      </c>
      <c r="AC16" s="1505">
        <f>D16/J16</f>
        <v>1</v>
      </c>
    </row>
    <row r="17" spans="1:29" ht="99.75">
      <c r="A17" s="2627" t="s">
        <v>2732</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100</v>
      </c>
      <c r="K17" s="529">
        <v>2</v>
      </c>
      <c r="L17" s="2024"/>
      <c r="M17" s="2014"/>
      <c r="N17" s="2014"/>
      <c r="O17" s="2023"/>
      <c r="P17" s="3521" t="s">
        <v>533</v>
      </c>
      <c r="Q17" s="1506" t="str">
        <f t="shared" si="6"/>
        <v>居住社区成熟度</v>
      </c>
      <c r="R17" s="1507" t="s">
        <v>8</v>
      </c>
      <c r="S17" s="1508">
        <f t="shared" si="0"/>
        <v>100</v>
      </c>
      <c r="T17" s="1507" t="s">
        <v>8</v>
      </c>
      <c r="U17" s="1508">
        <f t="shared" si="1"/>
        <v>102</v>
      </c>
      <c r="V17" s="1507" t="s">
        <v>8</v>
      </c>
      <c r="W17" s="1508">
        <f t="shared" si="2"/>
        <v>100</v>
      </c>
      <c r="X17" s="1501"/>
      <c r="Y17" s="3521" t="s">
        <v>533</v>
      </c>
      <c r="Z17" s="1509" t="str">
        <f t="shared" si="7"/>
        <v>居住社区成熟度</v>
      </c>
      <c r="AA17" s="1510">
        <f t="shared" si="3"/>
        <v>1</v>
      </c>
      <c r="AB17" s="1510">
        <f t="shared" si="4"/>
        <v>0.98039215686274506</v>
      </c>
      <c r="AC17" s="1510">
        <f t="shared" si="5"/>
        <v>1</v>
      </c>
    </row>
    <row r="18" spans="1:29" ht="20.25">
      <c r="A18" s="526"/>
      <c r="B18" s="547"/>
      <c r="C18" s="548" t="s">
        <v>3510</v>
      </c>
      <c r="D18" s="551"/>
      <c r="E18" s="552" t="s">
        <v>3510</v>
      </c>
      <c r="F18" s="549"/>
      <c r="G18" s="550" t="s">
        <v>3511</v>
      </c>
      <c r="H18" s="553"/>
      <c r="I18" s="552" t="s">
        <v>3510</v>
      </c>
      <c r="J18" s="549"/>
      <c r="K18" s="525"/>
      <c r="L18" s="2024"/>
      <c r="M18" s="2014"/>
      <c r="N18" s="2014"/>
      <c r="O18" s="2023"/>
      <c r="P18" s="3522"/>
      <c r="Q18" s="1506"/>
      <c r="R18" s="1507"/>
      <c r="S18" s="1508"/>
      <c r="T18" s="1507"/>
      <c r="U18" s="1508"/>
      <c r="V18" s="1507"/>
      <c r="W18" s="1508"/>
      <c r="X18" s="1501"/>
      <c r="Y18" s="3522"/>
      <c r="Z18" s="1509"/>
      <c r="AA18" s="1510">
        <v>1</v>
      </c>
      <c r="AB18" s="1510">
        <v>1</v>
      </c>
      <c r="AC18" s="1510">
        <v>1</v>
      </c>
    </row>
    <row r="19" spans="1:29" ht="71.25" hidden="1">
      <c r="A19" s="526"/>
      <c r="B19" s="554" t="s">
        <v>534</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2"/>
      <c r="Q19" s="1506" t="str">
        <f>B19</f>
        <v>商业繁华度</v>
      </c>
      <c r="R19" s="1507" t="s">
        <v>8</v>
      </c>
      <c r="S19" s="1508">
        <f>F19</f>
        <v>100</v>
      </c>
      <c r="T19" s="1507" t="s">
        <v>8</v>
      </c>
      <c r="U19" s="1508">
        <f>H19</f>
        <v>100</v>
      </c>
      <c r="V19" s="1507" t="s">
        <v>8</v>
      </c>
      <c r="W19" s="1508">
        <f>J19</f>
        <v>100</v>
      </c>
      <c r="X19" s="1501"/>
      <c r="Y19" s="3522"/>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22"/>
      <c r="Q20" s="1506"/>
      <c r="R20" s="1507"/>
      <c r="S20" s="1508"/>
      <c r="T20" s="1507"/>
      <c r="U20" s="1508"/>
      <c r="V20" s="1507"/>
      <c r="W20" s="1508"/>
      <c r="X20" s="1501"/>
      <c r="Y20" s="3522"/>
      <c r="Z20" s="1509"/>
      <c r="AA20" s="1510">
        <v>1</v>
      </c>
      <c r="AB20" s="1510">
        <v>1</v>
      </c>
      <c r="AC20" s="1510">
        <v>1</v>
      </c>
    </row>
    <row r="21" spans="1:29" ht="71.25" hidden="1">
      <c r="A21" s="526"/>
      <c r="B21" s="554" t="s">
        <v>535</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2"/>
      <c r="Q21" s="1506" t="str">
        <f>B21</f>
        <v>办公集聚程度</v>
      </c>
      <c r="R21" s="1507" t="s">
        <v>8</v>
      </c>
      <c r="S21" s="1508">
        <f>F21</f>
        <v>100</v>
      </c>
      <c r="T21" s="1507" t="s">
        <v>8</v>
      </c>
      <c r="U21" s="1508">
        <f>H21</f>
        <v>100</v>
      </c>
      <c r="V21" s="1507" t="s">
        <v>8</v>
      </c>
      <c r="W21" s="1508">
        <f>J21</f>
        <v>100</v>
      </c>
      <c r="X21" s="1501"/>
      <c r="Y21" s="3522"/>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22"/>
      <c r="Q22" s="1506"/>
      <c r="R22" s="1507"/>
      <c r="S22" s="1508"/>
      <c r="T22" s="1507"/>
      <c r="U22" s="1508"/>
      <c r="V22" s="1507"/>
      <c r="W22" s="1508"/>
      <c r="X22" s="1501"/>
      <c r="Y22" s="3522"/>
      <c r="Z22" s="1509"/>
      <c r="AA22" s="1510">
        <v>1</v>
      </c>
      <c r="AB22" s="1510">
        <v>1</v>
      </c>
      <c r="AC22" s="1510">
        <v>1</v>
      </c>
    </row>
    <row r="23" spans="1:29" ht="85.5">
      <c r="A23" s="526"/>
      <c r="B23" s="554" t="s">
        <v>536</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102</v>
      </c>
      <c r="K23" s="529">
        <v>2</v>
      </c>
      <c r="L23" s="2024"/>
      <c r="M23" s="2014"/>
      <c r="N23" s="2014"/>
      <c r="O23" s="2023"/>
      <c r="P23" s="3522"/>
      <c r="Q23" s="1506" t="str">
        <f>B23</f>
        <v>交通便捷度</v>
      </c>
      <c r="R23" s="1507" t="s">
        <v>8</v>
      </c>
      <c r="S23" s="1508">
        <f>F23</f>
        <v>100</v>
      </c>
      <c r="T23" s="1507" t="s">
        <v>8</v>
      </c>
      <c r="U23" s="1508">
        <f>H23</f>
        <v>100</v>
      </c>
      <c r="V23" s="1507" t="s">
        <v>8</v>
      </c>
      <c r="W23" s="1508">
        <f>J23</f>
        <v>102</v>
      </c>
      <c r="X23" s="1501"/>
      <c r="Y23" s="3522"/>
      <c r="Z23" s="1509" t="str">
        <f>Q23</f>
        <v>交通便捷度</v>
      </c>
      <c r="AA23" s="1510">
        <f t="shared" si="3"/>
        <v>1</v>
      </c>
      <c r="AB23" s="1510">
        <f t="shared" si="4"/>
        <v>1</v>
      </c>
      <c r="AC23" s="1510">
        <f t="shared" si="5"/>
        <v>0.98039215686274506</v>
      </c>
    </row>
    <row r="24" spans="1:29" ht="20.25">
      <c r="A24" s="526"/>
      <c r="B24" s="572"/>
      <c r="C24" s="548" t="s">
        <v>3510</v>
      </c>
      <c r="D24" s="551"/>
      <c r="E24" s="552" t="s">
        <v>3510</v>
      </c>
      <c r="F24" s="549"/>
      <c r="G24" s="550" t="s">
        <v>3510</v>
      </c>
      <c r="H24" s="549"/>
      <c r="I24" s="552" t="s">
        <v>3511</v>
      </c>
      <c r="J24" s="549"/>
      <c r="K24" s="525"/>
      <c r="L24" s="2024"/>
      <c r="M24" s="2014"/>
      <c r="N24" s="2014"/>
      <c r="O24" s="2023"/>
      <c r="P24" s="3522"/>
      <c r="Q24" s="1506"/>
      <c r="R24" s="1507"/>
      <c r="S24" s="1508"/>
      <c r="T24" s="1507"/>
      <c r="U24" s="1508"/>
      <c r="V24" s="1507"/>
      <c r="W24" s="1508"/>
      <c r="X24" s="1501"/>
      <c r="Y24" s="3522"/>
      <c r="Z24" s="1509"/>
      <c r="AA24" s="1510">
        <v>1</v>
      </c>
      <c r="AB24" s="1510">
        <v>1</v>
      </c>
      <c r="AC24" s="1510">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22"/>
      <c r="Q25" s="1506" t="str">
        <f t="shared" ref="Q25:Q39" si="8">B25</f>
        <v>区域土地利用方向</v>
      </c>
      <c r="R25" s="1507" t="s">
        <v>8</v>
      </c>
      <c r="S25" s="1508">
        <f>F25</f>
        <v>100</v>
      </c>
      <c r="T25" s="1507" t="s">
        <v>8</v>
      </c>
      <c r="U25" s="1508">
        <f>H25</f>
        <v>100</v>
      </c>
      <c r="V25" s="1507" t="s">
        <v>8</v>
      </c>
      <c r="W25" s="1508">
        <f>J25</f>
        <v>100</v>
      </c>
      <c r="X25" s="1501"/>
      <c r="Y25" s="3522"/>
      <c r="Z25" s="1509" t="str">
        <f>Q25</f>
        <v>区域土地利用方向</v>
      </c>
      <c r="AA25" s="1510">
        <f t="shared" si="3"/>
        <v>1</v>
      </c>
      <c r="AB25" s="1510">
        <f t="shared" si="4"/>
        <v>1</v>
      </c>
      <c r="AC25" s="1510">
        <f t="shared" si="5"/>
        <v>1</v>
      </c>
    </row>
    <row r="26" spans="1:29" ht="20.25">
      <c r="A26" s="509"/>
      <c r="B26" s="994"/>
      <c r="C26" s="548" t="s">
        <v>3510</v>
      </c>
      <c r="D26" s="551"/>
      <c r="E26" s="548" t="s">
        <v>3510</v>
      </c>
      <c r="F26" s="549"/>
      <c r="G26" s="548" t="s">
        <v>3510</v>
      </c>
      <c r="H26" s="549"/>
      <c r="I26" s="548" t="s">
        <v>3510</v>
      </c>
      <c r="J26" s="549"/>
      <c r="K26" s="525"/>
      <c r="L26" s="2024"/>
      <c r="M26" s="2014"/>
      <c r="N26" s="2014"/>
      <c r="O26" s="2023"/>
      <c r="P26" s="3522"/>
      <c r="Q26" s="1506"/>
      <c r="R26" s="1507"/>
      <c r="S26" s="1508"/>
      <c r="T26" s="1507"/>
      <c r="U26" s="1508"/>
      <c r="V26" s="1507"/>
      <c r="W26" s="1508"/>
      <c r="X26" s="1501"/>
      <c r="Y26" s="3522"/>
      <c r="Z26" s="1509"/>
      <c r="AA26" s="1510"/>
      <c r="AB26" s="1510"/>
      <c r="AC26" s="1510"/>
    </row>
    <row r="27" spans="1:29" ht="57">
      <c r="A27" s="509"/>
      <c r="B27" s="572" t="s">
        <v>538</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22"/>
      <c r="Q27" s="1506" t="str">
        <f t="shared" si="8"/>
        <v>自然及人文环境状况</v>
      </c>
      <c r="R27" s="1507" t="s">
        <v>8</v>
      </c>
      <c r="S27" s="1508">
        <f>F27</f>
        <v>100</v>
      </c>
      <c r="T27" s="1507" t="s">
        <v>8</v>
      </c>
      <c r="U27" s="1508">
        <f>H27</f>
        <v>100</v>
      </c>
      <c r="V27" s="1507" t="s">
        <v>8</v>
      </c>
      <c r="W27" s="1508">
        <f>J27</f>
        <v>100</v>
      </c>
      <c r="X27" s="1501"/>
      <c r="Y27" s="3522"/>
      <c r="Z27" s="1509" t="str">
        <f>Q27</f>
        <v>自然及人文环境状况</v>
      </c>
      <c r="AA27" s="1510">
        <f t="shared" si="3"/>
        <v>1</v>
      </c>
      <c r="AB27" s="1510">
        <f t="shared" si="4"/>
        <v>1</v>
      </c>
      <c r="AC27" s="1510">
        <f t="shared" si="5"/>
        <v>1</v>
      </c>
    </row>
    <row r="28" spans="1:29" ht="20.25">
      <c r="A28" s="509"/>
      <c r="B28" s="560"/>
      <c r="C28" s="548" t="s">
        <v>3510</v>
      </c>
      <c r="D28" s="551"/>
      <c r="E28" s="548" t="s">
        <v>3510</v>
      </c>
      <c r="F28" s="549"/>
      <c r="G28" s="548" t="s">
        <v>3510</v>
      </c>
      <c r="H28" s="549"/>
      <c r="I28" s="548" t="s">
        <v>3510</v>
      </c>
      <c r="J28" s="549"/>
      <c r="K28" s="525"/>
      <c r="L28" s="2024"/>
      <c r="M28" s="2014"/>
      <c r="N28" s="2014"/>
      <c r="O28" s="2023"/>
      <c r="P28" s="3522"/>
      <c r="Q28" s="1506"/>
      <c r="R28" s="1507"/>
      <c r="S28" s="1508"/>
      <c r="T28" s="1507"/>
      <c r="U28" s="1508"/>
      <c r="V28" s="1507"/>
      <c r="W28" s="1508"/>
      <c r="X28" s="1501"/>
      <c r="Y28" s="3522"/>
      <c r="Z28" s="1509"/>
      <c r="AA28" s="1510">
        <v>1</v>
      </c>
      <c r="AB28" s="1510">
        <v>1</v>
      </c>
      <c r="AC28" s="1510">
        <v>1</v>
      </c>
    </row>
    <row r="29" spans="1:29" s="1203"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22"/>
      <c r="Q29" s="1134" t="str">
        <f t="shared" si="8"/>
        <v>公共配套设施</v>
      </c>
      <c r="R29" s="1502" t="s">
        <v>8</v>
      </c>
      <c r="S29" s="1503">
        <f>F29</f>
        <v>100</v>
      </c>
      <c r="T29" s="1502" t="s">
        <v>8</v>
      </c>
      <c r="U29" s="1503">
        <f>H29</f>
        <v>100</v>
      </c>
      <c r="V29" s="1502" t="s">
        <v>8</v>
      </c>
      <c r="W29" s="1503">
        <f>J29</f>
        <v>100</v>
      </c>
      <c r="X29" s="1504"/>
      <c r="Y29" s="3522"/>
      <c r="Z29" s="1133" t="str">
        <f>Q29</f>
        <v>公共配套设施</v>
      </c>
      <c r="AA29" s="1510">
        <f>D29/F29</f>
        <v>1</v>
      </c>
      <c r="AB29" s="1510">
        <f>D29/H29</f>
        <v>1</v>
      </c>
      <c r="AC29" s="1510">
        <f>D29/J29</f>
        <v>1</v>
      </c>
    </row>
    <row r="30" spans="1:29" s="1203" customFormat="1" ht="20.25">
      <c r="A30" s="571"/>
      <c r="B30" s="560"/>
      <c r="C30" s="573" t="s">
        <v>3510</v>
      </c>
      <c r="D30" s="551"/>
      <c r="E30" s="573" t="s">
        <v>3510</v>
      </c>
      <c r="F30" s="549"/>
      <c r="G30" s="573" t="s">
        <v>3510</v>
      </c>
      <c r="H30" s="549"/>
      <c r="I30" s="573" t="s">
        <v>3510</v>
      </c>
      <c r="J30" s="549"/>
      <c r="K30" s="525"/>
      <c r="L30" s="2017"/>
      <c r="M30" s="2014"/>
      <c r="N30" s="2014"/>
      <c r="O30" s="2019"/>
      <c r="P30" s="3522"/>
      <c r="Q30" s="1134"/>
      <c r="R30" s="1502"/>
      <c r="S30" s="1503"/>
      <c r="T30" s="1502"/>
      <c r="U30" s="1503"/>
      <c r="V30" s="1502"/>
      <c r="W30" s="1503"/>
      <c r="X30" s="1504"/>
      <c r="Y30" s="3522"/>
      <c r="Z30" s="1133"/>
      <c r="AA30" s="1510">
        <v>1</v>
      </c>
      <c r="AB30" s="1510">
        <v>1</v>
      </c>
      <c r="AC30" s="1510">
        <v>1</v>
      </c>
    </row>
    <row r="31" spans="1:29" s="1203"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522"/>
      <c r="Q31" s="2428" t="str">
        <f t="shared" ref="Q31" si="9">B31</f>
        <v>基础设施水平</v>
      </c>
      <c r="R31" s="1502" t="s">
        <v>8</v>
      </c>
      <c r="S31" s="1503">
        <f>F31</f>
        <v>100</v>
      </c>
      <c r="T31" s="1502" t="s">
        <v>8</v>
      </c>
      <c r="U31" s="1503">
        <f>H31</f>
        <v>100</v>
      </c>
      <c r="V31" s="1502" t="s">
        <v>8</v>
      </c>
      <c r="W31" s="1503">
        <f>J31</f>
        <v>100</v>
      </c>
      <c r="X31" s="1504"/>
      <c r="Y31" s="3522"/>
      <c r="Z31" s="2427" t="str">
        <f>Q31</f>
        <v>基础设施水平</v>
      </c>
      <c r="AA31" s="1510">
        <f>D31/F31</f>
        <v>1</v>
      </c>
      <c r="AB31" s="1510">
        <f>D31/H31</f>
        <v>1</v>
      </c>
      <c r="AC31" s="1510">
        <f>D31/J31</f>
        <v>1</v>
      </c>
    </row>
    <row r="32" spans="1:29" s="1203" customFormat="1" ht="20.25">
      <c r="A32" s="571"/>
      <c r="B32" s="560"/>
      <c r="C32" s="573" t="s">
        <v>3512</v>
      </c>
      <c r="D32" s="551"/>
      <c r="E32" s="573" t="s">
        <v>3512</v>
      </c>
      <c r="F32" s="549"/>
      <c r="G32" s="573" t="s">
        <v>3512</v>
      </c>
      <c r="H32" s="549"/>
      <c r="I32" s="573" t="s">
        <v>3512</v>
      </c>
      <c r="J32" s="549"/>
      <c r="K32" s="525"/>
      <c r="L32" s="2017"/>
      <c r="M32" s="2014"/>
      <c r="N32" s="2014"/>
      <c r="O32" s="2019"/>
      <c r="P32" s="3522"/>
      <c r="Q32" s="2428"/>
      <c r="R32" s="1502"/>
      <c r="S32" s="1503"/>
      <c r="T32" s="1502"/>
      <c r="U32" s="1503"/>
      <c r="V32" s="1502"/>
      <c r="W32" s="1503"/>
      <c r="X32" s="1504"/>
      <c r="Y32" s="3522"/>
      <c r="Z32" s="2427"/>
      <c r="AA32" s="1510">
        <v>1</v>
      </c>
      <c r="AB32" s="1510">
        <v>1</v>
      </c>
      <c r="AC32" s="1510">
        <v>1</v>
      </c>
    </row>
    <row r="33" spans="1:29" ht="20.25">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2"/>
      <c r="Z33" s="1509" t="str">
        <f t="shared" ref="Z33:Z47" si="13">Q33</f>
        <v>临街状况</v>
      </c>
      <c r="AA33" s="1510">
        <f t="shared" si="3"/>
        <v>1</v>
      </c>
      <c r="AB33" s="1510">
        <f t="shared" si="4"/>
        <v>1</v>
      </c>
      <c r="AC33" s="1510">
        <f t="shared" si="5"/>
        <v>1</v>
      </c>
    </row>
    <row r="34" spans="1:29" ht="27">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2"/>
      <c r="Q34" s="1506" t="str">
        <f t="shared" si="8"/>
        <v>毗邻道路的类型与等级</v>
      </c>
      <c r="R34" s="1507" t="s">
        <v>8</v>
      </c>
      <c r="S34" s="1508">
        <f t="shared" si="10"/>
        <v>100</v>
      </c>
      <c r="T34" s="1507" t="s">
        <v>8</v>
      </c>
      <c r="U34" s="1508">
        <f t="shared" si="11"/>
        <v>100</v>
      </c>
      <c r="V34" s="1507" t="s">
        <v>8</v>
      </c>
      <c r="W34" s="1508">
        <f t="shared" si="12"/>
        <v>100</v>
      </c>
      <c r="X34" s="1501"/>
      <c r="Y34" s="3522"/>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22"/>
      <c r="Q35" s="1506"/>
      <c r="R35" s="1507"/>
      <c r="S35" s="1508"/>
      <c r="T35" s="1507"/>
      <c r="U35" s="1508"/>
      <c r="V35" s="1507"/>
      <c r="W35" s="1508"/>
      <c r="X35" s="1501"/>
      <c r="Y35" s="3522"/>
      <c r="Z35" s="1509"/>
      <c r="AA35" s="1510">
        <v>1</v>
      </c>
      <c r="AB35" s="1510">
        <v>1</v>
      </c>
      <c r="AC35" s="1510">
        <v>1</v>
      </c>
    </row>
    <row r="36" spans="1:29" ht="20.25">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2"/>
      <c r="Q36" s="1506" t="str">
        <f t="shared" si="8"/>
        <v>土地级别</v>
      </c>
      <c r="R36" s="1507" t="s">
        <v>8</v>
      </c>
      <c r="S36" s="1508">
        <f t="shared" si="10"/>
        <v>100</v>
      </c>
      <c r="T36" s="1507" t="s">
        <v>8</v>
      </c>
      <c r="U36" s="1508">
        <f t="shared" si="11"/>
        <v>100</v>
      </c>
      <c r="V36" s="1507" t="s">
        <v>8</v>
      </c>
      <c r="W36" s="1508">
        <f t="shared" si="12"/>
        <v>100</v>
      </c>
      <c r="X36" s="1501"/>
      <c r="Y36" s="3522"/>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2"/>
      <c r="Q37" s="1506">
        <f t="shared" si="8"/>
        <v>111</v>
      </c>
      <c r="R37" s="1507" t="s">
        <v>8</v>
      </c>
      <c r="S37" s="1508">
        <f t="shared" si="10"/>
        <v>100</v>
      </c>
      <c r="T37" s="1507" t="s">
        <v>8</v>
      </c>
      <c r="U37" s="1508">
        <f t="shared" si="11"/>
        <v>100</v>
      </c>
      <c r="V37" s="1507" t="s">
        <v>8</v>
      </c>
      <c r="W37" s="1508">
        <f t="shared" si="12"/>
        <v>100</v>
      </c>
      <c r="X37" s="1501"/>
      <c r="Y37" s="3522"/>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3" t="s">
        <v>543</v>
      </c>
      <c r="Q38" s="1506">
        <f t="shared" si="8"/>
        <v>111</v>
      </c>
      <c r="R38" s="1507" t="s">
        <v>8</v>
      </c>
      <c r="S38" s="1508">
        <f t="shared" si="10"/>
        <v>100</v>
      </c>
      <c r="T38" s="1507" t="s">
        <v>8</v>
      </c>
      <c r="U38" s="1508">
        <f t="shared" si="11"/>
        <v>100</v>
      </c>
      <c r="V38" s="1507" t="s">
        <v>8</v>
      </c>
      <c r="W38" s="1508">
        <f t="shared" si="12"/>
        <v>100</v>
      </c>
      <c r="X38" s="1501"/>
      <c r="Y38" s="3524" t="s">
        <v>543</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4"/>
      <c r="Q39" s="1506">
        <f t="shared" si="8"/>
        <v>111</v>
      </c>
      <c r="R39" s="1511" t="s">
        <v>8</v>
      </c>
      <c r="S39" s="1512">
        <f t="shared" si="10"/>
        <v>100</v>
      </c>
      <c r="T39" s="1511" t="s">
        <v>8</v>
      </c>
      <c r="U39" s="1512">
        <f t="shared" si="11"/>
        <v>100</v>
      </c>
      <c r="V39" s="1511" t="s">
        <v>8</v>
      </c>
      <c r="W39" s="1512">
        <f t="shared" si="12"/>
        <v>100</v>
      </c>
      <c r="X39" s="1513"/>
      <c r="Y39" s="3524"/>
      <c r="Z39" s="1514">
        <f t="shared" si="13"/>
        <v>111</v>
      </c>
      <c r="AA39" s="1510">
        <f t="shared" si="3"/>
        <v>1</v>
      </c>
      <c r="AB39" s="1510">
        <f t="shared" si="4"/>
        <v>1</v>
      </c>
      <c r="AC39" s="1510">
        <f t="shared" si="5"/>
        <v>1</v>
      </c>
    </row>
    <row r="40" spans="1:29" ht="20.25">
      <c r="A40" s="2624" t="s">
        <v>2733</v>
      </c>
      <c r="B40" s="589" t="s">
        <v>545</v>
      </c>
      <c r="C40" s="590">
        <f>'数据-基础表'!A3</f>
        <v>26609.75</v>
      </c>
      <c r="D40" s="591">
        <v>100</v>
      </c>
      <c r="E40" s="590">
        <f>土地案例!J3</f>
        <v>20188.580000000002</v>
      </c>
      <c r="F40" s="591">
        <f>LOOKUP(E40,119:119,120:120)-LOOKUP(C40,119:119,120:120)+100</f>
        <v>100</v>
      </c>
      <c r="G40" s="590">
        <f>土地案例!J4</f>
        <v>80892.990000000005</v>
      </c>
      <c r="H40" s="591">
        <f>LOOKUP(G40,119:119,120:120)-LOOKUP(C40,119:119,120:120)+100</f>
        <v>102</v>
      </c>
      <c r="I40" s="592">
        <f>土地案例!J11</f>
        <v>19200.669999999998</v>
      </c>
      <c r="J40" s="591">
        <f>LOOKUP(I40,119:119,120:120)-LOOKUP(C40,119:119,120:120)+100</f>
        <v>100</v>
      </c>
      <c r="K40" s="575"/>
      <c r="L40" s="2024"/>
      <c r="M40" s="2014"/>
      <c r="N40" s="2014"/>
      <c r="O40" s="2023"/>
      <c r="P40" s="3524"/>
      <c r="Q40" s="1506" t="str">
        <f>B40</f>
        <v>宗地面积</v>
      </c>
      <c r="R40" s="1507" t="s">
        <v>8</v>
      </c>
      <c r="S40" s="1508">
        <f t="shared" si="10"/>
        <v>100</v>
      </c>
      <c r="T40" s="1507" t="s">
        <v>8</v>
      </c>
      <c r="U40" s="1508">
        <f t="shared" si="11"/>
        <v>102</v>
      </c>
      <c r="V40" s="1507" t="s">
        <v>8</v>
      </c>
      <c r="W40" s="1508">
        <f t="shared" si="12"/>
        <v>100</v>
      </c>
      <c r="X40" s="1501"/>
      <c r="Y40" s="3524"/>
      <c r="Z40" s="1509" t="str">
        <f t="shared" si="13"/>
        <v>宗地面积</v>
      </c>
      <c r="AA40" s="1510">
        <f t="shared" si="3"/>
        <v>1</v>
      </c>
      <c r="AB40" s="1510">
        <f t="shared" si="4"/>
        <v>0.98039215686274506</v>
      </c>
      <c r="AC40" s="1510">
        <f t="shared" si="5"/>
        <v>1</v>
      </c>
    </row>
    <row r="41" spans="1:29" ht="20.25">
      <c r="A41" s="588"/>
      <c r="B41" s="521" t="s">
        <v>546</v>
      </c>
      <c r="C41" s="593" t="s">
        <v>3513</v>
      </c>
      <c r="D41" s="534">
        <v>100</v>
      </c>
      <c r="E41" s="593" t="s">
        <v>3513</v>
      </c>
      <c r="F41" s="534">
        <f>SUMIF(121:121,E41,122:122)-SUMIF(121:121,C41,122:122)+100</f>
        <v>100</v>
      </c>
      <c r="G41" s="593" t="s">
        <v>3516</v>
      </c>
      <c r="H41" s="534">
        <f>SUMIF(121:121,G41,122:122)-SUMIF(121:121,C41,122:122)+100</f>
        <v>98</v>
      </c>
      <c r="I41" s="593" t="s">
        <v>3516</v>
      </c>
      <c r="J41" s="534">
        <f>SUMIF(121:121,I41,122:122)-SUMIF(121:121,C41,122:122)+100</f>
        <v>98</v>
      </c>
      <c r="K41" s="578">
        <v>1</v>
      </c>
      <c r="L41" s="2024"/>
      <c r="M41" s="2014"/>
      <c r="N41" s="2014"/>
      <c r="O41" s="2023"/>
      <c r="P41" s="3524"/>
      <c r="Q41" s="1506" t="str">
        <f t="shared" ref="Q41:Q47" si="14">B41</f>
        <v>宗地形状</v>
      </c>
      <c r="R41" s="1507" t="s">
        <v>8</v>
      </c>
      <c r="S41" s="1508">
        <f t="shared" si="10"/>
        <v>100</v>
      </c>
      <c r="T41" s="1507" t="s">
        <v>8</v>
      </c>
      <c r="U41" s="1508">
        <f t="shared" si="11"/>
        <v>98</v>
      </c>
      <c r="V41" s="1507" t="s">
        <v>8</v>
      </c>
      <c r="W41" s="1508">
        <f t="shared" si="12"/>
        <v>98</v>
      </c>
      <c r="X41" s="1501"/>
      <c r="Y41" s="3524"/>
      <c r="Z41" s="1509" t="str">
        <f t="shared" si="13"/>
        <v>宗地形状</v>
      </c>
      <c r="AA41" s="1510">
        <f t="shared" si="3"/>
        <v>1</v>
      </c>
      <c r="AB41" s="1510">
        <f t="shared" si="4"/>
        <v>1.0204081632653061</v>
      </c>
      <c r="AC41" s="1510">
        <f t="shared" si="5"/>
        <v>1.0204081632653061</v>
      </c>
    </row>
    <row r="42" spans="1:29" ht="20.25">
      <c r="A42" s="588"/>
      <c r="B42" s="521" t="s">
        <v>547</v>
      </c>
      <c r="C42" s="593" t="s">
        <v>3529</v>
      </c>
      <c r="D42" s="534">
        <v>100</v>
      </c>
      <c r="E42" s="593" t="s">
        <v>3529</v>
      </c>
      <c r="F42" s="534">
        <f>SUMIF(123:123,E42,124:124)-SUMIF(123:123,C42,124:124)+100</f>
        <v>100</v>
      </c>
      <c r="G42" s="593" t="s">
        <v>3529</v>
      </c>
      <c r="H42" s="534">
        <f>SUMIF(123:123,G42,124:124)-SUMIF(123:123,C42,124:124)+100</f>
        <v>100</v>
      </c>
      <c r="I42" s="593" t="s">
        <v>3529</v>
      </c>
      <c r="J42" s="534">
        <f>SUMIF(123:123,I42,124:124)-SUMIF(123:123,C42,124:124)+100</f>
        <v>100</v>
      </c>
      <c r="K42" s="578">
        <v>1</v>
      </c>
      <c r="L42" s="2024"/>
      <c r="M42" s="2014"/>
      <c r="N42" s="2014"/>
      <c r="O42" s="2023"/>
      <c r="P42" s="3524"/>
      <c r="Q42" s="1506" t="str">
        <f t="shared" si="14"/>
        <v>临街宽度及深度</v>
      </c>
      <c r="R42" s="1507" t="s">
        <v>8</v>
      </c>
      <c r="S42" s="1508">
        <f t="shared" si="10"/>
        <v>100</v>
      </c>
      <c r="T42" s="1507" t="s">
        <v>8</v>
      </c>
      <c r="U42" s="1508">
        <f t="shared" si="11"/>
        <v>100</v>
      </c>
      <c r="V42" s="1507" t="s">
        <v>8</v>
      </c>
      <c r="W42" s="1508">
        <f t="shared" si="12"/>
        <v>100</v>
      </c>
      <c r="X42" s="1501"/>
      <c r="Y42" s="3524"/>
      <c r="Z42" s="1509" t="str">
        <f t="shared" si="13"/>
        <v>临街宽度及深度</v>
      </c>
      <c r="AA42" s="1510">
        <f t="shared" si="3"/>
        <v>1</v>
      </c>
      <c r="AB42" s="1510">
        <f t="shared" si="4"/>
        <v>1</v>
      </c>
      <c r="AC42" s="1510">
        <f t="shared" si="5"/>
        <v>1</v>
      </c>
    </row>
    <row r="43" spans="1:29" s="1203" customFormat="1" ht="20.25">
      <c r="A43" s="594"/>
      <c r="B43" s="1809" t="s">
        <v>2408</v>
      </c>
      <c r="C43" s="595" t="s">
        <v>3520</v>
      </c>
      <c r="D43" s="253">
        <v>100</v>
      </c>
      <c r="E43" s="595" t="s">
        <v>3520</v>
      </c>
      <c r="F43" s="534">
        <f>SUMIF(125:125,E43,126:126)-SUMIF(125:125,C43,126:126)+100</f>
        <v>100</v>
      </c>
      <c r="G43" s="595" t="s">
        <v>3520</v>
      </c>
      <c r="H43" s="534">
        <f>SUMIF(125:125,G43,126:126)-SUMIF(125:125,C43,126:126)+100</f>
        <v>100</v>
      </c>
      <c r="I43" s="595" t="s">
        <v>3520</v>
      </c>
      <c r="J43" s="534">
        <f>SUMIF(125:125,I43,126:126)-SUMIF(125:125,C43,126:126)+100</f>
        <v>100</v>
      </c>
      <c r="K43" s="578">
        <v>1</v>
      </c>
      <c r="L43" s="2017"/>
      <c r="M43" s="2014"/>
      <c r="N43" s="2014"/>
      <c r="O43" s="2019"/>
      <c r="P43" s="3524"/>
      <c r="Q43" s="1506" t="str">
        <f t="shared" si="14"/>
        <v>宗地开发程度</v>
      </c>
      <c r="R43" s="1502" t="s">
        <v>8</v>
      </c>
      <c r="S43" s="1503">
        <f t="shared" si="10"/>
        <v>100</v>
      </c>
      <c r="T43" s="1502" t="s">
        <v>8</v>
      </c>
      <c r="U43" s="1503">
        <f t="shared" si="11"/>
        <v>100</v>
      </c>
      <c r="V43" s="1502" t="s">
        <v>8</v>
      </c>
      <c r="W43" s="1503">
        <f t="shared" si="12"/>
        <v>100</v>
      </c>
      <c r="X43" s="1504"/>
      <c r="Y43" s="3524"/>
      <c r="Z43" s="1133" t="str">
        <f t="shared" si="13"/>
        <v>宗地开发程度</v>
      </c>
      <c r="AA43" s="1505">
        <f t="shared" si="3"/>
        <v>1</v>
      </c>
      <c r="AB43" s="1505">
        <f t="shared" si="4"/>
        <v>1</v>
      </c>
      <c r="AC43" s="1505">
        <f t="shared" si="5"/>
        <v>1</v>
      </c>
    </row>
    <row r="44" spans="1:29" ht="20.25">
      <c r="A44" s="588"/>
      <c r="B44" s="521" t="s">
        <v>548</v>
      </c>
      <c r="C44" s="593" t="s">
        <v>3511</v>
      </c>
      <c r="D44" s="534">
        <v>100</v>
      </c>
      <c r="E44" s="593" t="s">
        <v>3511</v>
      </c>
      <c r="F44" s="534">
        <f>SUMIF(127:127,E44,128:128)-SUMIF(127:127,C44,128:128)+100</f>
        <v>100</v>
      </c>
      <c r="G44" s="593" t="s">
        <v>3511</v>
      </c>
      <c r="H44" s="534">
        <f>SUMIF(127:127,G44,128:128)-SUMIF(127:127,C44,128:128)+100</f>
        <v>100</v>
      </c>
      <c r="I44" s="593" t="s">
        <v>3511</v>
      </c>
      <c r="J44" s="534">
        <f>SUMIF(127:127,I44,128:128)-SUMIF(127:127,C44,128:128)+100</f>
        <v>100</v>
      </c>
      <c r="K44" s="578"/>
      <c r="L44" s="2024"/>
      <c r="M44" s="2014"/>
      <c r="N44" s="2014"/>
      <c r="O44" s="2023"/>
      <c r="P44" s="3524" t="s">
        <v>543</v>
      </c>
      <c r="Q44" s="1506" t="str">
        <f t="shared" si="14"/>
        <v>工程地质条件</v>
      </c>
      <c r="R44" s="1507" t="s">
        <v>8</v>
      </c>
      <c r="S44" s="1508">
        <f t="shared" si="10"/>
        <v>100</v>
      </c>
      <c r="T44" s="1507" t="s">
        <v>8</v>
      </c>
      <c r="U44" s="1508">
        <f t="shared" si="11"/>
        <v>100</v>
      </c>
      <c r="V44" s="1507" t="s">
        <v>8</v>
      </c>
      <c r="W44" s="1508">
        <f t="shared" si="12"/>
        <v>100</v>
      </c>
      <c r="X44" s="1501"/>
      <c r="Y44" s="3524" t="s">
        <v>543</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4"/>
      <c r="Q45" s="1506">
        <f t="shared" si="14"/>
        <v>111</v>
      </c>
      <c r="R45" s="1507" t="s">
        <v>8</v>
      </c>
      <c r="S45" s="1508">
        <f t="shared" si="10"/>
        <v>100</v>
      </c>
      <c r="T45" s="1507" t="s">
        <v>8</v>
      </c>
      <c r="U45" s="1508">
        <f t="shared" si="11"/>
        <v>100</v>
      </c>
      <c r="V45" s="1507" t="s">
        <v>8</v>
      </c>
      <c r="W45" s="1508">
        <f t="shared" si="12"/>
        <v>100</v>
      </c>
      <c r="X45" s="1501"/>
      <c r="Y45" s="3524"/>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4"/>
      <c r="Q46" s="1506">
        <f t="shared" si="14"/>
        <v>111</v>
      </c>
      <c r="R46" s="1507" t="s">
        <v>8</v>
      </c>
      <c r="S46" s="1508">
        <f t="shared" si="10"/>
        <v>100</v>
      </c>
      <c r="T46" s="1507" t="s">
        <v>8</v>
      </c>
      <c r="U46" s="1508">
        <f t="shared" si="11"/>
        <v>100</v>
      </c>
      <c r="V46" s="1507" t="s">
        <v>8</v>
      </c>
      <c r="W46" s="1508">
        <f t="shared" si="12"/>
        <v>100</v>
      </c>
      <c r="X46" s="1501"/>
      <c r="Y46" s="3524"/>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4"/>
      <c r="Q47" s="1506">
        <f t="shared" si="14"/>
        <v>111</v>
      </c>
      <c r="R47" s="1511" t="s">
        <v>8</v>
      </c>
      <c r="S47" s="1512">
        <f t="shared" si="10"/>
        <v>100</v>
      </c>
      <c r="T47" s="1511" t="s">
        <v>8</v>
      </c>
      <c r="U47" s="1512">
        <f t="shared" si="11"/>
        <v>100</v>
      </c>
      <c r="V47" s="1511" t="s">
        <v>8</v>
      </c>
      <c r="W47" s="1512">
        <f t="shared" si="12"/>
        <v>100</v>
      </c>
      <c r="X47" s="1513"/>
      <c r="Y47" s="3524"/>
      <c r="Z47" s="1514">
        <f t="shared" si="13"/>
        <v>111</v>
      </c>
      <c r="AA47" s="1510">
        <f t="shared" si="3"/>
        <v>1</v>
      </c>
      <c r="AB47" s="1510">
        <f t="shared" si="4"/>
        <v>1</v>
      </c>
      <c r="AC47" s="1510">
        <f t="shared" si="5"/>
        <v>1</v>
      </c>
    </row>
    <row r="48" spans="1:29" ht="20.25">
      <c r="A48" s="601" t="s">
        <v>549</v>
      </c>
      <c r="B48" s="602" t="s">
        <v>3527</v>
      </c>
      <c r="C48" s="603" t="s">
        <v>1</v>
      </c>
      <c r="D48" s="604"/>
      <c r="E48" s="605">
        <f>ROUND(土地案例!AL3,0)</f>
        <v>42347</v>
      </c>
      <c r="F48" s="606"/>
      <c r="G48" s="607">
        <f>ROUND(土地案例!AL4,0)</f>
        <v>41056</v>
      </c>
      <c r="H48" s="608"/>
      <c r="I48" s="605">
        <f>ROUND(土地案例!AL11,0)</f>
        <v>40624</v>
      </c>
      <c r="J48" s="608"/>
      <c r="K48" s="1294"/>
      <c r="L48" s="2026"/>
      <c r="M48" s="2014"/>
      <c r="N48" s="2014"/>
      <c r="O48" s="2027"/>
      <c r="P48" s="3486" t="str">
        <f>A48</f>
        <v>成交单价</v>
      </c>
      <c r="Q48" s="3486"/>
      <c r="R48" s="3487">
        <f>E48</f>
        <v>42347</v>
      </c>
      <c r="S48" s="3487"/>
      <c r="T48" s="3487">
        <f>G48</f>
        <v>41056</v>
      </c>
      <c r="U48" s="3487"/>
      <c r="V48" s="3487">
        <f>I48</f>
        <v>40624</v>
      </c>
      <c r="W48" s="3487"/>
      <c r="X48" s="1496"/>
      <c r="Y48" s="1515"/>
      <c r="Z48" s="1496"/>
      <c r="AA48" s="1496"/>
      <c r="AB48" s="1496"/>
      <c r="AC48" s="1496"/>
    </row>
    <row r="49" spans="1:29" ht="21" thickBot="1">
      <c r="A49" s="609" t="s">
        <v>2671</v>
      </c>
      <c r="B49" s="610"/>
      <c r="C49" s="611">
        <f>R50</f>
        <v>42971</v>
      </c>
      <c r="D49" s="3014" t="s">
        <v>2968</v>
      </c>
      <c r="E49" s="611">
        <f>R49</f>
        <v>43675</v>
      </c>
      <c r="F49" s="3015"/>
      <c r="G49" s="612">
        <f>T49</f>
        <v>39146</v>
      </c>
      <c r="H49" s="3015"/>
      <c r="I49" s="611">
        <f>V49</f>
        <v>46091</v>
      </c>
      <c r="J49" s="3015"/>
      <c r="K49" s="3016">
        <f>F49+H49+J49</f>
        <v>0</v>
      </c>
      <c r="L49" s="2026"/>
      <c r="M49" s="2014"/>
      <c r="N49" s="2014"/>
      <c r="O49" s="2027"/>
      <c r="P49" s="3486" t="str">
        <f>A49</f>
        <v>比较价格（元/平方米）</v>
      </c>
      <c r="Q49" s="3486"/>
      <c r="R49" s="3488">
        <f>ROUND(PRODUCT(R48,AA9:AA47),0)</f>
        <v>43675</v>
      </c>
      <c r="S49" s="3488"/>
      <c r="T49" s="3488">
        <f>ROUND(PRODUCT(T48,AB9:AB47),0)</f>
        <v>39146</v>
      </c>
      <c r="U49" s="3488"/>
      <c r="V49" s="3488">
        <f>ROUND(PRODUCT(V48,AC9:AC47),0)</f>
        <v>46091</v>
      </c>
      <c r="W49" s="3488"/>
      <c r="X49" s="1496"/>
      <c r="Y49" s="1496"/>
      <c r="Z49" s="1496"/>
      <c r="AA49" s="1496"/>
      <c r="AB49" s="1496"/>
      <c r="AC49" s="1496"/>
    </row>
    <row r="50" spans="1:29" ht="21" thickBot="1">
      <c r="A50" s="613" t="s">
        <v>2900</v>
      </c>
      <c r="B50" s="614"/>
      <c r="C50" s="615">
        <f>R50</f>
        <v>42971</v>
      </c>
      <c r="D50" s="615"/>
      <c r="E50" s="615"/>
      <c r="F50" s="615"/>
      <c r="G50" s="615"/>
      <c r="H50" s="615"/>
      <c r="I50" s="615"/>
      <c r="J50" s="615"/>
      <c r="K50" s="1295"/>
      <c r="L50" s="2026"/>
      <c r="M50" s="2014"/>
      <c r="N50" s="2014"/>
      <c r="O50" s="2027"/>
      <c r="P50" s="3483" t="str">
        <f>A50</f>
        <v>估价对象XX用房的比较价格（楼面单价，元/平方米）</v>
      </c>
      <c r="Q50" s="3484"/>
      <c r="R50" s="3485">
        <f>ROUND(IF(D49="简单平均",AVERAGE(R49:W49),R49*F49+T49*H49+V49*J49),0)</f>
        <v>42971</v>
      </c>
      <c r="S50" s="3485"/>
      <c r="T50" s="3485"/>
      <c r="U50" s="3485"/>
      <c r="V50" s="3485"/>
      <c r="W50" s="3485"/>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550</v>
      </c>
      <c r="D53" s="617"/>
      <c r="E53" s="618">
        <f>IF(E48&lt;E49,E49/E48-1,E48/E49-1)</f>
        <v>3.1359954660306499E-2</v>
      </c>
      <c r="F53" s="619" t="str">
        <f>IF(OR(E53&gt;=0.3,E53&lt;=-0.3),"超过30%","")</f>
        <v/>
      </c>
      <c r="G53" s="618">
        <f>IF(G48&lt;G49,G49/G48-1,G48/G49-1)</f>
        <v>4.8791702855975005E-2</v>
      </c>
      <c r="H53" s="619" t="str">
        <f>IF(OR(G53&gt;=0.3,G53&lt;=-0.3),"超过30%","")</f>
        <v/>
      </c>
      <c r="I53" s="618">
        <f>IF(I48&lt;I49,I49/I48-1,I48/I49-1)</f>
        <v>0.13457562032296178</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551</v>
      </c>
      <c r="D54" s="620"/>
      <c r="E54" s="618">
        <f>IF(E49&lt;G49,G49/E49-1,E49/G49-1)</f>
        <v>0.11569509017524138</v>
      </c>
      <c r="F54" s="619" t="str">
        <f>IF(OR(E54&gt;=0.2,E54&lt;=-0.2),"超过20%","")</f>
        <v/>
      </c>
      <c r="G54" s="618">
        <f>IF(G49&lt;I49,I49/G49-1,G49/I49-1)</f>
        <v>0.17741276247892501</v>
      </c>
      <c r="H54" s="619" t="str">
        <f>IF(OR(G54&gt;=0.2,G54&lt;=-0.2),"超过20%","")</f>
        <v/>
      </c>
      <c r="I54" s="618">
        <f>IF(I49&lt;E49,E49/I49-1,I49/E49-1)</f>
        <v>5.5317687464224274E-2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552</v>
      </c>
      <c r="D55" s="620"/>
      <c r="E55" s="618">
        <f>IF(E48&lt;G48,G48/E48-1,E48/G48-1)</f>
        <v>3.1444855806703087E-2</v>
      </c>
      <c r="F55" s="619" t="str">
        <f>IF(OR(E55&gt;=0.3,E55&lt;=-0.3),"超过30%","")</f>
        <v/>
      </c>
      <c r="G55" s="618">
        <f>IF(G48&lt;I48,I48/G48-1,G48/I48-1)</f>
        <v>1.0634107916502655E-2</v>
      </c>
      <c r="H55" s="619" t="str">
        <f>IF(OR(G55&gt;=0.3,G55&lt;=-0.3),"超过30%","")</f>
        <v/>
      </c>
      <c r="I55" s="618">
        <f>IF(I48&lt;E48,E48/I48-1,I48/E48-1)</f>
        <v>4.2413351713272984E-2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7" t="s">
        <v>1714</v>
      </c>
      <c r="D57" s="2107" t="s">
        <v>2280</v>
      </c>
      <c r="E57" s="623" t="s">
        <v>555</v>
      </c>
      <c r="F57" s="624" t="s">
        <v>556</v>
      </c>
      <c r="G57" s="3513" t="s">
        <v>2268</v>
      </c>
      <c r="H57" s="3514"/>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f>C50</f>
        <v>42971</v>
      </c>
      <c r="C58" s="627">
        <v>1</v>
      </c>
      <c r="D58" s="2108">
        <v>1</v>
      </c>
      <c r="E58" s="627">
        <f>'数据-汇总表'!E8+'数据-汇总表'!E9</f>
        <v>74010.94</v>
      </c>
      <c r="F58" s="628">
        <f t="shared" ref="F58:F67" si="15">ROUND(B58*E58/10000,0)</f>
        <v>318032</v>
      </c>
      <c r="G58" s="3515"/>
      <c r="H58" s="3516"/>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f>ROUND($C$50*C59*D59,0)</f>
        <v>7520</v>
      </c>
      <c r="C59" s="372">
        <f t="shared" ref="C59:C67" si="16">IF($C$57="北京市系数",I59,J59)</f>
        <v>0.7</v>
      </c>
      <c r="D59" s="2109">
        <v>0.25</v>
      </c>
      <c r="E59" s="631">
        <v>0</v>
      </c>
      <c r="F59" s="628">
        <f t="shared" si="15"/>
        <v>0</v>
      </c>
      <c r="G59" s="3517" t="s">
        <v>2269</v>
      </c>
      <c r="H59" s="1862" t="str">
        <f>项目基本情况!B43</f>
        <v>六级</v>
      </c>
      <c r="I59" s="1494">
        <f>SUMIF(修正!$A$45:$A$56,H59,修正!B45:B56)</f>
        <v>0.7</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f t="shared" ref="B60:B67" si="17">ROUND($C$50*C60*D60,0)</f>
        <v>4297</v>
      </c>
      <c r="C60" s="372">
        <f t="shared" si="16"/>
        <v>0.4</v>
      </c>
      <c r="D60" s="2109">
        <v>0.25</v>
      </c>
      <c r="E60" s="631">
        <v>0</v>
      </c>
      <c r="F60" s="628">
        <f t="shared" si="15"/>
        <v>0</v>
      </c>
      <c r="G60" s="3517"/>
      <c r="H60" s="1862" t="str">
        <f>项目基本情况!B43</f>
        <v>六级</v>
      </c>
      <c r="I60" s="1494">
        <f>SUMIF(修正!$A$45:$A$56,H60,修正!C45:C56)</f>
        <v>0.4</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f t="shared" si="17"/>
        <v>3008</v>
      </c>
      <c r="C61" s="372">
        <f t="shared" si="16"/>
        <v>0.28000000000000003</v>
      </c>
      <c r="D61" s="2109">
        <v>0.25</v>
      </c>
      <c r="E61" s="631">
        <v>0</v>
      </c>
      <c r="F61" s="628">
        <f t="shared" si="15"/>
        <v>0</v>
      </c>
      <c r="G61" s="3517"/>
      <c r="H61" s="1862" t="str">
        <f>项目基本情况!B43</f>
        <v>六级</v>
      </c>
      <c r="I61" s="1494">
        <f>SUMIF(修正!$A$45:$A$56,H61,修正!D45:D56)</f>
        <v>0.28000000000000003</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f t="shared" si="17"/>
        <v>2686</v>
      </c>
      <c r="C62" s="372">
        <f t="shared" si="16"/>
        <v>0.25</v>
      </c>
      <c r="D62" s="2109">
        <v>0.25</v>
      </c>
      <c r="E62" s="631">
        <v>0</v>
      </c>
      <c r="F62" s="628">
        <f t="shared" si="15"/>
        <v>0</v>
      </c>
      <c r="G62" s="3517"/>
      <c r="H62" s="1862" t="str">
        <f>项目基本情况!B43</f>
        <v>六级</v>
      </c>
      <c r="I62" s="1494">
        <f>SUMIF(修正!$A$45:$A$56,H62,修正!E45:E56)</f>
        <v>0.25</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2686</v>
      </c>
      <c r="C63" s="372">
        <f t="shared" si="16"/>
        <v>0.25</v>
      </c>
      <c r="D63" s="2109">
        <v>0.25</v>
      </c>
      <c r="E63" s="633">
        <f>'数据-汇总表'!E11</f>
        <v>0</v>
      </c>
      <c r="F63" s="628">
        <f t="shared" si="15"/>
        <v>0</v>
      </c>
      <c r="G63" s="1859" t="s">
        <v>2270</v>
      </c>
      <c r="H63" s="1862" t="str">
        <f>项目基本情况!C43</f>
        <v>六级</v>
      </c>
      <c r="I63" s="1494">
        <f>SUMIF(修正!$A$45:$A$56,H63,修正!F45:F56)</f>
        <v>0.25</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f t="shared" si="17"/>
        <v>2686</v>
      </c>
      <c r="C64" s="372">
        <f t="shared" si="16"/>
        <v>0.25</v>
      </c>
      <c r="D64" s="2109">
        <v>0.25</v>
      </c>
      <c r="E64" s="633">
        <f>'数据-汇总表'!E12</f>
        <v>4432.97</v>
      </c>
      <c r="F64" s="628">
        <f t="shared" si="15"/>
        <v>1191</v>
      </c>
      <c r="G64" s="1860" t="s">
        <v>913</v>
      </c>
      <c r="H64" s="1858" t="str">
        <f>IF(G64="商业",项目基本情况!B43,IF(G64="办公",项目基本情况!C43,IF(G64="住宅",项目基本情况!D43,项目基本情况!E43)))</f>
        <v>六级</v>
      </c>
      <c r="I64" s="1494">
        <f>SUMIF(修正!$A$45:$A$56,H64,修正!G45:G56)</f>
        <v>0.25</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f t="shared" si="17"/>
        <v>2149</v>
      </c>
      <c r="C65" s="372">
        <f t="shared" si="16"/>
        <v>0.2</v>
      </c>
      <c r="D65" s="2109">
        <v>0.25</v>
      </c>
      <c r="E65" s="633">
        <f>'数据-汇总表'!E13</f>
        <v>19183.87</v>
      </c>
      <c r="F65" s="628">
        <f t="shared" si="15"/>
        <v>4123</v>
      </c>
      <c r="G65" s="1860" t="s">
        <v>913</v>
      </c>
      <c r="H65" s="1858" t="str">
        <f>IF(G65="商业",项目基本情况!B43,IF(G65="办公",项目基本情况!C43,IF(G65="住宅",项目基本情况!D43,项目基本情况!E43)))</f>
        <v>六级</v>
      </c>
      <c r="I65" s="1494">
        <f>SUMIF(修正!$A$45:$A$56,H65,修正!H45:H56)</f>
        <v>0.2</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f t="shared" si="17"/>
        <v>2149</v>
      </c>
      <c r="C66" s="372">
        <f t="shared" si="16"/>
        <v>0.2</v>
      </c>
      <c r="D66" s="2109">
        <v>0.25</v>
      </c>
      <c r="E66" s="633">
        <f>'数据-汇总表'!E14</f>
        <v>0</v>
      </c>
      <c r="F66" s="628">
        <f t="shared" si="15"/>
        <v>0</v>
      </c>
      <c r="G66" s="1859" t="s">
        <v>2269</v>
      </c>
      <c r="H66" s="1862" t="str">
        <f>项目基本情况!B43</f>
        <v>六级</v>
      </c>
      <c r="I66" s="1494">
        <f>SUMIF(修正!$A$45:$A$56,H66,修正!H45:H56)</f>
        <v>0.2</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f t="shared" si="17"/>
        <v>2149</v>
      </c>
      <c r="C67" s="372">
        <f t="shared" si="16"/>
        <v>0.2</v>
      </c>
      <c r="D67" s="2109">
        <v>0.25</v>
      </c>
      <c r="E67" s="633">
        <f>'数据-汇总表'!E15</f>
        <v>0</v>
      </c>
      <c r="F67" s="628">
        <f t="shared" si="15"/>
        <v>0</v>
      </c>
      <c r="G67" s="1861" t="s">
        <v>2270</v>
      </c>
      <c r="H67" s="1863" t="str">
        <f>项目基本情况!C43</f>
        <v>六级</v>
      </c>
      <c r="I67" s="1494">
        <f>SUMIF(修正!$A$45:$A$56,H67,修正!H45:H56)</f>
        <v>0.2</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97627.78</v>
      </c>
      <c r="F68" s="636">
        <f>IF(B48="楼面地价",SUM(F58:F67),ROUND(C50*E68/10000,0))</f>
        <v>323346</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2021-4-1</v>
      </c>
      <c r="D70" s="2516">
        <f>EDATE(C70,-3)</f>
        <v>44197</v>
      </c>
      <c r="E70" s="2516">
        <f t="shared" ref="E70:N70" si="18">EDATE(D70,-3)</f>
        <v>44105</v>
      </c>
      <c r="F70" s="2516">
        <f t="shared" si="18"/>
        <v>44013</v>
      </c>
      <c r="G70" s="2516">
        <f t="shared" si="18"/>
        <v>43922</v>
      </c>
      <c r="H70" s="2516">
        <f t="shared" si="18"/>
        <v>43831</v>
      </c>
      <c r="I70" s="2516">
        <f t="shared" si="18"/>
        <v>43739</v>
      </c>
      <c r="J70" s="2516">
        <f t="shared" si="18"/>
        <v>43647</v>
      </c>
      <c r="K70" s="2516">
        <f t="shared" si="18"/>
        <v>43556</v>
      </c>
      <c r="L70" s="2516">
        <f t="shared" si="18"/>
        <v>43466</v>
      </c>
      <c r="M70" s="2516">
        <f t="shared" si="18"/>
        <v>43374</v>
      </c>
      <c r="N70" s="2516">
        <f t="shared" si="18"/>
        <v>43282</v>
      </c>
      <c r="O70" s="2027"/>
      <c r="P70" s="2027"/>
      <c r="Q70" s="2027"/>
      <c r="R70" s="2027"/>
      <c r="S70" s="2027"/>
      <c r="T70" s="2027"/>
      <c r="U70" s="2027"/>
      <c r="V70" s="2027"/>
      <c r="W70" s="2027"/>
      <c r="X70" s="2027"/>
      <c r="Y70" s="2027"/>
      <c r="Z70" s="2027"/>
      <c r="AA70" s="2027"/>
      <c r="AB70" s="2027"/>
      <c r="AC70" s="2027"/>
    </row>
    <row r="71" spans="1:29" ht="21.75" thickBot="1">
      <c r="A71" s="1518" t="s">
        <v>567</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2512</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913</v>
      </c>
      <c r="B73" s="473" t="str">
        <f>"北京市平均增长率"&amp;TEXT(SUMIF(基准地价!N21:N25,A73,基准地价!P21:P25),"0.00%")</f>
        <v>北京市平均增长率0.00%</v>
      </c>
      <c r="C73" s="883">
        <v>100</v>
      </c>
      <c r="D73" s="3293">
        <f>C73-$C$74</f>
        <v>99</v>
      </c>
      <c r="E73" s="3293">
        <f t="shared" ref="E73:N73" si="20">D73-$C$74</f>
        <v>98</v>
      </c>
      <c r="F73" s="3293">
        <f t="shared" si="20"/>
        <v>97</v>
      </c>
      <c r="G73" s="3293">
        <f t="shared" si="20"/>
        <v>96</v>
      </c>
      <c r="H73" s="3293">
        <f t="shared" si="20"/>
        <v>95</v>
      </c>
      <c r="I73" s="3293">
        <f t="shared" si="20"/>
        <v>94</v>
      </c>
      <c r="J73" s="3293">
        <f t="shared" si="20"/>
        <v>93</v>
      </c>
      <c r="K73" s="3293">
        <f t="shared" si="20"/>
        <v>92</v>
      </c>
      <c r="L73" s="3293">
        <f t="shared" si="20"/>
        <v>91</v>
      </c>
      <c r="M73" s="3293">
        <f t="shared" si="20"/>
        <v>90</v>
      </c>
      <c r="N73" s="3293">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2625</v>
      </c>
      <c r="B74" s="2522"/>
      <c r="C74" s="2509">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3294" t="s">
        <v>3509</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t="str">
        <f>B15</f>
        <v>自持比例</v>
      </c>
      <c r="C86" s="3297">
        <v>0</v>
      </c>
      <c r="D86" s="3297">
        <v>0.04</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v>100</v>
      </c>
      <c r="D87" s="684">
        <v>99</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t="str">
        <f>B16</f>
        <v>是否限价</v>
      </c>
      <c r="C88" s="3299" t="s">
        <v>3525</v>
      </c>
      <c r="D88" s="3299" t="s">
        <v>3526</v>
      </c>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v>100</v>
      </c>
      <c r="D89" s="692">
        <v>103</v>
      </c>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2528</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544</v>
      </c>
      <c r="B118" s="657" t="s">
        <v>586</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150000(含)-180000</v>
      </c>
      <c r="I118" s="696" t="str">
        <f t="shared" si="26"/>
        <v>180000(含)-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I119" si="27">D119+30000</f>
        <v>60000</v>
      </c>
      <c r="F119" s="722">
        <f t="shared" si="27"/>
        <v>90000</v>
      </c>
      <c r="G119" s="722">
        <f t="shared" si="27"/>
        <v>120000</v>
      </c>
      <c r="H119" s="722">
        <f t="shared" si="27"/>
        <v>150000</v>
      </c>
      <c r="I119" s="722">
        <f t="shared" si="27"/>
        <v>180000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 t="shared" ref="E120:I120" si="28">D120+1</f>
        <v>102</v>
      </c>
      <c r="F120" s="718">
        <f t="shared" si="28"/>
        <v>103</v>
      </c>
      <c r="G120" s="718">
        <f t="shared" si="28"/>
        <v>104</v>
      </c>
      <c r="H120" s="718">
        <f t="shared" si="28"/>
        <v>105</v>
      </c>
      <c r="I120" s="718">
        <f t="shared" si="2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3295" t="s">
        <v>3514</v>
      </c>
      <c r="D121" s="3295" t="s">
        <v>3515</v>
      </c>
      <c r="E121" s="3295" t="s">
        <v>3517</v>
      </c>
      <c r="F121" s="3295" t="s">
        <v>3518</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99</v>
      </c>
      <c r="E122" s="671">
        <f t="shared" si="29"/>
        <v>98</v>
      </c>
      <c r="F122" s="671">
        <f t="shared" si="29"/>
        <v>97</v>
      </c>
      <c r="G122" s="671">
        <f t="shared" si="29"/>
        <v>96</v>
      </c>
      <c r="H122" s="671">
        <f t="shared" si="29"/>
        <v>95</v>
      </c>
      <c r="I122" s="671">
        <f t="shared" si="29"/>
        <v>94</v>
      </c>
      <c r="J122" s="671">
        <f t="shared" si="29"/>
        <v>93</v>
      </c>
      <c r="K122" s="671">
        <f t="shared" si="29"/>
        <v>92</v>
      </c>
      <c r="L122" s="671">
        <f t="shared" si="29"/>
        <v>91</v>
      </c>
      <c r="M122" s="672">
        <f t="shared" si="29"/>
        <v>90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3300" t="s">
        <v>3528</v>
      </c>
      <c r="D123" s="3300" t="s">
        <v>3530</v>
      </c>
      <c r="E123" s="3300" t="s">
        <v>3531</v>
      </c>
      <c r="F123" s="3295" t="s">
        <v>3532</v>
      </c>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99</v>
      </c>
      <c r="E124" s="671">
        <f t="shared" si="30"/>
        <v>98</v>
      </c>
      <c r="F124" s="671">
        <f t="shared" si="30"/>
        <v>97</v>
      </c>
      <c r="G124" s="671">
        <f t="shared" si="30"/>
        <v>96</v>
      </c>
      <c r="H124" s="671">
        <f t="shared" si="30"/>
        <v>95</v>
      </c>
      <c r="I124" s="671">
        <f t="shared" si="30"/>
        <v>94</v>
      </c>
      <c r="J124" s="671">
        <f t="shared" si="30"/>
        <v>93</v>
      </c>
      <c r="K124" s="671">
        <f t="shared" si="30"/>
        <v>92</v>
      </c>
      <c r="L124" s="671">
        <f t="shared" si="30"/>
        <v>91</v>
      </c>
      <c r="M124" s="672">
        <f t="shared" si="30"/>
        <v>90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t="s">
        <v>3512</v>
      </c>
      <c r="D125" s="1326" t="s">
        <v>3519</v>
      </c>
      <c r="E125" s="1326" t="s">
        <v>3520</v>
      </c>
      <c r="F125" s="1326" t="s">
        <v>3521</v>
      </c>
      <c r="G125" s="1326" t="s">
        <v>3522</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t="s">
        <v>3533</v>
      </c>
      <c r="D127" s="680" t="s">
        <v>3511</v>
      </c>
      <c r="E127" s="710" t="s">
        <v>3510</v>
      </c>
      <c r="F127" s="710" t="s">
        <v>3534</v>
      </c>
      <c r="G127" s="710" t="s">
        <v>3535</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460</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514</v>
      </c>
      <c r="B6" s="507"/>
      <c r="C6" s="3492" t="s">
        <v>515</v>
      </c>
      <c r="D6" s="3493"/>
      <c r="E6" s="3527" t="s">
        <v>516</v>
      </c>
      <c r="F6" s="3528"/>
      <c r="G6" s="3492" t="s">
        <v>517</v>
      </c>
      <c r="H6" s="3493"/>
      <c r="I6" s="3492" t="s">
        <v>518</v>
      </c>
      <c r="J6" s="3493"/>
      <c r="K6" s="508" t="s">
        <v>519</v>
      </c>
      <c r="L6" s="2015"/>
      <c r="M6" s="2016"/>
      <c r="N6" s="2016"/>
      <c r="O6" s="2016"/>
      <c r="P6" s="3494" t="s">
        <v>520</v>
      </c>
      <c r="Q6" s="3495"/>
      <c r="R6" s="3500" t="s">
        <v>516</v>
      </c>
      <c r="S6" s="3501"/>
      <c r="T6" s="3500" t="s">
        <v>517</v>
      </c>
      <c r="U6" s="3501"/>
      <c r="V6" s="3487" t="s">
        <v>518</v>
      </c>
      <c r="W6" s="3487"/>
      <c r="X6" s="1501"/>
      <c r="Y6" s="3500" t="s">
        <v>520</v>
      </c>
      <c r="Z6" s="3501"/>
      <c r="AA6" s="3489" t="s">
        <v>516</v>
      </c>
      <c r="AB6" s="3490" t="s">
        <v>517</v>
      </c>
      <c r="AC6" s="3489" t="s">
        <v>518</v>
      </c>
    </row>
    <row r="7" spans="1:29" ht="15">
      <c r="A7" s="509"/>
      <c r="B7" s="510"/>
      <c r="C7" s="3508" t="s">
        <v>2894</v>
      </c>
      <c r="D7" s="3509"/>
      <c r="E7" s="3529" t="s">
        <v>2895</v>
      </c>
      <c r="F7" s="3530"/>
      <c r="G7" s="3508" t="s">
        <v>2896</v>
      </c>
      <c r="H7" s="3509"/>
      <c r="I7" s="3508" t="s">
        <v>2897</v>
      </c>
      <c r="J7" s="3509"/>
      <c r="K7" s="508"/>
      <c r="L7" s="2015"/>
      <c r="M7" s="2016"/>
      <c r="N7" s="2016"/>
      <c r="O7" s="2016"/>
      <c r="P7" s="3496"/>
      <c r="Q7" s="3497"/>
      <c r="R7" s="3502"/>
      <c r="S7" s="3503"/>
      <c r="T7" s="3502"/>
      <c r="U7" s="3503"/>
      <c r="V7" s="3487"/>
      <c r="W7" s="3487"/>
      <c r="X7" s="1501"/>
      <c r="Y7" s="3502"/>
      <c r="Z7" s="3503"/>
      <c r="AA7" s="3490"/>
      <c r="AB7" s="3490"/>
      <c r="AC7" s="3490"/>
    </row>
    <row r="8" spans="1:29" ht="15.75" thickBot="1">
      <c r="A8" s="511"/>
      <c r="B8" s="512"/>
      <c r="C8" s="3506" t="s">
        <v>2898</v>
      </c>
      <c r="D8" s="3507"/>
      <c r="E8" s="3525" t="s">
        <v>2898</v>
      </c>
      <c r="F8" s="3526"/>
      <c r="G8" s="3506" t="s">
        <v>2898</v>
      </c>
      <c r="H8" s="3507"/>
      <c r="I8" s="3506" t="s">
        <v>2898</v>
      </c>
      <c r="J8" s="3507"/>
      <c r="K8" s="508" t="s">
        <v>521</v>
      </c>
      <c r="L8" s="2015"/>
      <c r="M8" s="2016"/>
      <c r="N8" s="2016"/>
      <c r="O8" s="2016"/>
      <c r="P8" s="3498"/>
      <c r="Q8" s="3499"/>
      <c r="R8" s="3502"/>
      <c r="S8" s="3503"/>
      <c r="T8" s="3504"/>
      <c r="U8" s="3505"/>
      <c r="V8" s="3487"/>
      <c r="W8" s="3487"/>
      <c r="X8" s="1501"/>
      <c r="Y8" s="3504"/>
      <c r="Z8" s="3505"/>
      <c r="AA8" s="3491"/>
      <c r="AB8" s="3491"/>
      <c r="AC8" s="3491"/>
    </row>
    <row r="9" spans="1:29" s="1203" customFormat="1" ht="15.75" thickBot="1">
      <c r="A9" s="2629"/>
      <c r="B9" s="2636" t="s">
        <v>522</v>
      </c>
      <c r="C9" s="513">
        <f>'数据-取费表'!B2</f>
        <v>44300</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8" t="s">
        <v>523</v>
      </c>
      <c r="Q9" s="3520"/>
      <c r="R9" s="1502" t="s">
        <v>8</v>
      </c>
      <c r="S9" s="1503">
        <f t="shared" ref="S9:S17" si="0">F9</f>
        <v>0</v>
      </c>
      <c r="T9" s="1502" t="s">
        <v>8</v>
      </c>
      <c r="U9" s="1503">
        <f t="shared" ref="U9:U17" si="1">H9</f>
        <v>0</v>
      </c>
      <c r="V9" s="1502" t="s">
        <v>8</v>
      </c>
      <c r="W9" s="1503">
        <f t="shared" ref="W9:W17" si="2">J9</f>
        <v>0</v>
      </c>
      <c r="X9" s="1504"/>
      <c r="Y9" s="3518" t="s">
        <v>523</v>
      </c>
      <c r="Z9" s="3519"/>
      <c r="AA9" s="1505" t="e">
        <f>D9/F9</f>
        <v>#DIV/0!</v>
      </c>
      <c r="AB9" s="1505" t="e">
        <f>D9/H9</f>
        <v>#DIV/0!</v>
      </c>
      <c r="AC9" s="1505"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8" t="s">
        <v>526</v>
      </c>
      <c r="Q10" s="3519"/>
      <c r="R10" s="1502" t="s">
        <v>8</v>
      </c>
      <c r="S10" s="1503">
        <f t="shared" si="0"/>
        <v>0</v>
      </c>
      <c r="T10" s="1502" t="s">
        <v>8</v>
      </c>
      <c r="U10" s="1503">
        <f t="shared" si="1"/>
        <v>0</v>
      </c>
      <c r="V10" s="1502" t="s">
        <v>8</v>
      </c>
      <c r="W10" s="1503">
        <f t="shared" si="2"/>
        <v>0</v>
      </c>
      <c r="X10" s="1504"/>
      <c r="Y10" s="3518" t="s">
        <v>526</v>
      </c>
      <c r="Z10" s="3519"/>
      <c r="AA10" s="1505" t="e">
        <f t="shared" ref="AA10:AA42" si="3">D10/F10</f>
        <v>#DIV/0!</v>
      </c>
      <c r="AB10" s="1505" t="e">
        <f t="shared" ref="AB10:AB42" si="4">D10/H10</f>
        <v>#DIV/0!</v>
      </c>
      <c r="AC10" s="1505" t="e">
        <f t="shared" ref="AC10:AC42" si="5">D10/J10</f>
        <v>#DIV/0!</v>
      </c>
    </row>
    <row r="11" spans="1:29" s="1203" customFormat="1" ht="15">
      <c r="A11" s="2631"/>
      <c r="B11" s="2638"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6" t="s">
        <v>528</v>
      </c>
      <c r="Q11" s="1134" t="str">
        <f t="shared" ref="Q11:Q17" si="6">B11</f>
        <v>用途</v>
      </c>
      <c r="R11" s="1502" t="s">
        <v>8</v>
      </c>
      <c r="S11" s="1503">
        <f t="shared" si="0"/>
        <v>100</v>
      </c>
      <c r="T11" s="1502" t="s">
        <v>8</v>
      </c>
      <c r="U11" s="1503">
        <f t="shared" si="1"/>
        <v>100</v>
      </c>
      <c r="V11" s="1502" t="s">
        <v>8</v>
      </c>
      <c r="W11" s="1503">
        <f t="shared" si="2"/>
        <v>100</v>
      </c>
      <c r="X11" s="1504"/>
      <c r="Y11" s="3432" t="s">
        <v>529</v>
      </c>
      <c r="Z11" s="1133" t="str">
        <f t="shared" ref="Z11:Z17" si="7">Q11</f>
        <v>用途</v>
      </c>
      <c r="AA11" s="1505">
        <f t="shared" si="3"/>
        <v>1</v>
      </c>
      <c r="AB11" s="1505">
        <f t="shared" si="4"/>
        <v>1</v>
      </c>
      <c r="AC11" s="1505">
        <f t="shared" si="5"/>
        <v>1</v>
      </c>
    </row>
    <row r="12" spans="1:29" s="1292" customFormat="1" ht="27">
      <c r="A12" s="2632"/>
      <c r="B12" s="2637" t="s">
        <v>2735</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86"/>
      <c r="Q12" s="1134" t="str">
        <f t="shared" si="6"/>
        <v>土地使用年限（年）</v>
      </c>
      <c r="R12" s="1502" t="s">
        <v>8</v>
      </c>
      <c r="S12" s="1503">
        <f t="shared" si="0"/>
        <v>100</v>
      </c>
      <c r="T12" s="1502" t="s">
        <v>8</v>
      </c>
      <c r="U12" s="1503">
        <f t="shared" si="1"/>
        <v>100</v>
      </c>
      <c r="V12" s="1502" t="s">
        <v>8</v>
      </c>
      <c r="W12" s="1503">
        <f t="shared" si="2"/>
        <v>100</v>
      </c>
      <c r="X12" s="1504"/>
      <c r="Y12" s="3432"/>
      <c r="Z12" s="1133" t="str">
        <f t="shared" si="7"/>
        <v>土地使用年限（年）</v>
      </c>
      <c r="AA12" s="1505">
        <f t="shared" si="3"/>
        <v>1</v>
      </c>
      <c r="AB12" s="1505">
        <f t="shared" si="4"/>
        <v>1</v>
      </c>
      <c r="AC12" s="1505">
        <f t="shared" si="5"/>
        <v>1</v>
      </c>
    </row>
    <row r="13" spans="1:29" ht="15">
      <c r="A13" s="2633"/>
      <c r="B13" s="2637"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6"/>
      <c r="Q13" s="1134" t="str">
        <f t="shared" si="6"/>
        <v>容积率</v>
      </c>
      <c r="R13" s="1502" t="s">
        <v>8</v>
      </c>
      <c r="S13" s="1503" t="e">
        <f t="shared" si="0"/>
        <v>#N/A</v>
      </c>
      <c r="T13" s="1502" t="s">
        <v>8</v>
      </c>
      <c r="U13" s="1503" t="e">
        <f t="shared" si="1"/>
        <v>#N/A</v>
      </c>
      <c r="V13" s="1502" t="s">
        <v>8</v>
      </c>
      <c r="W13" s="1503" t="e">
        <f t="shared" si="2"/>
        <v>#N/A</v>
      </c>
      <c r="X13" s="1504"/>
      <c r="Y13" s="3432"/>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6"/>
      <c r="Q14" s="1134">
        <f t="shared" si="6"/>
        <v>111</v>
      </c>
      <c r="R14" s="1502" t="s">
        <v>8</v>
      </c>
      <c r="S14" s="1503">
        <f t="shared" si="0"/>
        <v>100</v>
      </c>
      <c r="T14" s="1502" t="s">
        <v>8</v>
      </c>
      <c r="U14" s="1503">
        <f t="shared" si="1"/>
        <v>100</v>
      </c>
      <c r="V14" s="1502" t="s">
        <v>8</v>
      </c>
      <c r="W14" s="1503">
        <f t="shared" si="2"/>
        <v>100</v>
      </c>
      <c r="X14" s="1504"/>
      <c r="Y14" s="3432"/>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6"/>
      <c r="Q15" s="1134">
        <f t="shared" si="6"/>
        <v>111</v>
      </c>
      <c r="R15" s="1502" t="s">
        <v>8</v>
      </c>
      <c r="S15" s="1503">
        <f t="shared" si="0"/>
        <v>100</v>
      </c>
      <c r="T15" s="1502" t="s">
        <v>8</v>
      </c>
      <c r="U15" s="1503">
        <f t="shared" si="1"/>
        <v>100</v>
      </c>
      <c r="V15" s="1502" t="s">
        <v>8</v>
      </c>
      <c r="W15" s="1503">
        <f t="shared" si="2"/>
        <v>100</v>
      </c>
      <c r="X15" s="1504"/>
      <c r="Y15" s="3432"/>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6"/>
      <c r="Q16" s="1134">
        <f t="shared" si="6"/>
        <v>111</v>
      </c>
      <c r="R16" s="1502" t="s">
        <v>8</v>
      </c>
      <c r="S16" s="1503">
        <f t="shared" si="0"/>
        <v>100</v>
      </c>
      <c r="T16" s="1502" t="s">
        <v>8</v>
      </c>
      <c r="U16" s="1503">
        <f t="shared" si="1"/>
        <v>100</v>
      </c>
      <c r="V16" s="1502" t="s">
        <v>8</v>
      </c>
      <c r="W16" s="1503">
        <f t="shared" si="2"/>
        <v>100</v>
      </c>
      <c r="X16" s="1504"/>
      <c r="Y16" s="3432"/>
      <c r="Z16" s="1133">
        <f t="shared" si="7"/>
        <v>111</v>
      </c>
      <c r="AA16" s="1505">
        <f t="shared" si="3"/>
        <v>1</v>
      </c>
      <c r="AB16" s="1505">
        <f t="shared" si="4"/>
        <v>1</v>
      </c>
      <c r="AC16" s="1505">
        <f t="shared" si="5"/>
        <v>1</v>
      </c>
    </row>
    <row r="17" spans="1:29" ht="57">
      <c r="A17" s="2627" t="s">
        <v>2732</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1" t="s">
        <v>533</v>
      </c>
      <c r="Q17" s="1506" t="str">
        <f t="shared" si="6"/>
        <v>产业集聚程度</v>
      </c>
      <c r="R17" s="1507" t="s">
        <v>8</v>
      </c>
      <c r="S17" s="1508">
        <f t="shared" si="0"/>
        <v>100</v>
      </c>
      <c r="T17" s="1507" t="s">
        <v>8</v>
      </c>
      <c r="U17" s="1508">
        <f t="shared" si="1"/>
        <v>100</v>
      </c>
      <c r="V17" s="1507" t="s">
        <v>8</v>
      </c>
      <c r="W17" s="1508">
        <f t="shared" si="2"/>
        <v>100</v>
      </c>
      <c r="X17" s="1501"/>
      <c r="Y17" s="3521" t="s">
        <v>533</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22"/>
      <c r="Q18" s="1506"/>
      <c r="R18" s="1507"/>
      <c r="S18" s="1508"/>
      <c r="T18" s="1507"/>
      <c r="U18" s="1508"/>
      <c r="V18" s="1507"/>
      <c r="W18" s="1508"/>
      <c r="X18" s="1501"/>
      <c r="Y18" s="3522"/>
      <c r="Z18" s="1509"/>
      <c r="AA18" s="1510">
        <v>1</v>
      </c>
      <c r="AB18" s="1510">
        <v>1</v>
      </c>
      <c r="AC18" s="1510">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2"/>
      <c r="Q19" s="1506" t="str">
        <f>B19</f>
        <v>交通便捷度</v>
      </c>
      <c r="R19" s="1507" t="s">
        <v>8</v>
      </c>
      <c r="S19" s="1508">
        <f>F19</f>
        <v>100</v>
      </c>
      <c r="T19" s="1507" t="s">
        <v>8</v>
      </c>
      <c r="U19" s="1508">
        <f>H19</f>
        <v>100</v>
      </c>
      <c r="V19" s="1507" t="s">
        <v>8</v>
      </c>
      <c r="W19" s="1508">
        <f>J19</f>
        <v>100</v>
      </c>
      <c r="X19" s="1501"/>
      <c r="Y19" s="3522"/>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2"/>
      <c r="Q21" s="1506" t="str">
        <f t="shared" ref="Q21:Q35" si="8">B21</f>
        <v>区域土地利用方向</v>
      </c>
      <c r="R21" s="1507" t="s">
        <v>8</v>
      </c>
      <c r="S21" s="1508">
        <f>F21</f>
        <v>100</v>
      </c>
      <c r="T21" s="1507" t="s">
        <v>8</v>
      </c>
      <c r="U21" s="1508">
        <f>H21</f>
        <v>100</v>
      </c>
      <c r="V21" s="1507" t="s">
        <v>8</v>
      </c>
      <c r="W21" s="1508">
        <f>J21</f>
        <v>100</v>
      </c>
      <c r="X21" s="1501"/>
      <c r="Y21" s="3522"/>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22"/>
      <c r="Q22" s="1506"/>
      <c r="R22" s="1507"/>
      <c r="S22" s="1508"/>
      <c r="T22" s="1507"/>
      <c r="U22" s="1508"/>
      <c r="V22" s="1507"/>
      <c r="W22" s="1508"/>
      <c r="X22" s="1501"/>
      <c r="Y22" s="3522"/>
      <c r="Z22" s="1509"/>
      <c r="AA22" s="1510"/>
      <c r="AB22" s="1510"/>
      <c r="AC22" s="1510"/>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2"/>
      <c r="Q23" s="1506" t="str">
        <f t="shared" si="8"/>
        <v>环境状况</v>
      </c>
      <c r="R23" s="1507" t="s">
        <v>8</v>
      </c>
      <c r="S23" s="1508">
        <f>F23</f>
        <v>100</v>
      </c>
      <c r="T23" s="1507" t="s">
        <v>8</v>
      </c>
      <c r="U23" s="1508">
        <f>H23</f>
        <v>100</v>
      </c>
      <c r="V23" s="1507" t="s">
        <v>8</v>
      </c>
      <c r="W23" s="1508">
        <f>J23</f>
        <v>100</v>
      </c>
      <c r="X23" s="1501"/>
      <c r="Y23" s="3522"/>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22"/>
      <c r="Q24" s="1506"/>
      <c r="R24" s="1507"/>
      <c r="S24" s="1508"/>
      <c r="T24" s="1507"/>
      <c r="U24" s="1508"/>
      <c r="V24" s="1507"/>
      <c r="W24" s="1508"/>
      <c r="X24" s="1501"/>
      <c r="Y24" s="3522"/>
      <c r="Z24" s="1509"/>
      <c r="AA24" s="1510">
        <v>1</v>
      </c>
      <c r="AB24" s="1510">
        <v>1</v>
      </c>
      <c r="AC24" s="1510">
        <v>1</v>
      </c>
    </row>
    <row r="25" spans="1:29" s="1203"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2"/>
      <c r="Q25" s="1134" t="str">
        <f t="shared" si="8"/>
        <v>公共配套设施</v>
      </c>
      <c r="R25" s="1502" t="s">
        <v>8</v>
      </c>
      <c r="S25" s="1503">
        <f>F25</f>
        <v>100</v>
      </c>
      <c r="T25" s="1502" t="s">
        <v>8</v>
      </c>
      <c r="U25" s="1503">
        <f>H25</f>
        <v>100</v>
      </c>
      <c r="V25" s="1502" t="s">
        <v>8</v>
      </c>
      <c r="W25" s="1503">
        <f>J25</f>
        <v>100</v>
      </c>
      <c r="X25" s="1504"/>
      <c r="Y25" s="3522"/>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22"/>
      <c r="Q26" s="1134"/>
      <c r="R26" s="1502"/>
      <c r="S26" s="1503"/>
      <c r="T26" s="1502"/>
      <c r="U26" s="1503"/>
      <c r="V26" s="1502"/>
      <c r="W26" s="1503"/>
      <c r="X26" s="1504"/>
      <c r="Y26" s="3522"/>
      <c r="Z26" s="1133"/>
      <c r="AA26" s="1505">
        <v>1</v>
      </c>
      <c r="AB26" s="1505">
        <v>1</v>
      </c>
      <c r="AC26" s="1505">
        <v>1</v>
      </c>
    </row>
    <row r="27" spans="1:29" s="1203"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2"/>
      <c r="Q27" s="2428" t="str">
        <f t="shared" ref="Q27" si="9">B27</f>
        <v>基础设施水平</v>
      </c>
      <c r="R27" s="1502" t="s">
        <v>8</v>
      </c>
      <c r="S27" s="1503">
        <f>F27</f>
        <v>100</v>
      </c>
      <c r="T27" s="1502" t="s">
        <v>8</v>
      </c>
      <c r="U27" s="1503">
        <f>H27</f>
        <v>100</v>
      </c>
      <c r="V27" s="1502" t="s">
        <v>8</v>
      </c>
      <c r="W27" s="1503">
        <f>J27</f>
        <v>100</v>
      </c>
      <c r="X27" s="1504"/>
      <c r="Y27" s="3522"/>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22"/>
      <c r="Q28" s="2428"/>
      <c r="R28" s="1502"/>
      <c r="S28" s="1503"/>
      <c r="T28" s="1502"/>
      <c r="U28" s="1503"/>
      <c r="V28" s="1502"/>
      <c r="W28" s="1503"/>
      <c r="X28" s="1504"/>
      <c r="Y28" s="3522"/>
      <c r="Z28" s="2427"/>
      <c r="AA28" s="1505">
        <v>1</v>
      </c>
      <c r="AB28" s="1505">
        <v>1</v>
      </c>
      <c r="AC28" s="1505">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2"/>
      <c r="Z29" s="1509" t="str">
        <f t="shared" ref="Z29:Z42" si="13">Q29</f>
        <v>临街状况</v>
      </c>
      <c r="AA29" s="1510">
        <f t="shared" si="3"/>
        <v>1</v>
      </c>
      <c r="AB29" s="1510">
        <f t="shared" si="4"/>
        <v>1</v>
      </c>
      <c r="AC29" s="1510">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2"/>
      <c r="Q30" s="1506" t="str">
        <f t="shared" si="8"/>
        <v>毗邻道路的类型与等级</v>
      </c>
      <c r="R30" s="1507" t="s">
        <v>8</v>
      </c>
      <c r="S30" s="1508">
        <f t="shared" si="10"/>
        <v>100</v>
      </c>
      <c r="T30" s="1507" t="s">
        <v>8</v>
      </c>
      <c r="U30" s="1508">
        <f t="shared" si="11"/>
        <v>100</v>
      </c>
      <c r="V30" s="1507" t="s">
        <v>8</v>
      </c>
      <c r="W30" s="1508">
        <f t="shared" si="12"/>
        <v>100</v>
      </c>
      <c r="X30" s="1501"/>
      <c r="Y30" s="3522"/>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22"/>
      <c r="Q31" s="1506"/>
      <c r="R31" s="1507"/>
      <c r="S31" s="1508"/>
      <c r="T31" s="1507"/>
      <c r="U31" s="1508"/>
      <c r="V31" s="1507"/>
      <c r="W31" s="1508"/>
      <c r="X31" s="1501"/>
      <c r="Y31" s="3522"/>
      <c r="Z31" s="1509"/>
      <c r="AA31" s="1510">
        <v>1</v>
      </c>
      <c r="AB31" s="1510">
        <v>1</v>
      </c>
      <c r="AC31" s="1510">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2"/>
      <c r="Q32" s="1506" t="str">
        <f t="shared" si="8"/>
        <v>土地级别</v>
      </c>
      <c r="R32" s="1507" t="s">
        <v>8</v>
      </c>
      <c r="S32" s="1508">
        <f t="shared" si="10"/>
        <v>100</v>
      </c>
      <c r="T32" s="1507" t="s">
        <v>8</v>
      </c>
      <c r="U32" s="1508">
        <f t="shared" si="11"/>
        <v>100</v>
      </c>
      <c r="V32" s="1507" t="s">
        <v>8</v>
      </c>
      <c r="W32" s="1508">
        <f t="shared" si="12"/>
        <v>100</v>
      </c>
      <c r="X32" s="1501"/>
      <c r="Y32" s="3522"/>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2"/>
      <c r="Q33" s="1506">
        <f t="shared" si="8"/>
        <v>111</v>
      </c>
      <c r="R33" s="1507" t="s">
        <v>8</v>
      </c>
      <c r="S33" s="1508">
        <f t="shared" si="10"/>
        <v>100</v>
      </c>
      <c r="T33" s="1507" t="s">
        <v>8</v>
      </c>
      <c r="U33" s="1508">
        <f t="shared" si="11"/>
        <v>100</v>
      </c>
      <c r="V33" s="1507" t="s">
        <v>8</v>
      </c>
      <c r="W33" s="1508">
        <f t="shared" si="12"/>
        <v>100</v>
      </c>
      <c r="X33" s="1501"/>
      <c r="Y33" s="3522"/>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3" t="s">
        <v>543</v>
      </c>
      <c r="Q34" s="1506">
        <f t="shared" si="8"/>
        <v>111</v>
      </c>
      <c r="R34" s="1507" t="s">
        <v>8</v>
      </c>
      <c r="S34" s="1508">
        <f t="shared" si="10"/>
        <v>100</v>
      </c>
      <c r="T34" s="1507" t="s">
        <v>8</v>
      </c>
      <c r="U34" s="1508">
        <f t="shared" si="11"/>
        <v>100</v>
      </c>
      <c r="V34" s="1507" t="s">
        <v>8</v>
      </c>
      <c r="W34" s="1508">
        <f t="shared" si="12"/>
        <v>100</v>
      </c>
      <c r="X34" s="1501"/>
      <c r="Y34" s="3524" t="s">
        <v>543</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4"/>
      <c r="Q35" s="1506">
        <f t="shared" si="8"/>
        <v>111</v>
      </c>
      <c r="R35" s="1511" t="s">
        <v>8</v>
      </c>
      <c r="S35" s="1512">
        <f t="shared" si="10"/>
        <v>100</v>
      </c>
      <c r="T35" s="1511" t="s">
        <v>8</v>
      </c>
      <c r="U35" s="1512">
        <f t="shared" si="11"/>
        <v>100</v>
      </c>
      <c r="V35" s="1511" t="s">
        <v>8</v>
      </c>
      <c r="W35" s="1512">
        <f t="shared" si="12"/>
        <v>100</v>
      </c>
      <c r="X35" s="1513"/>
      <c r="Y35" s="3524"/>
      <c r="Z35" s="1514">
        <f t="shared" si="13"/>
        <v>111</v>
      </c>
      <c r="AA35" s="1510">
        <f t="shared" si="3"/>
        <v>1</v>
      </c>
      <c r="AB35" s="1510">
        <f t="shared" si="4"/>
        <v>1</v>
      </c>
      <c r="AC35" s="1510">
        <f t="shared" si="5"/>
        <v>1</v>
      </c>
    </row>
    <row r="36" spans="1:29" ht="15">
      <c r="A36" s="2624" t="s">
        <v>2733</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4"/>
      <c r="Q36" s="1506" t="str">
        <f>B36</f>
        <v>宗地面积</v>
      </c>
      <c r="R36" s="1507" t="s">
        <v>8</v>
      </c>
      <c r="S36" s="1508" t="e">
        <f t="shared" si="10"/>
        <v>#N/A</v>
      </c>
      <c r="T36" s="1507" t="s">
        <v>8</v>
      </c>
      <c r="U36" s="1508" t="e">
        <f t="shared" si="11"/>
        <v>#N/A</v>
      </c>
      <c r="V36" s="1507" t="s">
        <v>8</v>
      </c>
      <c r="W36" s="1508" t="e">
        <f t="shared" si="12"/>
        <v>#N/A</v>
      </c>
      <c r="X36" s="1501"/>
      <c r="Y36" s="3524"/>
      <c r="Z36" s="1509" t="str">
        <f t="shared" si="13"/>
        <v>宗地面积</v>
      </c>
      <c r="AA36" s="1510" t="e">
        <f t="shared" si="3"/>
        <v>#N/A</v>
      </c>
      <c r="AB36" s="1510" t="e">
        <f t="shared" si="4"/>
        <v>#N/A</v>
      </c>
      <c r="AC36" s="1510"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4"/>
      <c r="Q37" s="1506" t="str">
        <f t="shared" ref="Q37:Q42" si="14">B37</f>
        <v>宗地形状</v>
      </c>
      <c r="R37" s="1507" t="s">
        <v>8</v>
      </c>
      <c r="S37" s="1508">
        <f t="shared" si="10"/>
        <v>100</v>
      </c>
      <c r="T37" s="1507" t="s">
        <v>8</v>
      </c>
      <c r="U37" s="1508">
        <f t="shared" si="11"/>
        <v>100</v>
      </c>
      <c r="V37" s="1507" t="s">
        <v>8</v>
      </c>
      <c r="W37" s="1508">
        <f t="shared" si="12"/>
        <v>100</v>
      </c>
      <c r="X37" s="1501"/>
      <c r="Y37" s="3524"/>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4"/>
      <c r="Q38" s="1506" t="str">
        <f t="shared" si="14"/>
        <v>宗地开发程度</v>
      </c>
      <c r="R38" s="1502" t="s">
        <v>8</v>
      </c>
      <c r="S38" s="1503">
        <f t="shared" si="10"/>
        <v>100</v>
      </c>
      <c r="T38" s="1502" t="s">
        <v>8</v>
      </c>
      <c r="U38" s="1503">
        <f t="shared" si="11"/>
        <v>100</v>
      </c>
      <c r="V38" s="1502" t="s">
        <v>8</v>
      </c>
      <c r="W38" s="1503">
        <f t="shared" si="12"/>
        <v>100</v>
      </c>
      <c r="X38" s="1504"/>
      <c r="Y38" s="3524"/>
      <c r="Z38" s="1133" t="str">
        <f t="shared" si="13"/>
        <v>宗地开发程度</v>
      </c>
      <c r="AA38" s="1505">
        <f t="shared" si="3"/>
        <v>1</v>
      </c>
      <c r="AB38" s="1505">
        <f t="shared" si="4"/>
        <v>1</v>
      </c>
      <c r="AC38" s="1505">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t="s">
        <v>594</v>
      </c>
      <c r="Q39" s="1506" t="str">
        <f t="shared" si="14"/>
        <v>工程地质条件</v>
      </c>
      <c r="R39" s="1507" t="s">
        <v>8</v>
      </c>
      <c r="S39" s="1508">
        <f t="shared" si="10"/>
        <v>100</v>
      </c>
      <c r="T39" s="1507" t="s">
        <v>8</v>
      </c>
      <c r="U39" s="1508">
        <f t="shared" si="11"/>
        <v>100</v>
      </c>
      <c r="V39" s="1507" t="s">
        <v>8</v>
      </c>
      <c r="W39" s="1508">
        <f t="shared" si="12"/>
        <v>100</v>
      </c>
      <c r="X39" s="1501"/>
      <c r="Y39" s="3524" t="s">
        <v>594</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4"/>
      <c r="Q40" s="1506">
        <f t="shared" si="14"/>
        <v>111</v>
      </c>
      <c r="R40" s="1507" t="s">
        <v>8</v>
      </c>
      <c r="S40" s="1508">
        <f t="shared" si="10"/>
        <v>100</v>
      </c>
      <c r="T40" s="1507" t="s">
        <v>8</v>
      </c>
      <c r="U40" s="1508">
        <f t="shared" si="11"/>
        <v>100</v>
      </c>
      <c r="V40" s="1507" t="s">
        <v>8</v>
      </c>
      <c r="W40" s="1508">
        <f t="shared" si="12"/>
        <v>100</v>
      </c>
      <c r="X40" s="1501"/>
      <c r="Y40" s="3524"/>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4"/>
      <c r="Q41" s="1506">
        <f t="shared" si="14"/>
        <v>111</v>
      </c>
      <c r="R41" s="1507" t="s">
        <v>8</v>
      </c>
      <c r="S41" s="1508">
        <f t="shared" si="10"/>
        <v>100</v>
      </c>
      <c r="T41" s="1507" t="s">
        <v>8</v>
      </c>
      <c r="U41" s="1508">
        <f t="shared" si="11"/>
        <v>100</v>
      </c>
      <c r="V41" s="1507" t="s">
        <v>8</v>
      </c>
      <c r="W41" s="1508">
        <f t="shared" si="12"/>
        <v>100</v>
      </c>
      <c r="X41" s="1501"/>
      <c r="Y41" s="3524"/>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4"/>
      <c r="Q42" s="1506">
        <f t="shared" si="14"/>
        <v>111</v>
      </c>
      <c r="R42" s="1511" t="s">
        <v>8</v>
      </c>
      <c r="S42" s="1512">
        <f t="shared" si="10"/>
        <v>100</v>
      </c>
      <c r="T42" s="1511" t="s">
        <v>8</v>
      </c>
      <c r="U42" s="1512">
        <f t="shared" si="11"/>
        <v>100</v>
      </c>
      <c r="V42" s="1511" t="s">
        <v>8</v>
      </c>
      <c r="W42" s="1512">
        <f t="shared" si="12"/>
        <v>100</v>
      </c>
      <c r="X42" s="1513"/>
      <c r="Y42" s="3524"/>
      <c r="Z42" s="1514">
        <f t="shared" si="13"/>
        <v>111</v>
      </c>
      <c r="AA42" s="1510">
        <f t="shared" si="3"/>
        <v>1</v>
      </c>
      <c r="AB42" s="1510">
        <f t="shared" si="4"/>
        <v>1</v>
      </c>
      <c r="AC42" s="1510">
        <f t="shared" si="5"/>
        <v>1</v>
      </c>
    </row>
    <row r="43" spans="1:29" ht="15">
      <c r="A43" s="601" t="s">
        <v>549</v>
      </c>
      <c r="B43" s="602" t="s">
        <v>2899</v>
      </c>
      <c r="C43" s="603" t="s">
        <v>1</v>
      </c>
      <c r="D43" s="604"/>
      <c r="E43" s="605"/>
      <c r="F43" s="606"/>
      <c r="G43" s="607"/>
      <c r="H43" s="608"/>
      <c r="I43" s="605"/>
      <c r="J43" s="608"/>
      <c r="K43" s="1294"/>
      <c r="L43" s="2026"/>
      <c r="M43" s="2016"/>
      <c r="N43" s="2016"/>
      <c r="O43" s="2027"/>
      <c r="P43" s="3486" t="str">
        <f>A43</f>
        <v>成交单价</v>
      </c>
      <c r="Q43" s="3486"/>
      <c r="R43" s="3487">
        <f>E43</f>
        <v>0</v>
      </c>
      <c r="S43" s="3487"/>
      <c r="T43" s="3487">
        <f>G43</f>
        <v>0</v>
      </c>
      <c r="U43" s="3487"/>
      <c r="V43" s="3487">
        <f>I43</f>
        <v>0</v>
      </c>
      <c r="W43" s="3487"/>
      <c r="X43" s="1496"/>
      <c r="Y43" s="1515"/>
      <c r="Z43" s="1496"/>
      <c r="AA43" s="1496"/>
      <c r="AB43" s="1496"/>
      <c r="AC43" s="1496"/>
    </row>
    <row r="44" spans="1:29" ht="15.75" thickBot="1">
      <c r="A44" s="609" t="s">
        <v>2671</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86" t="str">
        <f>A44</f>
        <v>比较价格（元/平方米）</v>
      </c>
      <c r="Q44" s="3486"/>
      <c r="R44" s="3488" t="e">
        <f>ROUND(PRODUCT(R43,AA9:AA42),0)</f>
        <v>#DIV/0!</v>
      </c>
      <c r="S44" s="3488"/>
      <c r="T44" s="3488" t="e">
        <f>ROUND(PRODUCT(T43,AB9:AB42),0)</f>
        <v>#DIV/0!</v>
      </c>
      <c r="U44" s="3488"/>
      <c r="V44" s="3488" t="e">
        <f>ROUND(PRODUCT(V43,AC9:AC42),0)</f>
        <v>#DIV/0!</v>
      </c>
      <c r="W44" s="3488"/>
      <c r="X44" s="1496"/>
      <c r="Y44" s="1496"/>
      <c r="Z44" s="1496"/>
      <c r="AA44" s="1496"/>
      <c r="AB44" s="1496"/>
      <c r="AC44" s="1496"/>
    </row>
    <row r="45" spans="1:29" ht="15.75" thickBot="1">
      <c r="A45" s="613" t="s">
        <v>2900</v>
      </c>
      <c r="B45" s="614"/>
      <c r="C45" s="615" t="e">
        <f>R45</f>
        <v>#DIV/0!</v>
      </c>
      <c r="D45" s="615"/>
      <c r="E45" s="615"/>
      <c r="F45" s="615"/>
      <c r="G45" s="615"/>
      <c r="H45" s="615"/>
      <c r="I45" s="615"/>
      <c r="J45" s="615"/>
      <c r="K45" s="1295"/>
      <c r="L45" s="2026"/>
      <c r="M45" s="2016"/>
      <c r="N45" s="2016"/>
      <c r="O45" s="2027"/>
      <c r="P45" s="3483" t="str">
        <f>A45</f>
        <v>估价对象XX用房的比较价格（楼面单价，元/平方米）</v>
      </c>
      <c r="Q45" s="3484"/>
      <c r="R45" s="3536" t="e">
        <f>ROUND(IF(D44="简单平均",AVERAGE(R44:W44),R44*F44+T44*H44+V44*J44),0)</f>
        <v>#DIV/0!</v>
      </c>
      <c r="S45" s="3536"/>
      <c r="T45" s="3536"/>
      <c r="U45" s="3536"/>
      <c r="V45" s="3536"/>
      <c r="W45" s="3536"/>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7" t="s">
        <v>1714</v>
      </c>
      <c r="D52" s="2107" t="s">
        <v>2280</v>
      </c>
      <c r="E52" s="623" t="s">
        <v>555</v>
      </c>
      <c r="F52" s="1865" t="s">
        <v>556</v>
      </c>
      <c r="G52" s="3531" t="s">
        <v>2271</v>
      </c>
      <c r="H52" s="3532"/>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74010.94</v>
      </c>
      <c r="F53" s="1864" t="e">
        <f t="shared" ref="F53:F62" si="15">ROUND(B53*E53/10000,0)</f>
        <v>#DIV/0!</v>
      </c>
      <c r="G53" s="3533"/>
      <c r="H53" s="3534"/>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6">IF($C$52="北京市系数",I54,J54)</f>
        <v>0.7</v>
      </c>
      <c r="D54" s="2109">
        <v>0.25</v>
      </c>
      <c r="E54" s="631"/>
      <c r="F54" s="1864" t="e">
        <f t="shared" si="15"/>
        <v>#DIV/0!</v>
      </c>
      <c r="G54" s="3535" t="s">
        <v>2272</v>
      </c>
      <c r="H54" s="1868" t="str">
        <f>项目基本情况!B43</f>
        <v>六级</v>
      </c>
      <c r="I54" s="1867">
        <f>SUMIF(修正!$A$45:$A$56,H54,修正!B45:B56)</f>
        <v>0.7</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7">ROUND($C$45*C55*D55,0)</f>
        <v>#DIV/0!</v>
      </c>
      <c r="C55" s="372">
        <f t="shared" si="16"/>
        <v>0.4</v>
      </c>
      <c r="D55" s="2109">
        <v>0.25</v>
      </c>
      <c r="E55" s="631"/>
      <c r="F55" s="1864" t="e">
        <f t="shared" si="15"/>
        <v>#DIV/0!</v>
      </c>
      <c r="G55" s="3535"/>
      <c r="H55" s="1869" t="str">
        <f>项目基本情况!B43</f>
        <v>六级</v>
      </c>
      <c r="I55" s="1867">
        <f>SUMIF(修正!$A$45:$A$56,H55,修正!C45:C56)</f>
        <v>0.4</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7"/>
        <v>#DIV/0!</v>
      </c>
      <c r="C56" s="372">
        <f t="shared" si="16"/>
        <v>0.28000000000000003</v>
      </c>
      <c r="D56" s="2109">
        <v>0.25</v>
      </c>
      <c r="E56" s="631"/>
      <c r="F56" s="1864" t="e">
        <f t="shared" si="15"/>
        <v>#DIV/0!</v>
      </c>
      <c r="G56" s="3535"/>
      <c r="H56" s="1869" t="str">
        <f>项目基本情况!B43</f>
        <v>六级</v>
      </c>
      <c r="I56" s="1867">
        <f>SUMIF(修正!$A$45:$A$56,H56,修正!D45:D56)</f>
        <v>0.28000000000000003</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7"/>
        <v>#DIV/0!</v>
      </c>
      <c r="C57" s="372">
        <f t="shared" si="16"/>
        <v>0.25</v>
      </c>
      <c r="D57" s="2109">
        <v>0.25</v>
      </c>
      <c r="E57" s="631"/>
      <c r="F57" s="1864" t="e">
        <f t="shared" si="15"/>
        <v>#DIV/0!</v>
      </c>
      <c r="G57" s="3535"/>
      <c r="H57" s="1869" t="str">
        <f>项目基本情况!B43</f>
        <v>六级</v>
      </c>
      <c r="I57" s="1867">
        <f>SUMIF(修正!$A$45:$A$56,H57,修正!E45:E56)</f>
        <v>0.25</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0.25</v>
      </c>
      <c r="D58" s="2109">
        <v>0.25</v>
      </c>
      <c r="E58" s="633">
        <f>'数据-汇总表'!E11</f>
        <v>0</v>
      </c>
      <c r="F58" s="1864" t="e">
        <f t="shared" si="15"/>
        <v>#DIV/0!</v>
      </c>
      <c r="G58" s="1870" t="s">
        <v>2273</v>
      </c>
      <c r="H58" s="1869" t="str">
        <f>项目基本情况!C43</f>
        <v>六级</v>
      </c>
      <c r="I58" s="1867">
        <f>SUMIF(修正!$A$45:$A$56,H58,修正!F45:F56)</f>
        <v>0.25</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7"/>
        <v>#DIV/0!</v>
      </c>
      <c r="C59" s="372">
        <f t="shared" si="16"/>
        <v>0.25</v>
      </c>
      <c r="D59" s="2109">
        <v>0.25</v>
      </c>
      <c r="E59" s="633">
        <f>'数据-汇总表'!E12</f>
        <v>4432.97</v>
      </c>
      <c r="F59" s="1864" t="e">
        <f t="shared" si="15"/>
        <v>#DIV/0!</v>
      </c>
      <c r="G59" s="1860" t="s">
        <v>1667</v>
      </c>
      <c r="H59" s="1868" t="str">
        <f>IF(G59="商业",项目基本情况!B43,IF(G59="办公",项目基本情况!C43,IF(G59="住宅",项目基本情况!D43,项目基本情况!E43)))</f>
        <v>六级</v>
      </c>
      <c r="I59" s="1867">
        <f>SUMIF(修正!$A$45:$A$56,H59,修正!G45:G56)</f>
        <v>0.25</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7"/>
        <v>#DIV/0!</v>
      </c>
      <c r="C60" s="372">
        <f t="shared" si="16"/>
        <v>0.2</v>
      </c>
      <c r="D60" s="2109">
        <v>0.25</v>
      </c>
      <c r="E60" s="633">
        <f>'数据-汇总表'!E13</f>
        <v>19183.87</v>
      </c>
      <c r="F60" s="1864" t="e">
        <f t="shared" si="15"/>
        <v>#DIV/0!</v>
      </c>
      <c r="G60" s="1860" t="s">
        <v>913</v>
      </c>
      <c r="H60" s="1868" t="str">
        <f>IF(G60="商业",项目基本情况!B43,IF(G60="办公",项目基本情况!C43,IF(G60="住宅",项目基本情况!D43,项目基本情况!E43)))</f>
        <v>六级</v>
      </c>
      <c r="I60" s="1867">
        <f>SUMIF(修正!$A$45:$A$56,H60,修正!H45:H56)</f>
        <v>0.2</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7"/>
        <v>#DIV/0!</v>
      </c>
      <c r="C61" s="372">
        <f t="shared" si="16"/>
        <v>0.2</v>
      </c>
      <c r="D61" s="2109">
        <v>0.25</v>
      </c>
      <c r="E61" s="633">
        <f>'数据-汇总表'!E14</f>
        <v>0</v>
      </c>
      <c r="F61" s="1864" t="e">
        <f t="shared" si="15"/>
        <v>#DIV/0!</v>
      </c>
      <c r="G61" s="1870" t="s">
        <v>2272</v>
      </c>
      <c r="H61" s="1869" t="str">
        <f>项目基本情况!B43</f>
        <v>六级</v>
      </c>
      <c r="I61" s="1867">
        <f>SUMIF(修正!$A$45:$A$56,H61,修正!H45:H56)</f>
        <v>0.2</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7"/>
        <v>#DIV/0!</v>
      </c>
      <c r="C62" s="372">
        <f t="shared" si="16"/>
        <v>0.2</v>
      </c>
      <c r="D62" s="2109">
        <v>0.25</v>
      </c>
      <c r="E62" s="633">
        <f>'数据-汇总表'!E15</f>
        <v>0</v>
      </c>
      <c r="F62" s="1864" t="e">
        <f t="shared" si="15"/>
        <v>#DIV/0!</v>
      </c>
      <c r="G62" s="1871" t="s">
        <v>2273</v>
      </c>
      <c r="H62" s="1872" t="str">
        <f>项目基本情况!C43</f>
        <v>六级</v>
      </c>
      <c r="I62" s="1867">
        <f>SUMIF(修正!$A$45:$A$56,H62,修正!H45:H56)</f>
        <v>0.2</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26559.06</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2021-4-1</v>
      </c>
      <c r="D65" s="2516">
        <f>EDATE(C65,-3)</f>
        <v>44197</v>
      </c>
      <c r="E65" s="2516">
        <f t="shared" ref="E65:N65" si="18">EDATE(D65,-3)</f>
        <v>44105</v>
      </c>
      <c r="F65" s="2516">
        <f t="shared" si="18"/>
        <v>44013</v>
      </c>
      <c r="G65" s="2516">
        <f t="shared" si="18"/>
        <v>43922</v>
      </c>
      <c r="H65" s="2516">
        <f t="shared" si="18"/>
        <v>43831</v>
      </c>
      <c r="I65" s="2516">
        <f t="shared" si="18"/>
        <v>43739</v>
      </c>
      <c r="J65" s="2516">
        <f t="shared" si="18"/>
        <v>43647</v>
      </c>
      <c r="K65" s="2516">
        <f t="shared" si="18"/>
        <v>43556</v>
      </c>
      <c r="L65" s="2516">
        <f t="shared" si="18"/>
        <v>43466</v>
      </c>
      <c r="M65" s="2516">
        <f t="shared" si="18"/>
        <v>43374</v>
      </c>
      <c r="N65" s="2516">
        <f t="shared" si="18"/>
        <v>43282</v>
      </c>
      <c r="O65" s="2027"/>
      <c r="P65" s="2027"/>
      <c r="Q65" s="2027"/>
      <c r="R65" s="2027"/>
      <c r="S65" s="2027"/>
      <c r="T65" s="2027"/>
      <c r="U65" s="2027"/>
      <c r="V65" s="2027"/>
      <c r="W65" s="2027"/>
      <c r="X65" s="2027"/>
      <c r="Y65" s="2027"/>
      <c r="Z65" s="2027"/>
      <c r="AA65" s="2027"/>
      <c r="AB65" s="2027"/>
      <c r="AC65" s="2027"/>
    </row>
    <row r="66" spans="1:29" ht="21.75" thickBot="1">
      <c r="A66" s="1518" t="s">
        <v>567</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2513</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2627</v>
      </c>
      <c r="B68" s="473" t="str">
        <f>"北京市平均增长率"&amp;TEXT(基准地价!P24,"0.00%")</f>
        <v>北京市平均增长率0.00%</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2528</v>
      </c>
      <c r="C93" s="695" t="s">
        <v>572</v>
      </c>
      <c r="D93" s="695" t="s">
        <v>573</v>
      </c>
      <c r="E93" s="695" t="s">
        <v>574</v>
      </c>
      <c r="F93" s="695" t="s">
        <v>575</v>
      </c>
      <c r="G93" s="695" t="s">
        <v>576</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51" t="str">
        <f>IF(E2="商业",IF(C8="不临58条商业街","",2),"")</f>
        <v/>
      </c>
      <c r="B7" s="1375" t="s">
        <v>922</v>
      </c>
      <c r="C7" s="1030" t="e">
        <f>IF(C8="不临58条商业街",1,ROUND(1+(1.6*E8+1.2*E9+0.8*E10+0.4*E11)*C9,4))</f>
        <v>#DIV/0!</v>
      </c>
      <c r="D7" s="1376" t="s">
        <v>923</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2742</v>
      </c>
      <c r="X7" s="2644">
        <f>G2</f>
        <v>0</v>
      </c>
      <c r="Y7" s="2644" t="s">
        <v>2743</v>
      </c>
      <c r="Z7" s="2645">
        <f>G3</f>
        <v>0</v>
      </c>
      <c r="AA7" s="2073"/>
      <c r="AB7" s="2073"/>
      <c r="AC7" s="2074"/>
      <c r="AD7" s="2646"/>
      <c r="AE7" s="2646"/>
      <c r="AF7" s="2646"/>
      <c r="AG7" s="2646"/>
      <c r="AH7" s="2646"/>
      <c r="AI7" s="2646"/>
      <c r="AJ7" s="2647"/>
    </row>
    <row r="8" spans="1:39" ht="15">
      <c r="A8" s="3552"/>
      <c r="B8" s="1362" t="s">
        <v>924</v>
      </c>
      <c r="C8" s="1468"/>
      <c r="D8" s="1032" t="s">
        <v>925</v>
      </c>
      <c r="E8" s="1033"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38" t="s">
        <v>2760</v>
      </c>
      <c r="X8" s="3539"/>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52"/>
      <c r="B9" s="1362" t="s">
        <v>927</v>
      </c>
      <c r="C9" s="1034">
        <f>SUMIF(修正!C59:C119,C8,修正!E59:E119)</f>
        <v>0</v>
      </c>
      <c r="D9" s="1035" t="s">
        <v>928</v>
      </c>
      <c r="E9" s="1035"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37" t="s">
        <v>2756</v>
      </c>
      <c r="X9" s="2648" t="s">
        <v>2757</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52"/>
      <c r="B10" s="1362" t="s">
        <v>930</v>
      </c>
      <c r="C10" s="1035">
        <f>SUMIF(修正!C59:C119,C8,修正!F59:F119)</f>
        <v>0</v>
      </c>
      <c r="D10" s="1035" t="s">
        <v>931</v>
      </c>
      <c r="E10" s="1035"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3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52"/>
      <c r="B11" s="1383" t="s">
        <v>933</v>
      </c>
      <c r="C11" s="1036">
        <f>C10/4</f>
        <v>0</v>
      </c>
      <c r="D11" s="1036" t="s">
        <v>934</v>
      </c>
      <c r="E11" s="1036"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37" t="s">
        <v>2758</v>
      </c>
      <c r="X11" s="1035" t="s">
        <v>2743</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51" t="s">
        <v>1861</v>
      </c>
      <c r="B12" s="1387" t="s">
        <v>936</v>
      </c>
      <c r="C12" s="1030">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37"/>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53"/>
      <c r="B13" s="1392" t="s">
        <v>1686</v>
      </c>
      <c r="C13" s="1393" t="s">
        <v>1687</v>
      </c>
      <c r="D13" s="1072" t="s">
        <v>1688</v>
      </c>
      <c r="E13" s="1072"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37"/>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53"/>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54"/>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51" t="s">
        <v>1828</v>
      </c>
      <c r="B16" s="1375" t="s">
        <v>940</v>
      </c>
      <c r="C16" s="1039" t="e">
        <f>ROUND(IF(F17="与级别开发程度一致",0,(G17-E17)/C17),0)</f>
        <v>#DIV/0!</v>
      </c>
      <c r="D16" s="3545" t="s">
        <v>944</v>
      </c>
      <c r="E16" s="3546"/>
      <c r="F16" s="3545" t="s">
        <v>941</v>
      </c>
      <c r="G16" s="3546"/>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55"/>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ROUND(IF(H19="按公示增长率计算",SUMPRODUCT((地价!A3:A33=YEAR(G19)&amp;"-"&amp;ROUNDUP(MONTH(G19)/3,0))*(地价!X2:AB2=E2)*(地价!X3:AB33)),IF(H19="地价指数",M20/M19,(1+I19)^O19)),4)</f>
        <v>0</v>
      </c>
      <c r="D19" s="1414" t="s">
        <v>947</v>
      </c>
      <c r="E19" s="1041">
        <v>41640</v>
      </c>
      <c r="F19" s="1414" t="s">
        <v>948</v>
      </c>
      <c r="G19" s="1042">
        <f>'数据-取费表'!B2</f>
        <v>44300</v>
      </c>
      <c r="H19" s="1415" t="s">
        <v>2952</v>
      </c>
      <c r="I19" s="2503" t="str">
        <f>IF(H19="季度增幅（自定义）",SUMIF(N21:N24,E2,O21:O24),"")</f>
        <v/>
      </c>
      <c r="J19" s="1411"/>
      <c r="K19" s="3234"/>
      <c r="L19" s="2753" t="s">
        <v>2818</v>
      </c>
      <c r="M19" s="2754">
        <f>ROUND(SUMIF(地价!B2:F2,E2,地价!B33:F33),0)</f>
        <v>0</v>
      </c>
      <c r="N19" s="2505" t="s">
        <v>1666</v>
      </c>
      <c r="O19" s="2504">
        <f>ROUNDDOWN(DATEDIF(E19,G19,"M")/3,0)</f>
        <v>29</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2819</v>
      </c>
      <c r="M20" s="2837">
        <f>ROUND(SUMPRODUCT((地价!A4:A33=YEAR(G19)&amp;"-"&amp;ROUNDUP(MONTH(G19)/3,0))*(地价!B2:F2=E2)*(地价!B4:F33)),0)</f>
        <v>0</v>
      </c>
      <c r="N20" s="2508" t="s">
        <v>2624</v>
      </c>
      <c r="O20" s="2506" t="s">
        <v>2623</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2987</v>
      </c>
      <c r="C21" s="1141"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0</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0"/>
      <c r="L22" s="1421"/>
      <c r="M22" s="1421"/>
      <c r="N22" s="1418" t="s">
        <v>968</v>
      </c>
      <c r="O22" s="1481"/>
      <c r="P22" s="2495">
        <f>SUMPRODUCT((地价!A3:A33=YEAR(G19)&amp;"-"&amp;ROUNDUP(MONTH(G19)/3,0))*(地价!AD2:AH2=N22)*(地价!AD3:AH33))</f>
        <v>0</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0</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2626</v>
      </c>
      <c r="O25" s="2839"/>
      <c r="P25" s="2302">
        <f>SUMPRODUCT((地价!A3:A33=YEAR(G19)&amp;"-"&amp;ROUNDUP(MONTH(G19)/3,0))*(地价!AD2:AH2=N25)*(地价!AD3:AH33))</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5"/>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7"/>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47"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8"/>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8"/>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4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9"/>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4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2946</v>
      </c>
      <c r="C41" s="828" t="e">
        <f>ROUND(POWER(1+E41,H41-G41)*(POWER(1+E41,G41)-1)/(POWER(1+E41,H41)-1),4)</f>
        <v>#DIV/0!</v>
      </c>
      <c r="D41" s="372" t="s">
        <v>2944</v>
      </c>
      <c r="E41" s="2832">
        <f>G20</f>
        <v>0</v>
      </c>
      <c r="F41" s="372" t="s">
        <v>2945</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5" t="s">
        <v>2902</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4" t="s">
        <v>2901</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5" t="s">
        <v>2903</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4" t="s">
        <v>2901</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4" t="s">
        <v>2901</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4" t="s">
        <v>2901</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6" t="s">
        <v>1623</v>
      </c>
      <c r="B90" s="3556"/>
      <c r="C90" s="3556"/>
      <c r="D90" s="3556"/>
      <c r="E90" s="3556"/>
      <c r="F90" s="3556"/>
      <c r="G90" s="3556"/>
      <c r="H90" s="3556"/>
      <c r="I90" s="3556"/>
      <c r="J90" s="3556"/>
      <c r="K90" s="2305"/>
      <c r="L90" s="2305"/>
      <c r="M90" s="2305"/>
      <c r="N90" s="2305"/>
    </row>
    <row r="91" spans="1:40">
      <c r="A91" s="3557" t="s">
        <v>1433</v>
      </c>
      <c r="B91" s="3557" t="s">
        <v>1624</v>
      </c>
      <c r="C91" s="1123" t="s">
        <v>1625</v>
      </c>
      <c r="D91" s="1124"/>
      <c r="E91" s="1124"/>
      <c r="F91" s="1124"/>
      <c r="G91" s="1124"/>
      <c r="H91" s="1124"/>
      <c r="I91" s="1124"/>
      <c r="J91" s="1125"/>
      <c r="K91" s="1117"/>
      <c r="L91" s="1117"/>
      <c r="M91" s="1117"/>
      <c r="N91" s="1117"/>
    </row>
    <row r="92" spans="1:40">
      <c r="A92" s="3557"/>
      <c r="B92" s="355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40"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1"/>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2"/>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0"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41"/>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41"/>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41"/>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41"/>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41"/>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41"/>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41"/>
      <c r="B108" s="3543"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2"/>
      <c r="B109" s="3544"/>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50" t="s">
        <v>1629</v>
      </c>
      <c r="B110" s="3550"/>
      <c r="C110" s="3550"/>
      <c r="D110" s="3550"/>
      <c r="E110" s="3550"/>
      <c r="F110" s="3550"/>
      <c r="G110" s="3550"/>
      <c r="H110" s="3550"/>
      <c r="I110" s="3550"/>
      <c r="J110" s="3550"/>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57" t="s">
        <v>997</v>
      </c>
      <c r="B18" s="1137" t="s">
        <v>1436</v>
      </c>
      <c r="C18" s="1114" t="s">
        <v>1437</v>
      </c>
      <c r="D18" s="1115"/>
      <c r="E18" s="1137">
        <v>1</v>
      </c>
      <c r="F18" s="1116" t="s">
        <v>1438</v>
      </c>
      <c r="G18" s="1117"/>
      <c r="H18" s="1088"/>
      <c r="I18" s="1088"/>
    </row>
    <row r="19" spans="1:9" s="1529" customFormat="1" ht="19.5" customHeight="1">
      <c r="A19" s="3557"/>
      <c r="B19" s="3557" t="s">
        <v>1439</v>
      </c>
      <c r="C19" s="1114" t="s">
        <v>1440</v>
      </c>
      <c r="D19" s="1115"/>
      <c r="E19" s="1137">
        <v>0.9</v>
      </c>
      <c r="F19" s="1116" t="s">
        <v>1441</v>
      </c>
      <c r="G19" s="1117"/>
      <c r="H19" s="1088"/>
      <c r="I19" s="1088"/>
    </row>
    <row r="20" spans="1:9" s="1529" customFormat="1" ht="19.5" customHeight="1">
      <c r="A20" s="3557"/>
      <c r="B20" s="3557"/>
      <c r="C20" s="1114" t="s">
        <v>1442</v>
      </c>
      <c r="D20" s="1115"/>
      <c r="E20" s="1137">
        <v>1.1000000000000001</v>
      </c>
      <c r="F20" s="1116" t="s">
        <v>1443</v>
      </c>
      <c r="G20" s="1117"/>
      <c r="H20" s="1088"/>
      <c r="I20" s="1088"/>
    </row>
    <row r="21" spans="1:9" s="1529" customFormat="1" ht="19.5" customHeight="1">
      <c r="A21" s="3557"/>
      <c r="B21" s="3557"/>
      <c r="C21" s="1114" t="s">
        <v>1444</v>
      </c>
      <c r="D21" s="1115"/>
      <c r="E21" s="1137">
        <v>0.8</v>
      </c>
      <c r="F21" s="1116" t="s">
        <v>1445</v>
      </c>
      <c r="G21" s="1117"/>
      <c r="H21" s="1088"/>
      <c r="I21" s="1088"/>
    </row>
    <row r="22" spans="1:9" s="1529" customFormat="1" ht="19.5" customHeight="1">
      <c r="A22" s="3557"/>
      <c r="B22" s="3557"/>
      <c r="C22" s="1114" t="s">
        <v>1446</v>
      </c>
      <c r="D22" s="1115"/>
      <c r="E22" s="1137">
        <v>0.5</v>
      </c>
      <c r="F22" s="1116"/>
      <c r="G22" s="1117"/>
      <c r="H22" s="1088"/>
      <c r="I22" s="1088"/>
    </row>
    <row r="23" spans="1:9" s="1529" customFormat="1" ht="19.5" customHeight="1">
      <c r="A23" s="3557" t="s">
        <v>1019</v>
      </c>
      <c r="B23" s="1137" t="s">
        <v>1436</v>
      </c>
      <c r="C23" s="1114" t="s">
        <v>1447</v>
      </c>
      <c r="D23" s="1115"/>
      <c r="E23" s="1137">
        <v>1</v>
      </c>
      <c r="F23" s="1116" t="s">
        <v>1448</v>
      </c>
      <c r="G23" s="1117"/>
      <c r="H23" s="1088"/>
      <c r="I23" s="1088"/>
    </row>
    <row r="24" spans="1:9" s="1529" customFormat="1" ht="19.5" customHeight="1">
      <c r="A24" s="3557"/>
      <c r="B24" s="3557" t="s">
        <v>1439</v>
      </c>
      <c r="C24" s="1114" t="s">
        <v>1449</v>
      </c>
      <c r="D24" s="1115"/>
      <c r="E24" s="1137">
        <v>0.5</v>
      </c>
      <c r="F24" s="1116"/>
      <c r="G24" s="1117"/>
      <c r="H24" s="1088"/>
      <c r="I24" s="1088"/>
    </row>
    <row r="25" spans="1:9" s="1529" customFormat="1" ht="19.5" customHeight="1">
      <c r="A25" s="3557"/>
      <c r="B25" s="3557"/>
      <c r="C25" s="1114" t="s">
        <v>1450</v>
      </c>
      <c r="D25" s="1115"/>
      <c r="E25" s="1137">
        <v>1.1000000000000001</v>
      </c>
      <c r="F25" s="1116"/>
      <c r="G25" s="1117"/>
      <c r="H25" s="1088"/>
      <c r="I25" s="1088"/>
    </row>
    <row r="26" spans="1:9" s="1529" customFormat="1" ht="19.5" customHeight="1">
      <c r="A26" s="3557"/>
      <c r="B26" s="3557"/>
      <c r="C26" s="1114" t="s">
        <v>1451</v>
      </c>
      <c r="D26" s="1115"/>
      <c r="E26" s="1137">
        <v>1.1000000000000001</v>
      </c>
      <c r="F26" s="1116"/>
      <c r="G26" s="1117"/>
      <c r="H26" s="1088"/>
      <c r="I26" s="1088"/>
    </row>
    <row r="27" spans="1:9" s="1529" customFormat="1" ht="19.5" customHeight="1">
      <c r="A27" s="3557"/>
      <c r="B27" s="3557"/>
      <c r="C27" s="1114" t="s">
        <v>1452</v>
      </c>
      <c r="D27" s="1115"/>
      <c r="E27" s="1137">
        <v>0.9</v>
      </c>
      <c r="F27" s="1116" t="s">
        <v>1453</v>
      </c>
      <c r="G27" s="1117"/>
      <c r="H27" s="1088"/>
      <c r="I27" s="1088"/>
    </row>
    <row r="28" spans="1:9" s="1529" customFormat="1" ht="19.5" customHeight="1">
      <c r="A28" s="3557"/>
      <c r="B28" s="3557"/>
      <c r="C28" s="1114" t="s">
        <v>1454</v>
      </c>
      <c r="D28" s="1115"/>
      <c r="E28" s="1137">
        <v>0.9</v>
      </c>
      <c r="F28" s="1116" t="s">
        <v>1455</v>
      </c>
      <c r="G28" s="1117"/>
      <c r="H28" s="1088"/>
      <c r="I28" s="1088"/>
    </row>
    <row r="29" spans="1:9" s="1529" customFormat="1" ht="19.5" customHeight="1">
      <c r="A29" s="3557"/>
      <c r="B29" s="3557"/>
      <c r="C29" s="1114" t="s">
        <v>1456</v>
      </c>
      <c r="D29" s="1115"/>
      <c r="E29" s="1137">
        <v>0.9</v>
      </c>
      <c r="F29" s="1116" t="s">
        <v>1457</v>
      </c>
      <c r="G29" s="1117"/>
      <c r="H29" s="1088"/>
      <c r="I29" s="1088"/>
    </row>
    <row r="30" spans="1:9" s="1529" customFormat="1" ht="19.5" customHeight="1">
      <c r="A30" s="3557"/>
      <c r="B30" s="3557"/>
      <c r="C30" s="1114" t="s">
        <v>1458</v>
      </c>
      <c r="D30" s="1115"/>
      <c r="E30" s="1137">
        <v>0.9</v>
      </c>
      <c r="F30" s="1116" t="s">
        <v>1459</v>
      </c>
      <c r="G30" s="1117"/>
      <c r="H30" s="1088"/>
      <c r="I30" s="1088"/>
    </row>
    <row r="31" spans="1:9" s="1529" customFormat="1" ht="19.5" customHeight="1">
      <c r="A31" s="3557"/>
      <c r="B31" s="3557"/>
      <c r="C31" s="1114" t="s">
        <v>1460</v>
      </c>
      <c r="D31" s="1115"/>
      <c r="E31" s="1137">
        <v>0.8</v>
      </c>
      <c r="F31" s="1116" t="s">
        <v>1461</v>
      </c>
      <c r="G31" s="1117"/>
      <c r="H31" s="1088"/>
      <c r="I31" s="1088"/>
    </row>
    <row r="32" spans="1:9" s="1529" customFormat="1" ht="19.5" customHeight="1">
      <c r="A32" s="3557"/>
      <c r="B32" s="3557"/>
      <c r="C32" s="1114" t="s">
        <v>1462</v>
      </c>
      <c r="D32" s="1115"/>
      <c r="E32" s="1137">
        <v>0.8</v>
      </c>
      <c r="F32" s="1116" t="s">
        <v>1463</v>
      </c>
      <c r="G32" s="1117"/>
      <c r="H32" s="1088"/>
      <c r="I32" s="1088"/>
    </row>
    <row r="33" spans="1:9" s="1529" customFormat="1" ht="19.5" customHeight="1">
      <c r="A33" s="3557" t="s">
        <v>1464</v>
      </c>
      <c r="B33" s="1137" t="s">
        <v>1436</v>
      </c>
      <c r="C33" s="1114" t="s">
        <v>1465</v>
      </c>
      <c r="D33" s="1115"/>
      <c r="E33" s="1137">
        <v>1</v>
      </c>
      <c r="F33" s="1116" t="s">
        <v>1466</v>
      </c>
      <c r="G33" s="1117"/>
      <c r="H33" s="1088"/>
      <c r="I33" s="1088"/>
    </row>
    <row r="34" spans="1:9" s="1529" customFormat="1" ht="19.5" customHeight="1">
      <c r="A34" s="3557"/>
      <c r="B34" s="1137" t="s">
        <v>1439</v>
      </c>
      <c r="C34" s="1114" t="s">
        <v>1467</v>
      </c>
      <c r="D34" s="1115"/>
      <c r="E34" s="1137">
        <v>1.5</v>
      </c>
      <c r="F34" s="1116" t="s">
        <v>1468</v>
      </c>
      <c r="G34" s="1117"/>
      <c r="H34" s="1088"/>
      <c r="I34" s="1088"/>
    </row>
    <row r="35" spans="1:9" s="1529" customFormat="1" ht="19.5" customHeight="1">
      <c r="A35" s="3557" t="s">
        <v>1422</v>
      </c>
      <c r="B35" s="1137" t="s">
        <v>1436</v>
      </c>
      <c r="C35" s="1114" t="s">
        <v>1469</v>
      </c>
      <c r="D35" s="1115"/>
      <c r="E35" s="1137">
        <v>1</v>
      </c>
      <c r="F35" s="1116" t="s">
        <v>1470</v>
      </c>
      <c r="G35" s="1117"/>
      <c r="H35" s="1088"/>
      <c r="I35" s="1088"/>
    </row>
    <row r="36" spans="1:9" s="1529" customFormat="1" ht="19.5" customHeight="1">
      <c r="A36" s="3557"/>
      <c r="B36" s="3557" t="s">
        <v>1439</v>
      </c>
      <c r="C36" s="1114" t="s">
        <v>1471</v>
      </c>
      <c r="D36" s="1115"/>
      <c r="E36" s="1137">
        <v>1</v>
      </c>
      <c r="F36" s="1116" t="s">
        <v>1472</v>
      </c>
      <c r="G36" s="1117"/>
      <c r="H36" s="1088"/>
      <c r="I36" s="1088"/>
    </row>
    <row r="37" spans="1:9" s="1529" customFormat="1" ht="19.5" customHeight="1">
      <c r="A37" s="3557"/>
      <c r="B37" s="3557"/>
      <c r="C37" s="1114" t="s">
        <v>1473</v>
      </c>
      <c r="D37" s="1115"/>
      <c r="E37" s="1137">
        <v>1.5</v>
      </c>
      <c r="F37" s="1116" t="s">
        <v>1474</v>
      </c>
      <c r="G37" s="1117"/>
      <c r="H37" s="1088"/>
      <c r="I37" s="1088"/>
    </row>
    <row r="38" spans="1:9" s="1529" customFormat="1" ht="19.5" customHeight="1">
      <c r="A38" s="3557"/>
      <c r="B38" s="3557"/>
      <c r="C38" s="1114" t="s">
        <v>1475</v>
      </c>
      <c r="D38" s="1115"/>
      <c r="E38" s="1137">
        <v>1</v>
      </c>
      <c r="F38" s="1116" t="s">
        <v>1476</v>
      </c>
      <c r="G38" s="1117"/>
      <c r="H38" s="1088"/>
      <c r="I38" s="1088"/>
    </row>
    <row r="39" spans="1:9" s="1529" customFormat="1" ht="19.5" customHeight="1">
      <c r="A39" s="3557"/>
      <c r="B39" s="3557"/>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57" t="s">
        <v>1491</v>
      </c>
      <c r="C61" s="1051" t="s">
        <v>1492</v>
      </c>
      <c r="D61" s="1051" t="s">
        <v>1493</v>
      </c>
      <c r="E61" s="1122">
        <v>0.5</v>
      </c>
      <c r="F61" s="1137">
        <v>80</v>
      </c>
      <c r="H61" s="1088">
        <f>SUMIF(C59:C119,基准地价!C8,E59:E119)</f>
        <v>0</v>
      </c>
    </row>
    <row r="62" spans="1:8" s="1088" customFormat="1" ht="24">
      <c r="A62" s="1137">
        <v>2</v>
      </c>
      <c r="B62" s="3557"/>
      <c r="C62" s="1051" t="s">
        <v>1494</v>
      </c>
      <c r="D62" s="1051" t="s">
        <v>1495</v>
      </c>
      <c r="E62" s="1122">
        <v>0.5</v>
      </c>
      <c r="F62" s="1137">
        <v>80</v>
      </c>
    </row>
    <row r="63" spans="1:8" s="1088" customFormat="1" ht="36">
      <c r="A63" s="1137">
        <v>3</v>
      </c>
      <c r="B63" s="3557"/>
      <c r="C63" s="1051" t="s">
        <v>1496</v>
      </c>
      <c r="D63" s="1051" t="s">
        <v>1497</v>
      </c>
      <c r="E63" s="1122">
        <v>0.5</v>
      </c>
      <c r="F63" s="1137">
        <v>80</v>
      </c>
    </row>
    <row r="64" spans="1:8" s="1088" customFormat="1" ht="36">
      <c r="A64" s="1137">
        <v>4</v>
      </c>
      <c r="B64" s="3557"/>
      <c r="C64" s="1051" t="s">
        <v>1498</v>
      </c>
      <c r="D64" s="1051" t="s">
        <v>1499</v>
      </c>
      <c r="E64" s="1122">
        <v>0.4</v>
      </c>
      <c r="F64" s="1137">
        <v>60</v>
      </c>
    </row>
    <row r="65" spans="1:6" s="1088" customFormat="1" ht="36">
      <c r="A65" s="1137">
        <v>5</v>
      </c>
      <c r="B65" s="3557"/>
      <c r="C65" s="1051" t="s">
        <v>1500</v>
      </c>
      <c r="D65" s="1051" t="s">
        <v>1501</v>
      </c>
      <c r="E65" s="1122">
        <v>0.2</v>
      </c>
      <c r="F65" s="1137">
        <v>30</v>
      </c>
    </row>
    <row r="66" spans="1:6" s="1088" customFormat="1" ht="36">
      <c r="A66" s="1137">
        <v>6</v>
      </c>
      <c r="B66" s="3557"/>
      <c r="C66" s="1051" t="s">
        <v>1502</v>
      </c>
      <c r="D66" s="1051" t="s">
        <v>1503</v>
      </c>
      <c r="E66" s="1122">
        <v>0.3</v>
      </c>
      <c r="F66" s="1137">
        <v>50</v>
      </c>
    </row>
    <row r="67" spans="1:6" s="1088" customFormat="1" ht="36">
      <c r="A67" s="1137">
        <v>7</v>
      </c>
      <c r="B67" s="3557"/>
      <c r="C67" s="1051" t="s">
        <v>1504</v>
      </c>
      <c r="D67" s="1051" t="s">
        <v>1505</v>
      </c>
      <c r="E67" s="1122">
        <v>0.2</v>
      </c>
      <c r="F67" s="1137">
        <v>30</v>
      </c>
    </row>
    <row r="68" spans="1:6" s="1088" customFormat="1" ht="36">
      <c r="A68" s="1137">
        <v>8</v>
      </c>
      <c r="B68" s="3557"/>
      <c r="C68" s="1051" t="s">
        <v>1506</v>
      </c>
      <c r="D68" s="1051" t="s">
        <v>1507</v>
      </c>
      <c r="E68" s="1122">
        <v>0.2</v>
      </c>
      <c r="F68" s="1137">
        <v>30</v>
      </c>
    </row>
    <row r="69" spans="1:6" s="1088" customFormat="1" ht="36">
      <c r="A69" s="1137">
        <v>9</v>
      </c>
      <c r="B69" s="3557"/>
      <c r="C69" s="1051" t="s">
        <v>1508</v>
      </c>
      <c r="D69" s="1051" t="s">
        <v>1509</v>
      </c>
      <c r="E69" s="1122">
        <v>0.2</v>
      </c>
      <c r="F69" s="1137">
        <v>30</v>
      </c>
    </row>
    <row r="70" spans="1:6" s="1088" customFormat="1" ht="48">
      <c r="A70" s="1137">
        <v>10</v>
      </c>
      <c r="B70" s="3557"/>
      <c r="C70" s="1051" t="s">
        <v>1510</v>
      </c>
      <c r="D70" s="1051" t="s">
        <v>1511</v>
      </c>
      <c r="E70" s="1122">
        <v>0.2</v>
      </c>
      <c r="F70" s="1137">
        <v>30</v>
      </c>
    </row>
    <row r="71" spans="1:6" s="1088" customFormat="1" ht="48">
      <c r="A71" s="1137">
        <v>11</v>
      </c>
      <c r="B71" s="3557"/>
      <c r="C71" s="1051" t="s">
        <v>1512</v>
      </c>
      <c r="D71" s="1051" t="s">
        <v>1513</v>
      </c>
      <c r="E71" s="1122">
        <v>0.2</v>
      </c>
      <c r="F71" s="1137">
        <v>30</v>
      </c>
    </row>
    <row r="72" spans="1:6" s="1088" customFormat="1" ht="36">
      <c r="A72" s="1137">
        <v>12</v>
      </c>
      <c r="B72" s="3557"/>
      <c r="C72" s="1051" t="s">
        <v>1514</v>
      </c>
      <c r="D72" s="1051" t="s">
        <v>1515</v>
      </c>
      <c r="E72" s="1122">
        <v>0.5</v>
      </c>
      <c r="F72" s="1137">
        <v>80</v>
      </c>
    </row>
    <row r="73" spans="1:6" s="1088" customFormat="1" ht="24">
      <c r="A73" s="1137">
        <v>13</v>
      </c>
      <c r="B73" s="3557"/>
      <c r="C73" s="1051" t="s">
        <v>1516</v>
      </c>
      <c r="D73" s="1051" t="s">
        <v>1517</v>
      </c>
      <c r="E73" s="1122">
        <v>0.4</v>
      </c>
      <c r="F73" s="1137">
        <v>60</v>
      </c>
    </row>
    <row r="74" spans="1:6" s="1088" customFormat="1" ht="24">
      <c r="A74" s="1137">
        <v>14</v>
      </c>
      <c r="B74" s="3557"/>
      <c r="C74" s="1051" t="s">
        <v>1518</v>
      </c>
      <c r="D74" s="1051" t="s">
        <v>1519</v>
      </c>
      <c r="E74" s="1122">
        <v>0.2</v>
      </c>
      <c r="F74" s="1137">
        <v>30</v>
      </c>
    </row>
    <row r="75" spans="1:6" s="1088" customFormat="1" ht="24">
      <c r="A75" s="1137">
        <v>15</v>
      </c>
      <c r="B75" s="3557"/>
      <c r="C75" s="1051" t="s">
        <v>1520</v>
      </c>
      <c r="D75" s="1051" t="s">
        <v>1521</v>
      </c>
      <c r="E75" s="1122">
        <v>0.2</v>
      </c>
      <c r="F75" s="1137">
        <v>30</v>
      </c>
    </row>
    <row r="76" spans="1:6" s="1088" customFormat="1" ht="24">
      <c r="A76" s="1137">
        <v>16</v>
      </c>
      <c r="B76" s="3557" t="s">
        <v>1522</v>
      </c>
      <c r="C76" s="1051" t="s">
        <v>1523</v>
      </c>
      <c r="D76" s="1051" t="s">
        <v>1524</v>
      </c>
      <c r="E76" s="1122">
        <v>0.5</v>
      </c>
      <c r="F76" s="1137">
        <v>80</v>
      </c>
    </row>
    <row r="77" spans="1:6" s="1088" customFormat="1" ht="24">
      <c r="A77" s="1137">
        <v>17</v>
      </c>
      <c r="B77" s="3557"/>
      <c r="C77" s="1051" t="s">
        <v>1525</v>
      </c>
      <c r="D77" s="1051" t="s">
        <v>1526</v>
      </c>
      <c r="E77" s="1122">
        <v>0.5</v>
      </c>
      <c r="F77" s="1137">
        <v>80</v>
      </c>
    </row>
    <row r="78" spans="1:6" s="1088" customFormat="1" ht="24">
      <c r="A78" s="1137">
        <v>18</v>
      </c>
      <c r="B78" s="3557"/>
      <c r="C78" s="1051" t="s">
        <v>1527</v>
      </c>
      <c r="D78" s="1051" t="s">
        <v>1528</v>
      </c>
      <c r="E78" s="1122">
        <v>0.2</v>
      </c>
      <c r="F78" s="1137">
        <v>30</v>
      </c>
    </row>
    <row r="79" spans="1:6" s="1088" customFormat="1" ht="24">
      <c r="A79" s="1137">
        <v>19</v>
      </c>
      <c r="B79" s="3557"/>
      <c r="C79" s="1051" t="s">
        <v>1529</v>
      </c>
      <c r="D79" s="1051" t="s">
        <v>1530</v>
      </c>
      <c r="E79" s="1122">
        <v>0.5</v>
      </c>
      <c r="F79" s="1137">
        <v>80</v>
      </c>
    </row>
    <row r="80" spans="1:6" s="1088" customFormat="1" ht="36">
      <c r="A80" s="1137">
        <v>20</v>
      </c>
      <c r="B80" s="3557"/>
      <c r="C80" s="1051" t="s">
        <v>1531</v>
      </c>
      <c r="D80" s="1051" t="s">
        <v>1532</v>
      </c>
      <c r="E80" s="1122">
        <v>0.2</v>
      </c>
      <c r="F80" s="1137">
        <v>30</v>
      </c>
    </row>
    <row r="81" spans="1:6" s="1088" customFormat="1" ht="36">
      <c r="A81" s="1137">
        <v>21</v>
      </c>
      <c r="B81" s="3557"/>
      <c r="C81" s="1051" t="s">
        <v>1533</v>
      </c>
      <c r="D81" s="1051" t="s">
        <v>1534</v>
      </c>
      <c r="E81" s="1122">
        <v>0.2</v>
      </c>
      <c r="F81" s="1137">
        <v>30</v>
      </c>
    </row>
    <row r="82" spans="1:6" s="1088" customFormat="1" ht="48">
      <c r="A82" s="1137">
        <v>22</v>
      </c>
      <c r="B82" s="3557"/>
      <c r="C82" s="1051" t="s">
        <v>1535</v>
      </c>
      <c r="D82" s="1051" t="s">
        <v>1536</v>
      </c>
      <c r="E82" s="1122">
        <v>0.2</v>
      </c>
      <c r="F82" s="1137">
        <v>30</v>
      </c>
    </row>
    <row r="83" spans="1:6" s="1088" customFormat="1" ht="48">
      <c r="A83" s="1137">
        <v>23</v>
      </c>
      <c r="B83" s="3557"/>
      <c r="C83" s="1051" t="s">
        <v>1537</v>
      </c>
      <c r="D83" s="1051" t="s">
        <v>1538</v>
      </c>
      <c r="E83" s="1122">
        <v>0.2</v>
      </c>
      <c r="F83" s="1137">
        <v>30</v>
      </c>
    </row>
    <row r="84" spans="1:6" s="1088" customFormat="1" ht="36">
      <c r="A84" s="1137">
        <v>24</v>
      </c>
      <c r="B84" s="3557"/>
      <c r="C84" s="1051" t="s">
        <v>1539</v>
      </c>
      <c r="D84" s="1051" t="s">
        <v>1540</v>
      </c>
      <c r="E84" s="1122">
        <v>0.2</v>
      </c>
      <c r="F84" s="1137">
        <v>30</v>
      </c>
    </row>
    <row r="85" spans="1:6" s="1088" customFormat="1" ht="36">
      <c r="A85" s="1137">
        <v>25</v>
      </c>
      <c r="B85" s="3557"/>
      <c r="C85" s="1051" t="s">
        <v>1541</v>
      </c>
      <c r="D85" s="1051" t="s">
        <v>1542</v>
      </c>
      <c r="E85" s="1122">
        <v>0.5</v>
      </c>
      <c r="F85" s="1137">
        <v>80</v>
      </c>
    </row>
    <row r="86" spans="1:6" s="1088" customFormat="1" ht="36">
      <c r="A86" s="1137">
        <v>26</v>
      </c>
      <c r="B86" s="3557"/>
      <c r="C86" s="1051" t="s">
        <v>1543</v>
      </c>
      <c r="D86" s="1051" t="s">
        <v>1544</v>
      </c>
      <c r="E86" s="1122">
        <v>0.2</v>
      </c>
      <c r="F86" s="1137">
        <v>30</v>
      </c>
    </row>
    <row r="87" spans="1:6" s="1088" customFormat="1" ht="36">
      <c r="A87" s="1137">
        <v>27</v>
      </c>
      <c r="B87" s="3557"/>
      <c r="C87" s="1051" t="s">
        <v>1545</v>
      </c>
      <c r="D87" s="1051" t="s">
        <v>1546</v>
      </c>
      <c r="E87" s="1122">
        <v>0.2</v>
      </c>
      <c r="F87" s="1137">
        <v>30</v>
      </c>
    </row>
    <row r="88" spans="1:6" s="1088" customFormat="1" ht="36">
      <c r="A88" s="1137">
        <v>28</v>
      </c>
      <c r="B88" s="3557"/>
      <c r="C88" s="1051" t="s">
        <v>1547</v>
      </c>
      <c r="D88" s="1051" t="s">
        <v>1548</v>
      </c>
      <c r="E88" s="1122">
        <v>0.2</v>
      </c>
      <c r="F88" s="1137">
        <v>30</v>
      </c>
    </row>
    <row r="89" spans="1:6" s="1088" customFormat="1" ht="24">
      <c r="A89" s="1137">
        <v>29</v>
      </c>
      <c r="B89" s="3557"/>
      <c r="C89" s="1051" t="s">
        <v>1549</v>
      </c>
      <c r="D89" s="1051" t="s">
        <v>1550</v>
      </c>
      <c r="E89" s="1122">
        <v>0.2</v>
      </c>
      <c r="F89" s="1137">
        <v>30</v>
      </c>
    </row>
    <row r="90" spans="1:6" s="1088" customFormat="1" ht="24">
      <c r="A90" s="1137">
        <v>30</v>
      </c>
      <c r="B90" s="3557"/>
      <c r="C90" s="1051" t="s">
        <v>1551</v>
      </c>
      <c r="D90" s="1051" t="s">
        <v>1552</v>
      </c>
      <c r="E90" s="1122">
        <v>0.2</v>
      </c>
      <c r="F90" s="1137">
        <v>30</v>
      </c>
    </row>
    <row r="91" spans="1:6" s="1088" customFormat="1" ht="36">
      <c r="A91" s="1137">
        <v>31</v>
      </c>
      <c r="B91" s="3557"/>
      <c r="C91" s="1051" t="s">
        <v>1553</v>
      </c>
      <c r="D91" s="1051" t="s">
        <v>1554</v>
      </c>
      <c r="E91" s="1122">
        <v>0.2</v>
      </c>
      <c r="F91" s="1137">
        <v>30</v>
      </c>
    </row>
    <row r="92" spans="1:6" s="1088" customFormat="1" ht="24">
      <c r="A92" s="1137">
        <v>32</v>
      </c>
      <c r="B92" s="3557" t="s">
        <v>1555</v>
      </c>
      <c r="C92" s="1137" t="s">
        <v>1556</v>
      </c>
      <c r="D92" s="1051" t="s">
        <v>1557</v>
      </c>
      <c r="E92" s="1122">
        <v>0.2</v>
      </c>
      <c r="F92" s="1137">
        <v>30</v>
      </c>
    </row>
    <row r="93" spans="1:6" s="1088" customFormat="1" ht="36">
      <c r="A93" s="1137">
        <v>33</v>
      </c>
      <c r="B93" s="3557"/>
      <c r="C93" s="1137" t="s">
        <v>1558</v>
      </c>
      <c r="D93" s="1051" t="s">
        <v>1559</v>
      </c>
      <c r="E93" s="1122">
        <v>0.2</v>
      </c>
      <c r="F93" s="1137">
        <v>30</v>
      </c>
    </row>
    <row r="94" spans="1:6" s="1088" customFormat="1" ht="48">
      <c r="A94" s="1137">
        <v>34</v>
      </c>
      <c r="B94" s="3557"/>
      <c r="C94" s="1137" t="s">
        <v>1560</v>
      </c>
      <c r="D94" s="1051" t="s">
        <v>1561</v>
      </c>
      <c r="E94" s="1122">
        <v>0.2</v>
      </c>
      <c r="F94" s="1137">
        <v>30</v>
      </c>
    </row>
    <row r="95" spans="1:6" s="1088" customFormat="1" ht="36">
      <c r="A95" s="1137">
        <v>35</v>
      </c>
      <c r="B95" s="3557"/>
      <c r="C95" s="1137" t="s">
        <v>1562</v>
      </c>
      <c r="D95" s="1051" t="s">
        <v>1563</v>
      </c>
      <c r="E95" s="1122">
        <v>0.2</v>
      </c>
      <c r="F95" s="1137">
        <v>30</v>
      </c>
    </row>
    <row r="96" spans="1:6" s="1088" customFormat="1" ht="48">
      <c r="A96" s="1137">
        <v>36</v>
      </c>
      <c r="B96" s="3557"/>
      <c r="C96" s="1051" t="s">
        <v>1564</v>
      </c>
      <c r="D96" s="1051" t="s">
        <v>1565</v>
      </c>
      <c r="E96" s="1122">
        <v>0.2</v>
      </c>
      <c r="F96" s="1137">
        <v>30</v>
      </c>
    </row>
    <row r="97" spans="1:6" s="1088" customFormat="1" ht="36">
      <c r="A97" s="1137">
        <v>37</v>
      </c>
      <c r="B97" s="3557"/>
      <c r="C97" s="1137" t="s">
        <v>1566</v>
      </c>
      <c r="D97" s="1051" t="s">
        <v>1567</v>
      </c>
      <c r="E97" s="1122">
        <v>0.2</v>
      </c>
      <c r="F97" s="1137">
        <v>30</v>
      </c>
    </row>
    <row r="98" spans="1:6" s="1088" customFormat="1" ht="36">
      <c r="A98" s="1137">
        <v>38</v>
      </c>
      <c r="B98" s="3557"/>
      <c r="C98" s="1137" t="s">
        <v>1568</v>
      </c>
      <c r="D98" s="1051" t="s">
        <v>1569</v>
      </c>
      <c r="E98" s="1122">
        <v>0.2</v>
      </c>
      <c r="F98" s="1137">
        <v>30</v>
      </c>
    </row>
    <row r="99" spans="1:6" s="1088" customFormat="1" ht="36">
      <c r="A99" s="1137">
        <v>39</v>
      </c>
      <c r="B99" s="3557" t="s">
        <v>1570</v>
      </c>
      <c r="C99" s="1137" t="s">
        <v>1571</v>
      </c>
      <c r="D99" s="1051" t="s">
        <v>1572</v>
      </c>
      <c r="E99" s="1122">
        <v>0.3</v>
      </c>
      <c r="F99" s="1137">
        <v>50</v>
      </c>
    </row>
    <row r="100" spans="1:6" s="1088" customFormat="1" ht="24">
      <c r="A100" s="1137">
        <v>40</v>
      </c>
      <c r="B100" s="3557"/>
      <c r="C100" s="1137" t="s">
        <v>1573</v>
      </c>
      <c r="D100" s="1051" t="s">
        <v>1574</v>
      </c>
      <c r="E100" s="1122">
        <v>0.2</v>
      </c>
      <c r="F100" s="1137">
        <v>30</v>
      </c>
    </row>
    <row r="101" spans="1:6" s="1088" customFormat="1" ht="36">
      <c r="A101" s="1137">
        <v>41</v>
      </c>
      <c r="B101" s="3557"/>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57" t="s">
        <v>1585</v>
      </c>
      <c r="C105" s="1137" t="s">
        <v>1586</v>
      </c>
      <c r="D105" s="1051" t="s">
        <v>1587</v>
      </c>
      <c r="E105" s="1122">
        <v>0.2</v>
      </c>
      <c r="F105" s="1137">
        <v>30</v>
      </c>
    </row>
    <row r="106" spans="1:6" s="1088" customFormat="1" ht="36">
      <c r="A106" s="1137">
        <v>46</v>
      </c>
      <c r="B106" s="3557"/>
      <c r="C106" s="1137" t="s">
        <v>1588</v>
      </c>
      <c r="D106" s="1051" t="s">
        <v>1589</v>
      </c>
      <c r="E106" s="1122">
        <v>0.2</v>
      </c>
      <c r="F106" s="1137">
        <v>30</v>
      </c>
    </row>
    <row r="107" spans="1:6" s="1088" customFormat="1" ht="36">
      <c r="A107" s="1137">
        <v>47</v>
      </c>
      <c r="B107" s="3557" t="s">
        <v>1590</v>
      </c>
      <c r="C107" s="1137" t="s">
        <v>1591</v>
      </c>
      <c r="D107" s="1051" t="s">
        <v>1592</v>
      </c>
      <c r="E107" s="1122">
        <v>0.3</v>
      </c>
      <c r="F107" s="1137">
        <v>50</v>
      </c>
    </row>
    <row r="108" spans="1:6" s="1088" customFormat="1" ht="36">
      <c r="A108" s="1137">
        <v>48</v>
      </c>
      <c r="B108" s="3557"/>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57" t="s">
        <v>1601</v>
      </c>
      <c r="C111" s="1137" t="s">
        <v>1602</v>
      </c>
      <c r="D111" s="1051" t="s">
        <v>1603</v>
      </c>
      <c r="E111" s="1122">
        <v>0.2</v>
      </c>
      <c r="F111" s="1137">
        <v>30</v>
      </c>
    </row>
    <row r="112" spans="1:6" s="1088" customFormat="1" ht="24">
      <c r="A112" s="1137">
        <v>52</v>
      </c>
      <c r="B112" s="3557"/>
      <c r="C112" s="1137" t="s">
        <v>1604</v>
      </c>
      <c r="D112" s="1051" t="s">
        <v>1605</v>
      </c>
      <c r="E112" s="1122">
        <v>0.2</v>
      </c>
      <c r="F112" s="1137">
        <v>30</v>
      </c>
    </row>
    <row r="113" spans="1:14" s="1088" customFormat="1" ht="24">
      <c r="A113" s="1137">
        <v>53</v>
      </c>
      <c r="B113" s="3557"/>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57" t="s">
        <v>1614</v>
      </c>
      <c r="C116" s="1137" t="s">
        <v>1615</v>
      </c>
      <c r="D116" s="1051" t="s">
        <v>1616</v>
      </c>
      <c r="E116" s="1122">
        <v>0.2</v>
      </c>
      <c r="F116" s="1137">
        <v>30</v>
      </c>
    </row>
    <row r="117" spans="1:14" ht="36">
      <c r="A117" s="1137">
        <v>57</v>
      </c>
      <c r="B117" s="3557"/>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56" t="s">
        <v>1623</v>
      </c>
      <c r="B121" s="3556"/>
      <c r="C121" s="3556"/>
      <c r="D121" s="3556"/>
      <c r="E121" s="3556"/>
      <c r="F121" s="3556"/>
      <c r="G121" s="3556"/>
      <c r="H121" s="3556"/>
      <c r="I121" s="3556"/>
      <c r="J121" s="355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8" t="s">
        <v>1029</v>
      </c>
      <c r="B1" s="3558"/>
      <c r="C1" s="3558"/>
      <c r="D1" s="3558"/>
      <c r="E1" s="3558"/>
      <c r="F1" s="3558"/>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59" t="s">
        <v>1042</v>
      </c>
      <c r="B2" s="3559"/>
      <c r="C2" s="3559"/>
      <c r="D2" s="3559"/>
      <c r="E2" s="3559"/>
      <c r="F2" s="3559"/>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60"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61"/>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62" t="s">
        <v>2067</v>
      </c>
      <c r="B1" s="356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70" t="s">
        <v>2555</v>
      </c>
      <c r="C1" s="3570"/>
      <c r="D1" s="3570"/>
      <c r="E1" s="3570"/>
      <c r="F1" s="3570"/>
      <c r="G1" s="3569" t="s">
        <v>2556</v>
      </c>
      <c r="H1" s="3569"/>
      <c r="I1" s="3569"/>
      <c r="J1" s="3569"/>
      <c r="K1" s="3569"/>
      <c r="L1" s="3569"/>
      <c r="N1" s="3569" t="s">
        <v>2557</v>
      </c>
      <c r="O1" s="3569"/>
      <c r="P1" s="3569"/>
      <c r="Q1" s="3569"/>
      <c r="S1" s="3569" t="s">
        <v>2558</v>
      </c>
      <c r="T1" s="3569"/>
      <c r="U1" s="3569"/>
      <c r="V1" s="3569"/>
      <c r="X1" s="3568" t="s">
        <v>2618</v>
      </c>
      <c r="Y1" s="3569"/>
      <c r="Z1" s="3569"/>
      <c r="AA1" s="3569"/>
      <c r="AB1" s="3569"/>
      <c r="AD1" s="3568" t="s">
        <v>2622</v>
      </c>
      <c r="AE1" s="3569"/>
      <c r="AF1" s="3569"/>
      <c r="AG1" s="3569"/>
      <c r="AH1" s="3569"/>
    </row>
    <row r="2" spans="1:34" s="2865" customFormat="1" ht="14.25" thickBot="1">
      <c r="B2" s="2866" t="s">
        <v>2559</v>
      </c>
      <c r="C2" s="2866" t="s">
        <v>2620</v>
      </c>
      <c r="D2" s="2867" t="s">
        <v>1634</v>
      </c>
      <c r="E2" s="2867" t="s">
        <v>1937</v>
      </c>
      <c r="F2" s="2866" t="s">
        <v>2621</v>
      </c>
      <c r="G2" s="2868"/>
      <c r="I2" s="2866" t="s">
        <v>2919</v>
      </c>
      <c r="J2" s="2867" t="s">
        <v>2921</v>
      </c>
      <c r="K2" s="2867" t="s">
        <v>2922</v>
      </c>
      <c r="L2" s="2866" t="s">
        <v>2923</v>
      </c>
      <c r="N2" s="2866" t="s">
        <v>2559</v>
      </c>
      <c r="O2" s="2867" t="s">
        <v>2920</v>
      </c>
      <c r="P2" s="2867" t="s">
        <v>1937</v>
      </c>
      <c r="Q2" s="2866" t="s">
        <v>2621</v>
      </c>
      <c r="S2" s="2866" t="s">
        <v>2559</v>
      </c>
      <c r="T2" s="2867" t="s">
        <v>2920</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2930</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2999</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2954</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2951</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2950</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2947</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64">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2940</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64"/>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2941</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64"/>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2937</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565"/>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2929</v>
      </c>
      <c r="B18" s="2915">
        <v>439</v>
      </c>
      <c r="C18" s="2915">
        <v>327</v>
      </c>
      <c r="D18" s="2915">
        <f t="shared" si="131"/>
        <v>327</v>
      </c>
      <c r="E18" s="2915">
        <v>627</v>
      </c>
      <c r="F18" s="2916">
        <v>283</v>
      </c>
      <c r="G18" s="3563">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2932</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64"/>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564"/>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565"/>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563">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64"/>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564"/>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567"/>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566">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64"/>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564"/>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567"/>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566">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64"/>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564"/>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567"/>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571">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572"/>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572"/>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573"/>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566">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564"/>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564"/>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567"/>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566">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64">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564">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567">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566">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64">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564">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567">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566">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64">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564">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567">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566">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64">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564">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567">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566">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64">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564">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567">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566">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64">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564">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567">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566">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64">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564">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567">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566">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64">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564">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567">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566">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564">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564">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567">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566">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564">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564">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567">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2066</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2066</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-2.5</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622</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688</v>
      </c>
      <c r="I3" s="1940"/>
      <c r="J3" s="1940"/>
      <c r="K3" s="1941"/>
      <c r="L3" s="1940"/>
      <c r="M3" s="1940"/>
    </row>
    <row r="4" spans="1:25" ht="18" customHeight="1">
      <c r="A4" s="1574" t="s">
        <v>689</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690</v>
      </c>
      <c r="D5" s="1938"/>
      <c r="E5" s="1939"/>
      <c r="F5" s="1939"/>
      <c r="G5" s="1524"/>
      <c r="H5" s="766"/>
      <c r="I5" s="1940"/>
      <c r="J5" s="1940"/>
      <c r="K5" s="1941"/>
      <c r="L5" s="1940"/>
      <c r="M5" s="1940"/>
    </row>
    <row r="6" spans="1:25" ht="18" customHeight="1">
      <c r="A6" s="1743" t="s">
        <v>691</v>
      </c>
      <c r="B6" s="1735" t="s">
        <v>692</v>
      </c>
      <c r="C6" s="1735" t="s">
        <v>625</v>
      </c>
      <c r="D6" s="1735" t="s">
        <v>626</v>
      </c>
      <c r="E6" s="769" t="s">
        <v>627</v>
      </c>
      <c r="F6" s="770"/>
      <c r="G6" s="1526"/>
      <c r="H6" s="1743" t="s">
        <v>623</v>
      </c>
      <c r="I6" s="1735" t="s">
        <v>624</v>
      </c>
      <c r="J6" s="1735" t="s">
        <v>625</v>
      </c>
      <c r="K6" s="1735" t="s">
        <v>626</v>
      </c>
      <c r="L6" s="769" t="s">
        <v>627</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575" t="s">
        <v>2443</v>
      </c>
      <c r="C8" s="1740">
        <f ca="1">ROUND(F8*F10*F9*(1-F11)/10000,0)</f>
        <v>0</v>
      </c>
      <c r="D8" s="1737" t="s">
        <v>2514</v>
      </c>
      <c r="E8" s="61" t="s">
        <v>630</v>
      </c>
      <c r="F8" s="775">
        <f ca="1">INDIRECT("'数据-取费表'!u"&amp;$G$1)</f>
        <v>0</v>
      </c>
      <c r="G8" s="1526"/>
      <c r="H8" s="2357" t="s">
        <v>1814</v>
      </c>
      <c r="I8" s="3575" t="s">
        <v>2443</v>
      </c>
      <c r="J8" s="773">
        <f ca="1">ROUND(M8*M10*M9*(1-M11)/10000,0)</f>
        <v>0</v>
      </c>
      <c r="K8" s="339" t="s">
        <v>2514</v>
      </c>
      <c r="L8" s="774" t="s">
        <v>1728</v>
      </c>
      <c r="M8" s="775">
        <f ca="1">INDIRECT("'数据-取费表'!z"&amp;$G$1)</f>
        <v>0</v>
      </c>
    </row>
    <row r="9" spans="1:25" ht="18" customHeight="1">
      <c r="A9" s="2353"/>
      <c r="B9" s="3576"/>
      <c r="C9" s="1741"/>
      <c r="D9" s="1738"/>
      <c r="E9" s="61" t="s">
        <v>631</v>
      </c>
      <c r="F9" s="775">
        <f ca="1">IF(INDIRECT("'数据-取费表'!ah"&amp;$G$1)="",INDIRECT("'数据-取费表'!k"&amp;$G$1),INDIRECT("'数据-取费表'!ah"&amp;$G$1))</f>
        <v>0</v>
      </c>
      <c r="G9" s="1526"/>
      <c r="H9" s="2342"/>
      <c r="I9" s="3576"/>
      <c r="J9" s="778"/>
      <c r="K9" s="779"/>
      <c r="L9" s="774" t="s">
        <v>1729</v>
      </c>
      <c r="M9" s="775">
        <f ca="1">F9</f>
        <v>0</v>
      </c>
    </row>
    <row r="10" spans="1:25" ht="18" customHeight="1">
      <c r="A10" s="2346"/>
      <c r="B10" s="3577"/>
      <c r="C10" s="1741"/>
      <c r="D10" s="1738"/>
      <c r="E10" s="61" t="s">
        <v>632</v>
      </c>
      <c r="F10" s="775">
        <f ca="1">INDIRECT("'数据-取费表'!ai"&amp;$G$1)</f>
        <v>0</v>
      </c>
      <c r="G10" s="1526"/>
      <c r="H10" s="2342"/>
      <c r="I10" s="3577"/>
      <c r="J10" s="778"/>
      <c r="K10" s="779"/>
      <c r="L10" s="774" t="s">
        <v>1730</v>
      </c>
      <c r="M10" s="775">
        <f ca="1">INDIRECT("'数据-取费表'!ai"&amp;$G$1)</f>
        <v>0</v>
      </c>
    </row>
    <row r="11" spans="1:25" ht="18" customHeight="1">
      <c r="A11" s="776"/>
      <c r="B11" s="3578"/>
      <c r="C11" s="1741"/>
      <c r="D11" s="1738"/>
      <c r="E11" s="61" t="s">
        <v>633</v>
      </c>
      <c r="F11" s="784">
        <f ca="1">INDIRECT("'数据-取费表'!w"&amp;$G$1)</f>
        <v>0</v>
      </c>
      <c r="G11" s="1526"/>
      <c r="H11" s="2358"/>
      <c r="I11" s="3577"/>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2935</v>
      </c>
      <c r="E12" s="2351" t="s">
        <v>2444</v>
      </c>
      <c r="F12" s="2465"/>
      <c r="G12" s="1526"/>
      <c r="H12" s="2414" t="s">
        <v>1815</v>
      </c>
      <c r="I12" s="2419" t="s">
        <v>2439</v>
      </c>
      <c r="J12" s="773">
        <f ca="1">ROUND(IF(M12="押一",J8/12*M13,IF(M12="押二",J8/12*2*M13,IF(M12="押三",J8/12*3*M13,J13*M13))),0)</f>
        <v>0</v>
      </c>
      <c r="K12" s="2354" t="s">
        <v>2935</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6"/>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6"/>
      <c r="H16" s="793" t="s">
        <v>2057</v>
      </c>
      <c r="I16" s="2111" t="s">
        <v>2802</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7"/>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6"/>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200</v>
      </c>
      <c r="G19" s="1527"/>
      <c r="H19" s="793" t="s">
        <v>2057</v>
      </c>
      <c r="I19" s="774" t="s">
        <v>649</v>
      </c>
      <c r="J19" s="3019">
        <f ca="1">ROUND(IF(AND(项目基本情况!B11="自然人",项目基本情况!B10="北京市"),J8*M19/(1+'数据-取费表'!C42),J20+J21+J22),0)</f>
        <v>0</v>
      </c>
      <c r="K19" s="1893" t="s">
        <v>650</v>
      </c>
      <c r="L19" s="1891" t="s">
        <v>651</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7"/>
      <c r="H20" s="793" t="s">
        <v>1821</v>
      </c>
      <c r="I20" s="774" t="s">
        <v>653</v>
      </c>
      <c r="J20" s="53">
        <f ca="1">ROUND(J8*M20/(1+'数据-取费表'!C42),1)</f>
        <v>0</v>
      </c>
      <c r="K20" s="1891" t="s">
        <v>654</v>
      </c>
      <c r="L20" s="774" t="s">
        <v>642</v>
      </c>
      <c r="M20" s="799">
        <f>'数据-取费表'!B41</f>
        <v>5.6000000000000001E-2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6"/>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7"/>
      <c r="H22" s="1747" t="s">
        <v>1840</v>
      </c>
      <c r="I22" s="1737" t="s">
        <v>661</v>
      </c>
      <c r="J22" s="54">
        <f ca="1">ROUND(M22*M23/10000,0)</f>
        <v>0</v>
      </c>
      <c r="K22" s="803" t="s">
        <v>662</v>
      </c>
      <c r="L22" s="774" t="s">
        <v>663</v>
      </c>
      <c r="M22" s="632">
        <f>'数据-取费表'!B52</f>
        <v>3</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7"/>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复利计息。建造成本、管理费用、销售费用产生的利息。</v>
      </c>
      <c r="E24" s="1896"/>
      <c r="F24" s="56"/>
      <c r="G24" s="1526"/>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671</v>
      </c>
      <c r="F25" s="632">
        <f>'数据-取费表'!B20</f>
        <v>2.5</v>
      </c>
      <c r="G25" s="1527"/>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1.1000000000000001E-3</v>
      </c>
      <c r="D26" s="2423" t="str">
        <f>IF(F25&lt;=1,"销售费用×利率×(建设周期÷2)","销售费用×((1+利率)^(建设周期÷2)-1)")</f>
        <v>销售费用×((1+利率)^(建设周期÷2)-1)</v>
      </c>
      <c r="E26" s="774" t="s">
        <v>675</v>
      </c>
      <c r="F26" s="808">
        <f ca="1">'数据-取费表'!B40</f>
        <v>4.3499999999999997E-2</v>
      </c>
      <c r="G26" s="1527"/>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6"/>
      <c r="H27" s="787" t="s">
        <v>1818</v>
      </c>
      <c r="I27" s="2724" t="s">
        <v>2799</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6"/>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6"/>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5.33E-2</v>
      </c>
      <c r="D30" s="801" t="s">
        <v>702</v>
      </c>
      <c r="E30" s="774" t="s">
        <v>642</v>
      </c>
      <c r="F30" s="799">
        <f>'数据-取费表'!B41</f>
        <v>5.6000000000000001E-2</v>
      </c>
      <c r="G30" s="1527"/>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2800</v>
      </c>
      <c r="C31" s="2397">
        <f ca="1">ROUND((C21+C22+C25+C28)/(1-F23-C26-C29-C30),0)</f>
        <v>0</v>
      </c>
      <c r="D31" s="2398"/>
      <c r="E31" s="2399"/>
      <c r="F31" s="2400"/>
      <c r="G31" s="1527"/>
      <c r="H31" s="812" t="s">
        <v>1862</v>
      </c>
      <c r="I31" s="2725" t="s">
        <v>2801</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9">
        <f ca="1">ROUND(IF(AND(项目基本情况!B11="自然人",项目基本情况!B10="北京市"),C8*F33/(1+'数据-取费表'!C42),C34+C35+C36),0)</f>
        <v>0</v>
      </c>
      <c r="D33" s="1893" t="s">
        <v>650</v>
      </c>
      <c r="E33" s="1891" t="s">
        <v>683</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5.6000000000000001E-2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3</v>
      </c>
      <c r="G36" s="1945"/>
      <c r="H36" s="1948"/>
      <c r="I36" s="3574"/>
      <c r="J36" s="1962"/>
      <c r="K36" s="1963"/>
      <c r="L36" s="1962"/>
      <c r="M36" s="1962"/>
    </row>
    <row r="37" spans="1:18" ht="18" customHeight="1">
      <c r="A37" s="804"/>
      <c r="B37" s="783"/>
      <c r="C37" s="69"/>
      <c r="D37" s="805"/>
      <c r="E37" s="774" t="s">
        <v>667</v>
      </c>
      <c r="F37" s="775">
        <f ca="1">INDIRECT("'数据-取费表'!r"&amp;$G$1)</f>
        <v>0</v>
      </c>
      <c r="G37" s="1945"/>
      <c r="H37" s="1948"/>
      <c r="I37" s="3574"/>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22"/>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22"/>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22"/>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5" t="s">
        <v>2924</v>
      </c>
      <c r="F43" s="2796">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51">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7" t="s">
        <v>2927</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2939</v>
      </c>
      <c r="J54" s="2858">
        <f ca="1">IF(M48="住宅",MAX(J52,L49-'数据-取费表'!B20),MIN(J52,L49-'数据-取费表'!B20))</f>
        <v>-2.5</v>
      </c>
      <c r="K54" s="3579"/>
      <c r="L54" s="3580"/>
      <c r="O54" s="2256" t="s">
        <v>2372</v>
      </c>
      <c r="P54" s="2254" t="s">
        <v>2373</v>
      </c>
      <c r="Q54" s="2255">
        <f ca="1">J54</f>
        <v>-2.5</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2907</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受贵公司委托，我公司对北京市朝阳区东坝北东南一期土地储备项目1104-611地块出让国有建设用地使用权抵押价格进行了预评估。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7" spans="1:4" ht="56.25">
      <c r="A7" s="1710" t="s">
        <v>2725</v>
      </c>
    </row>
    <row r="8" spans="1:4" ht="18.75">
      <c r="A8" s="1709" t="s">
        <v>1896</v>
      </c>
    </row>
    <row r="9" spans="1:4" ht="75">
      <c r="A9" s="1711" t="str">
        <f>IF(项目基本情况!B8="抵押",IF(项目基本情况!B5=项目基本情况!B6,定义!C51,定义!B51),定义!D51)</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2021年4月14日（评估专业人员勘察现场之日）</v>
      </c>
    </row>
    <row r="12" spans="1:4" ht="18.75">
      <c r="A12" s="1712" t="s">
        <v>2013</v>
      </c>
    </row>
    <row r="13" spans="1:4" ht="18.75">
      <c r="A13" s="1706" t="s">
        <v>2906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根据《国有土地使用证》[]，估价对象（分摊）出让国有建设用地使用权面积为26559.06平方米。根据《建设工程规划许可证》[]、《出让合同》[]，估价对象规划建筑面积为104789.91平方米。</v>
      </c>
    </row>
    <row r="21" spans="1:1" ht="18.75">
      <c r="A21" s="1706" t="s">
        <v>2062</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5日、商业2061年1月5日地下车库2071年1月5日、地下仓储2071年1月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C10" sqref="C1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3013</v>
      </c>
      <c r="D1" s="2798" t="s">
        <v>3558</v>
      </c>
      <c r="E1" s="2242" t="s">
        <v>2358</v>
      </c>
      <c r="F1" s="2243">
        <f ca="1">J53</f>
        <v>67.27</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460</v>
      </c>
      <c r="B2" s="765">
        <f ca="1">C40+J29+L46</f>
        <v>8002</v>
      </c>
      <c r="C2" s="3264"/>
      <c r="D2" s="3265"/>
      <c r="E2" s="3266"/>
      <c r="F2" s="3266"/>
      <c r="G2" s="3260"/>
      <c r="H2" s="1940"/>
      <c r="I2" s="1940"/>
      <c r="J2" s="1940"/>
      <c r="K2" s="1941"/>
      <c r="L2" s="1940"/>
      <c r="M2" s="1940"/>
    </row>
    <row r="3" spans="1:33" ht="18" customHeight="1" thickBot="1">
      <c r="A3" s="822" t="s">
        <v>512</v>
      </c>
      <c r="B3" s="823">
        <f ca="1">IF(ISERROR(B2*10000/F43),0,ROUND(B2*10000/F43,0))</f>
        <v>27030</v>
      </c>
      <c r="C3" s="3264"/>
      <c r="D3" s="3265"/>
      <c r="E3" s="3266"/>
      <c r="F3" s="3266"/>
      <c r="G3" s="3260"/>
      <c r="H3" s="766" t="s">
        <v>688</v>
      </c>
      <c r="I3" s="1316"/>
      <c r="J3" s="1316"/>
      <c r="K3" s="1525"/>
      <c r="L3" s="1316"/>
      <c r="M3" s="1316"/>
    </row>
    <row r="4" spans="1:33" ht="18" customHeight="1">
      <c r="A4" s="767" t="s">
        <v>623</v>
      </c>
      <c r="B4" s="768" t="s">
        <v>624</v>
      </c>
      <c r="C4" s="768" t="s">
        <v>625</v>
      </c>
      <c r="D4" s="768" t="s">
        <v>626</v>
      </c>
      <c r="E4" s="769" t="s">
        <v>627</v>
      </c>
      <c r="F4" s="770"/>
      <c r="G4" s="1945"/>
      <c r="H4" s="767" t="s">
        <v>623</v>
      </c>
      <c r="I4" s="768" t="s">
        <v>624</v>
      </c>
      <c r="J4" s="768" t="s">
        <v>625</v>
      </c>
      <c r="K4" s="768" t="s">
        <v>626</v>
      </c>
      <c r="L4" s="769" t="s">
        <v>627</v>
      </c>
      <c r="M4" s="770"/>
    </row>
    <row r="5" spans="1:33" ht="18" customHeight="1">
      <c r="A5" s="771">
        <v>1</v>
      </c>
      <c r="B5" s="772" t="s">
        <v>2438</v>
      </c>
      <c r="C5" s="55">
        <f ca="1">C6+C10+C12</f>
        <v>292</v>
      </c>
      <c r="D5" s="2349" t="s">
        <v>2441</v>
      </c>
      <c r="E5" s="2343"/>
      <c r="F5" s="2344"/>
      <c r="G5" s="1945"/>
      <c r="H5" s="771">
        <v>1</v>
      </c>
      <c r="I5" s="772" t="s">
        <v>2438</v>
      </c>
      <c r="J5" s="55">
        <f ca="1">J6+J10+J12</f>
        <v>0</v>
      </c>
      <c r="K5" s="2349" t="s">
        <v>2441</v>
      </c>
      <c r="L5" s="2343"/>
      <c r="M5" s="2344"/>
    </row>
    <row r="6" spans="1:33" ht="18" customHeight="1">
      <c r="A6" s="1745" t="s">
        <v>1814</v>
      </c>
      <c r="B6" s="3575" t="s">
        <v>2443</v>
      </c>
      <c r="C6" s="773">
        <f ca="1">ROUND(F6*F8*F7*(1-F9)/10000,0)</f>
        <v>292</v>
      </c>
      <c r="D6" s="2350" t="s">
        <v>2442</v>
      </c>
      <c r="E6" s="774" t="s">
        <v>630</v>
      </c>
      <c r="F6" s="775">
        <f ca="1">INDIRECT("'数据-取费表'!u"&amp;$G$1)</f>
        <v>3</v>
      </c>
      <c r="G6" s="1945"/>
      <c r="H6" s="2357" t="s">
        <v>1814</v>
      </c>
      <c r="I6" s="3575" t="s">
        <v>2443</v>
      </c>
      <c r="J6" s="773">
        <f ca="1">ROUND(M6*M8*M7*(1-M9)/10000,0)</f>
        <v>0</v>
      </c>
      <c r="K6" s="339" t="s">
        <v>629</v>
      </c>
      <c r="L6" s="774" t="s">
        <v>630</v>
      </c>
      <c r="M6" s="775">
        <f ca="1">INDIRECT("'数据-取费表'!z"&amp;$G$1)</f>
        <v>0</v>
      </c>
    </row>
    <row r="7" spans="1:33" ht="18" customHeight="1">
      <c r="A7" s="2353"/>
      <c r="B7" s="3576"/>
      <c r="C7" s="778"/>
      <c r="D7" s="779"/>
      <c r="E7" s="774" t="s">
        <v>631</v>
      </c>
      <c r="F7" s="775">
        <f ca="1">IF(INDIRECT("'数据-取费表'!ah"&amp;$G$1)="",INDIRECT("'数据-取费表'!k"&amp;$G$1),INDIRECT("'数据-取费表'!ah"&amp;$G$1))</f>
        <v>2960.44</v>
      </c>
      <c r="G7" s="1945"/>
      <c r="H7" s="2342"/>
      <c r="I7" s="3576"/>
      <c r="J7" s="778"/>
      <c r="K7" s="779"/>
      <c r="L7" s="774" t="s">
        <v>631</v>
      </c>
      <c r="M7" s="775">
        <f ca="1">F7</f>
        <v>2960.44</v>
      </c>
    </row>
    <row r="8" spans="1:33" ht="18" customHeight="1">
      <c r="A8" s="2346"/>
      <c r="B8" s="3577"/>
      <c r="C8" s="778"/>
      <c r="D8" s="779"/>
      <c r="E8" s="774" t="s">
        <v>632</v>
      </c>
      <c r="F8" s="775">
        <f ca="1">INDIRECT("'数据-取费表'!ai"&amp;$G$1)</f>
        <v>365</v>
      </c>
      <c r="G8" s="1945"/>
      <c r="H8" s="2342"/>
      <c r="I8" s="3577"/>
      <c r="J8" s="778"/>
      <c r="K8" s="779"/>
      <c r="L8" s="774" t="s">
        <v>632</v>
      </c>
      <c r="M8" s="775">
        <f ca="1">INDIRECT("'数据-取费表'!ai"&amp;$G$1)</f>
        <v>365</v>
      </c>
    </row>
    <row r="9" spans="1:33" ht="18" customHeight="1">
      <c r="A9" s="776"/>
      <c r="B9" s="3578"/>
      <c r="C9" s="778"/>
      <c r="D9" s="779"/>
      <c r="E9" s="774" t="s">
        <v>633</v>
      </c>
      <c r="F9" s="784">
        <f ca="1">INDIRECT("'数据-取费表'!w"&amp;$G$1)</f>
        <v>0.1</v>
      </c>
      <c r="G9" s="1945"/>
      <c r="H9" s="2358"/>
      <c r="I9" s="3577"/>
      <c r="J9" s="778"/>
      <c r="K9" s="779"/>
      <c r="L9" s="785" t="s">
        <v>633</v>
      </c>
      <c r="M9" s="786">
        <f ca="1">INDIRECT("'数据-取费表'!ab"&amp;$G$1)</f>
        <v>0</v>
      </c>
    </row>
    <row r="10" spans="1:33" ht="18" customHeight="1">
      <c r="A10" s="1745" t="s">
        <v>1815</v>
      </c>
      <c r="B10" s="2347" t="s">
        <v>2439</v>
      </c>
      <c r="C10" s="789">
        <f ca="1">ROUND(IF(F10="押一",C6/12*F11,IF(F10="押二",C6/12*2*F11,IF(F10="押三",C6/12*3*F11,C11*F11))),0)</f>
        <v>0</v>
      </c>
      <c r="D10" s="2354" t="s">
        <v>2935</v>
      </c>
      <c r="E10" s="2351" t="s">
        <v>2444</v>
      </c>
      <c r="F10" s="2465" t="s">
        <v>3559</v>
      </c>
      <c r="G10" s="1945"/>
      <c r="H10" s="2414" t="s">
        <v>1815</v>
      </c>
      <c r="I10" s="2419" t="s">
        <v>2439</v>
      </c>
      <c r="J10" s="773">
        <f ca="1">ROUND(IF(M10="押一",J6/12*M11,IF(M10="押二",J6/12*2*M11,IF(M10="押三",J6/12*3*M11,J11*M11))),0)</f>
        <v>0</v>
      </c>
      <c r="K10" s="2354" t="s">
        <v>2935</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637</v>
      </c>
      <c r="C13" s="782">
        <f ca="1">ROUND(C29*F13,0)</f>
        <v>2743</v>
      </c>
      <c r="D13" s="1749" t="s">
        <v>2284</v>
      </c>
      <c r="E13" s="1749" t="s">
        <v>636</v>
      </c>
      <c r="F13" s="2389">
        <f ca="1">INDIRECT("'数据-取费表'!y"&amp;$G$1)</f>
        <v>1</v>
      </c>
      <c r="G13" s="1945"/>
      <c r="H13" s="1744">
        <v>2</v>
      </c>
      <c r="I13" s="1742" t="s">
        <v>637</v>
      </c>
      <c r="J13" s="1734">
        <f ca="1">ROUND(J14*J15,0)</f>
        <v>0</v>
      </c>
      <c r="K13" s="1736" t="s">
        <v>635</v>
      </c>
      <c r="L13" s="2405"/>
      <c r="M13" s="2406"/>
    </row>
    <row r="14" spans="1:33" ht="18" customHeight="1">
      <c r="A14" s="1576" t="s">
        <v>1821</v>
      </c>
      <c r="B14" s="774" t="s">
        <v>638</v>
      </c>
      <c r="C14" s="794">
        <f ca="1">INDIRECT("'数据-取费表'!m"&amp;$G$1)+INDIRECT("'数据-取费表'!t"&amp;$G$1)</f>
        <v>1877</v>
      </c>
      <c r="D14" s="3280" t="s">
        <v>639</v>
      </c>
      <c r="E14" s="3279"/>
      <c r="F14" s="795"/>
      <c r="G14" s="1945"/>
      <c r="H14" s="1577" t="s">
        <v>1814</v>
      </c>
      <c r="I14" s="2111" t="s">
        <v>2802</v>
      </c>
      <c r="J14" s="53">
        <f ca="1">C29</f>
        <v>2743</v>
      </c>
      <c r="K14" s="26"/>
      <c r="L14" s="791"/>
      <c r="M14" s="792"/>
    </row>
    <row r="15" spans="1:33" s="1947" customFormat="1" ht="18" customHeight="1" thickBot="1">
      <c r="A15" s="1576" t="s">
        <v>1822</v>
      </c>
      <c r="B15" s="774" t="s">
        <v>640</v>
      </c>
      <c r="C15" s="53">
        <f ca="1">ROUND(C14*F15,0)</f>
        <v>56</v>
      </c>
      <c r="D15" s="796" t="s">
        <v>641</v>
      </c>
      <c r="E15" s="796" t="s">
        <v>642</v>
      </c>
      <c r="F15" s="797">
        <f>'数据-取费表'!B33</f>
        <v>0.03</v>
      </c>
      <c r="G15" s="3261"/>
      <c r="H15" s="2404" t="s">
        <v>1879</v>
      </c>
      <c r="I15" s="2399" t="s">
        <v>636</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36</v>
      </c>
      <c r="D16" s="774" t="s">
        <v>641</v>
      </c>
      <c r="E16" s="774" t="s">
        <v>642</v>
      </c>
      <c r="F16" s="799">
        <f ca="1">IF(INDIRECT("'数据-取费表'!c"&amp;$G$1)="住宅",'数据-取费表'!B34,0)</f>
        <v>0.02</v>
      </c>
      <c r="G16" s="1945"/>
      <c r="H16" s="1744" t="s">
        <v>1738</v>
      </c>
      <c r="I16" s="1742" t="s">
        <v>644</v>
      </c>
      <c r="J16" s="782">
        <f ca="1">ROUND(J17+J22+J23+J24,0)</f>
        <v>271</v>
      </c>
      <c r="K16" s="1736" t="s">
        <v>645</v>
      </c>
      <c r="L16" s="3283"/>
      <c r="M16" s="2344"/>
    </row>
    <row r="17" spans="1:33" s="1947" customFormat="1" ht="18" customHeight="1">
      <c r="A17" s="1576" t="s">
        <v>1877</v>
      </c>
      <c r="B17" s="774" t="s">
        <v>646</v>
      </c>
      <c r="C17" s="53">
        <f ca="1">ROUND(F17*(F43+INDIRECT("'数据-取费表'!S"&amp;$G$1))/10000,0)</f>
        <v>63</v>
      </c>
      <c r="D17" s="774" t="s">
        <v>647</v>
      </c>
      <c r="E17" s="774" t="s">
        <v>648</v>
      </c>
      <c r="F17" s="56">
        <f>'数据-取费表'!B35</f>
        <v>200</v>
      </c>
      <c r="G17" s="3261"/>
      <c r="H17" s="1577" t="s">
        <v>1814</v>
      </c>
      <c r="I17" s="774" t="s">
        <v>649</v>
      </c>
      <c r="J17" s="3019">
        <f ca="1">ROUND(IF(AND(项目基本情况!B11="自然人",项目基本情况!B10="北京市"),J6*M17/(1+'数据-取费表'!C42),J18+J19+J20),0)</f>
        <v>230</v>
      </c>
      <c r="K17" s="3280" t="s">
        <v>650</v>
      </c>
      <c r="L17" s="3281" t="s">
        <v>651</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28</v>
      </c>
      <c r="D18" s="774" t="s">
        <v>641</v>
      </c>
      <c r="E18" s="774" t="s">
        <v>642</v>
      </c>
      <c r="F18" s="799">
        <f>'数据-取费表'!B36</f>
        <v>1.4999999999999999E-2</v>
      </c>
      <c r="G18" s="3261"/>
      <c r="H18" s="1576" t="s">
        <v>1821</v>
      </c>
      <c r="I18" s="774" t="s">
        <v>653</v>
      </c>
      <c r="J18" s="53">
        <f ca="1">ROUND(J6*M18/(1+'数据-取费表'!C42),1)</f>
        <v>0</v>
      </c>
      <c r="K18" s="3281" t="s">
        <v>654</v>
      </c>
      <c r="L18" s="774" t="s">
        <v>642</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2060</v>
      </c>
      <c r="D19" s="259" t="s">
        <v>656</v>
      </c>
      <c r="E19" s="3284"/>
      <c r="F19" s="56"/>
      <c r="G19" s="1945"/>
      <c r="H19" s="1576" t="s">
        <v>1822</v>
      </c>
      <c r="I19" s="774" t="s">
        <v>657</v>
      </c>
      <c r="J19" s="53">
        <f ca="1">IF(K19="按租金收入计税",ROUND(J6*M19/(1+'数据-取费表'!C42),1),ROUND(C29*F33*0.7,1))</f>
        <v>230.4</v>
      </c>
      <c r="K19" s="800" t="s">
        <v>658</v>
      </c>
      <c r="L19" s="774" t="s">
        <v>642</v>
      </c>
      <c r="M19" s="799">
        <f>IF(K19="按租金收入计税",'数据-取费表'!B51,'数据-取费表'!B50)</f>
        <v>1.2E-2</v>
      </c>
    </row>
    <row r="20" spans="1:33" s="1947" customFormat="1" ht="18" customHeight="1">
      <c r="A20" s="1577" t="s">
        <v>1879</v>
      </c>
      <c r="B20" s="774" t="s">
        <v>659</v>
      </c>
      <c r="C20" s="53">
        <f ca="1">ROUND(C19*F20,0)</f>
        <v>41</v>
      </c>
      <c r="D20" s="801" t="s">
        <v>660</v>
      </c>
      <c r="E20" s="774" t="s">
        <v>642</v>
      </c>
      <c r="F20" s="799">
        <f>'数据-取费表'!B37</f>
        <v>0.02</v>
      </c>
      <c r="G20" s="3261"/>
      <c r="H20" s="1579" t="s">
        <v>1823</v>
      </c>
      <c r="I20" s="339" t="s">
        <v>661</v>
      </c>
      <c r="J20" s="54">
        <f ca="1">ROUND(M20*M21/10000,0)</f>
        <v>0</v>
      </c>
      <c r="K20" s="803" t="s">
        <v>662</v>
      </c>
      <c r="L20" s="774" t="s">
        <v>663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664</v>
      </c>
      <c r="C21" s="53" t="s">
        <v>1754</v>
      </c>
      <c r="D21" s="801" t="s">
        <v>2285</v>
      </c>
      <c r="E21" s="774" t="s">
        <v>666</v>
      </c>
      <c r="F21" s="799">
        <f>'数据-取费表'!B38</f>
        <v>0.02</v>
      </c>
      <c r="G21" s="3261"/>
      <c r="H21" s="2359"/>
      <c r="I21" s="783"/>
      <c r="J21" s="69"/>
      <c r="K21" s="805"/>
      <c r="L21" s="774" t="s">
        <v>667</v>
      </c>
      <c r="M21" s="775">
        <f ca="1">INDIRECT("'数据-取费表'!r"&amp;$G$1)</f>
        <v>809.38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668</v>
      </c>
      <c r="C22" s="53"/>
      <c r="D22" s="2424" t="str">
        <f>IF(F23&lt;=1,"单利计息。","复利计息。")&amp;"建造成本、管理费用、销售费用产生的利息。"</f>
        <v>复利计息。建造成本、管理费用、销售费用产生的利息。</v>
      </c>
      <c r="E22" s="3284"/>
      <c r="F22" s="56"/>
      <c r="G22" s="1945"/>
      <c r="H22" s="1577" t="s">
        <v>1879</v>
      </c>
      <c r="I22" s="774" t="s">
        <v>669</v>
      </c>
      <c r="J22" s="53">
        <f ca="1">ROUND(J14*M22,0)</f>
        <v>41</v>
      </c>
      <c r="K22" s="3281" t="s">
        <v>670</v>
      </c>
      <c r="L22" s="774" t="s">
        <v>642</v>
      </c>
      <c r="M22" s="806">
        <f ca="1">INDIRECT("'数据-取费表'!Ak"&amp;$G$1)</f>
        <v>1.4999999999999999E-2</v>
      </c>
    </row>
    <row r="23" spans="1:33" s="1947" customFormat="1" ht="18" customHeight="1">
      <c r="A23" s="1576" t="s">
        <v>1821</v>
      </c>
      <c r="B23" s="774" t="s">
        <v>2420</v>
      </c>
      <c r="C23" s="53">
        <f ca="1">ROUND(IF('数据-取费表'!B22&lt;=1,(C19+C20)*F24*F23/2,(C19+C20)*(POWER((1+F24),F23/2)-1)),0)</f>
        <v>115</v>
      </c>
      <c r="D23" s="2423" t="str">
        <f>IF(F23&lt;=1,"(建造成本+管理费用)×利率×(建设周期÷2)","(建造成本+管理费用)×((1+利率)^(建设周期÷2)-1)")</f>
        <v>(建造成本+管理费用)×((1+利率)^(建设周期÷2)-1)</v>
      </c>
      <c r="E23" s="774" t="s">
        <v>671</v>
      </c>
      <c r="F23" s="632">
        <f>'数据-取费表'!B20</f>
        <v>2.5</v>
      </c>
      <c r="G23" s="3261"/>
      <c r="H23" s="1577" t="s">
        <v>1880</v>
      </c>
      <c r="I23" s="774" t="s">
        <v>672</v>
      </c>
      <c r="J23" s="53">
        <f ca="1">ROUND(J13*M23,0)</f>
        <v>0</v>
      </c>
      <c r="K23" s="3281" t="s">
        <v>673</v>
      </c>
      <c r="L23" s="774" t="s">
        <v>642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674</v>
      </c>
      <c r="C24" s="53">
        <f ca="1">ROUND(IF('数据-取费表'!B22&lt;=1,F21*F24*F23/2,F21*(POWER((1+F24),F23/2)-1)),4)</f>
        <v>1.1000000000000001E-3</v>
      </c>
      <c r="D24" s="2423" t="str">
        <f>IF(F23&lt;=1,"销售费用×利率×(建设周期÷2)","销售费用×((1+利率)^(建设周期÷2)-1)")</f>
        <v>销售费用×((1+利率)^(建设周期÷2)-1)</v>
      </c>
      <c r="E24" s="774" t="s">
        <v>675</v>
      </c>
      <c r="F24" s="808">
        <f ca="1">'数据-取费表'!B40</f>
        <v>4.3499999999999997E-2</v>
      </c>
      <c r="G24" s="3261"/>
      <c r="H24" s="2404" t="s">
        <v>1881</v>
      </c>
      <c r="I24" s="2399" t="s">
        <v>659</v>
      </c>
      <c r="J24" s="2397">
        <f ca="1">ROUND(J5*M24,0)</f>
        <v>0</v>
      </c>
      <c r="K24" s="2398" t="s">
        <v>676</v>
      </c>
      <c r="L24" s="2399" t="s">
        <v>642</v>
      </c>
      <c r="M24" s="2395">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678</v>
      </c>
      <c r="E25" s="3284"/>
      <c r="F25" s="56"/>
      <c r="G25" s="1945"/>
      <c r="H25" s="1744" t="s">
        <v>1766</v>
      </c>
      <c r="I25" s="2723" t="s">
        <v>2799</v>
      </c>
      <c r="J25" s="782">
        <f ca="1">J5-J16</f>
        <v>-271</v>
      </c>
      <c r="K25" s="2401" t="s">
        <v>693</v>
      </c>
      <c r="L25" s="2402"/>
      <c r="M25" s="2403"/>
    </row>
    <row r="26" spans="1:33" ht="18" customHeight="1">
      <c r="A26" s="1576" t="s">
        <v>1821</v>
      </c>
      <c r="B26" s="774" t="s">
        <v>2421</v>
      </c>
      <c r="C26" s="53">
        <f ca="1">ROUND((C19+C20)*F26,0)</f>
        <v>315</v>
      </c>
      <c r="D26" s="801" t="s">
        <v>694</v>
      </c>
      <c r="E26" s="785" t="s">
        <v>695</v>
      </c>
      <c r="F26" s="784">
        <f ca="1">INDIRECT("'数据-取费表'!q"&amp;$G$1)</f>
        <v>0.15</v>
      </c>
      <c r="G26" s="1945"/>
      <c r="H26" s="2355" t="s">
        <v>1770</v>
      </c>
      <c r="I26" s="2112" t="s">
        <v>2804</v>
      </c>
      <c r="J26" s="773">
        <f ca="1">IF(J5&lt;&gt;0,ROUND(J25*(1-((1+M28)/(1+M26))^M27)/(M26-M28),0),0)</f>
        <v>0</v>
      </c>
      <c r="K26" s="803" t="s">
        <v>697</v>
      </c>
      <c r="L26" s="774" t="s">
        <v>2403</v>
      </c>
      <c r="M26" s="784">
        <f ca="1">INDIRECT("'数据-取费表'!I"&amp;$G$1)</f>
        <v>4.4999999999999998E-2</v>
      </c>
    </row>
    <row r="27" spans="1:33" ht="18" customHeight="1">
      <c r="A27" s="1576" t="s">
        <v>1822</v>
      </c>
      <c r="B27" s="774" t="s">
        <v>679</v>
      </c>
      <c r="C27" s="53">
        <f ca="1">ROUND(F21*F26,4)</f>
        <v>3.0000000000000001E-3</v>
      </c>
      <c r="D27" s="801" t="s">
        <v>699</v>
      </c>
      <c r="E27" s="796"/>
      <c r="F27" s="797"/>
      <c r="G27" s="1945"/>
      <c r="H27" s="2356"/>
      <c r="I27" s="777"/>
      <c r="J27" s="778"/>
      <c r="K27" s="810" t="s">
        <v>700</v>
      </c>
      <c r="L27" s="774" t="s">
        <v>701</v>
      </c>
      <c r="M27" s="811">
        <f ca="1">INDIRECT("'数据-取费表'!ag"&amp;$G$1)</f>
        <v>0</v>
      </c>
    </row>
    <row r="28" spans="1:33" s="1947" customFormat="1" ht="18" customHeight="1">
      <c r="A28" s="1578" t="s">
        <v>1831</v>
      </c>
      <c r="B28" s="774" t="s">
        <v>680</v>
      </c>
      <c r="C28" s="53">
        <f>ROUND(F28/(1+'数据-取费表'!C42),4)</f>
        <v>5.33E-2</v>
      </c>
      <c r="D28" s="801" t="s">
        <v>2286</v>
      </c>
      <c r="E28" s="774" t="s">
        <v>642</v>
      </c>
      <c r="F28" s="799">
        <f>'数据-取费表'!B41</f>
        <v>5.6000000000000001E-2</v>
      </c>
      <c r="G28" s="3261"/>
      <c r="H28" s="1744"/>
      <c r="I28" s="781"/>
      <c r="J28" s="782"/>
      <c r="K28" s="805"/>
      <c r="L28" s="774" t="s">
        <v>703</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2743</v>
      </c>
      <c r="D29" s="2398"/>
      <c r="E29" s="2399"/>
      <c r="F29" s="2400"/>
      <c r="G29" s="3261"/>
      <c r="H29" s="812" t="s">
        <v>1777</v>
      </c>
      <c r="I29" s="813" t="s">
        <v>1778</v>
      </c>
      <c r="J29" s="814">
        <f ca="1">ROUND(J26/(1+F40)^F41,0)</f>
        <v>0</v>
      </c>
      <c r="K29" s="815" t="s">
        <v>681</v>
      </c>
      <c r="L29" s="816"/>
      <c r="M29" s="817">
        <f ca="1">INDIRECT("'数据-取费表'!k"&amp;$G$1)</f>
        <v>2960.44</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644</v>
      </c>
      <c r="C30" s="782">
        <f ca="1">ROUND(C31+C36+C37+C38,0)</f>
        <v>99</v>
      </c>
      <c r="D30" s="1736" t="s">
        <v>645</v>
      </c>
      <c r="E30" s="3283"/>
      <c r="F30" s="2344"/>
      <c r="G30" s="1945"/>
      <c r="H30" s="1948"/>
      <c r="I30" s="1949"/>
      <c r="J30" s="1950"/>
      <c r="K30" s="1951"/>
      <c r="L30" s="1952"/>
      <c r="M30" s="1953"/>
    </row>
    <row r="31" spans="1:33" ht="18" customHeight="1">
      <c r="A31" s="1577" t="s">
        <v>1814</v>
      </c>
      <c r="B31" s="774" t="s">
        <v>649</v>
      </c>
      <c r="C31" s="3019">
        <f ca="1">ROUND(IF(AND(项目基本情况!B11="自然人",项目基本情况!B10="北京市"),C6*F31/(1+'数据-取费表'!C42),C32+C33+C34),0)</f>
        <v>49</v>
      </c>
      <c r="D31" s="3280" t="s">
        <v>650</v>
      </c>
      <c r="E31" s="3281" t="s">
        <v>683</v>
      </c>
      <c r="F31" s="3018" t="str">
        <f>IF(项目基本情况!B11="企业","——",IF('数据-取费表'!B10="住宅",IF(F6*F7*F8/12/(1+'数据-取费表'!F30)&gt;100000,4%,2.5%),IF(F6*F7*F8/12/(1+'数据-取费表'!F30)&gt;100000,12%,7%)))</f>
        <v>——</v>
      </c>
      <c r="G31" s="1945"/>
      <c r="H31" s="3258" t="s">
        <v>2992</v>
      </c>
      <c r="I31" s="1949"/>
      <c r="J31" s="1950"/>
      <c r="K31" s="1951"/>
      <c r="L31" s="1952"/>
      <c r="M31" s="1953"/>
    </row>
    <row r="32" spans="1:33" ht="18" customHeight="1">
      <c r="A32" s="1576" t="s">
        <v>1821</v>
      </c>
      <c r="B32" s="774" t="s">
        <v>653</v>
      </c>
      <c r="C32" s="53">
        <f ca="1">ROUND(C6*F32/(1+'数据-取费表'!C42),1)</f>
        <v>15.6</v>
      </c>
      <c r="D32" s="3281" t="s">
        <v>654</v>
      </c>
      <c r="E32" s="774" t="s">
        <v>642</v>
      </c>
      <c r="F32" s="799">
        <f>'数据-取费表'!B41</f>
        <v>5.6000000000000001E-2</v>
      </c>
      <c r="G32" s="1945"/>
      <c r="H32" s="1954"/>
      <c r="I32" s="1955"/>
      <c r="J32" s="1956"/>
      <c r="K32" s="1957"/>
      <c r="L32" s="1958"/>
      <c r="M32" s="1959"/>
    </row>
    <row r="33" spans="1:18" ht="18" customHeight="1">
      <c r="A33" s="1576" t="s">
        <v>1822</v>
      </c>
      <c r="B33" s="774" t="s">
        <v>657</v>
      </c>
      <c r="C33" s="53">
        <f ca="1">IF(D33="按租金收入计税",ROUND(C6*F33/(1+'数据-取费表'!C42),1),IF(D33="按房产原值计税",ROUND(C29*F33*0.7,1),INDIRECT("'数据-取费表'!Aj"&amp;$G$1)))</f>
        <v>33.4</v>
      </c>
      <c r="D33" s="800" t="s">
        <v>3560</v>
      </c>
      <c r="E33" s="774" t="s">
        <v>642</v>
      </c>
      <c r="F33" s="799">
        <f>IF(D33="按租金收入计税",'数据-取费表'!B51,'数据-取费表'!B50)</f>
        <v>0.12</v>
      </c>
      <c r="G33" s="1945"/>
      <c r="H33" s="1960"/>
      <c r="I33" s="1960"/>
      <c r="J33" s="1960"/>
      <c r="K33" s="1961"/>
      <c r="L33" s="1960"/>
      <c r="M33" s="1960"/>
    </row>
    <row r="34" spans="1:18" ht="18" customHeight="1">
      <c r="A34" s="1579" t="s">
        <v>1823</v>
      </c>
      <c r="B34" s="339" t="s">
        <v>661</v>
      </c>
      <c r="C34" s="54">
        <f ca="1">ROUND(F34*F35/10000,1)</f>
        <v>0.2</v>
      </c>
      <c r="D34" s="803" t="s">
        <v>662</v>
      </c>
      <c r="E34" s="774" t="s">
        <v>663</v>
      </c>
      <c r="F34" s="632">
        <f>'数据-取费表'!B52</f>
        <v>3</v>
      </c>
      <c r="G34" s="1945"/>
      <c r="H34" s="1948"/>
      <c r="I34" s="824" t="s">
        <v>1803</v>
      </c>
      <c r="J34" s="825"/>
      <c r="K34" s="1963"/>
      <c r="L34" s="1962"/>
      <c r="M34" s="1962"/>
    </row>
    <row r="35" spans="1:18" ht="18" customHeight="1">
      <c r="A35" s="804"/>
      <c r="B35" s="783"/>
      <c r="C35" s="69"/>
      <c r="D35" s="805"/>
      <c r="E35" s="774" t="s">
        <v>667</v>
      </c>
      <c r="F35" s="775">
        <f ca="1">INDIRECT("'数据-取费表'!r"&amp;$G$1)</f>
        <v>809.38</v>
      </c>
      <c r="G35" s="1945"/>
      <c r="H35" s="1948"/>
      <c r="I35" s="826" t="s">
        <v>1804</v>
      </c>
      <c r="J35" s="827">
        <f ca="1">ROUND(C13*J36,0)</f>
        <v>219</v>
      </c>
      <c r="K35" s="1961"/>
      <c r="L35" s="1960"/>
      <c r="M35" s="1960"/>
    </row>
    <row r="36" spans="1:18" ht="18" customHeight="1">
      <c r="A36" s="1577" t="s">
        <v>1879</v>
      </c>
      <c r="B36" s="774" t="s">
        <v>669</v>
      </c>
      <c r="C36" s="53">
        <f ca="1">ROUND(C29*F36,1)</f>
        <v>41.1</v>
      </c>
      <c r="D36" s="3281" t="s">
        <v>684</v>
      </c>
      <c r="E36" s="774" t="s">
        <v>642</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672</v>
      </c>
      <c r="C37" s="53">
        <f ca="1">ROUND(C13*F37,1)</f>
        <v>4.0999999999999996</v>
      </c>
      <c r="D37" s="3281" t="s">
        <v>673</v>
      </c>
      <c r="E37" s="774" t="s">
        <v>642</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4.4000000000000004</v>
      </c>
      <c r="D38" s="2398" t="s">
        <v>676</v>
      </c>
      <c r="E38" s="2399" t="s">
        <v>642</v>
      </c>
      <c r="F38" s="2395">
        <f ca="1">INDIRECT("'数据-取费表'!Am"&amp;$G$1)</f>
        <v>1.4999999999999999E-2</v>
      </c>
      <c r="G38" s="1945"/>
      <c r="H38" s="1960"/>
      <c r="I38" s="832" t="s">
        <v>1807</v>
      </c>
      <c r="J38" s="833"/>
      <c r="K38" s="1965"/>
      <c r="L38" s="1960"/>
      <c r="M38" s="1960"/>
    </row>
    <row r="39" spans="1:18" ht="24.6" customHeight="1" thickTop="1">
      <c r="A39" s="1744" t="s">
        <v>1766</v>
      </c>
      <c r="B39" s="2723" t="s">
        <v>2799</v>
      </c>
      <c r="C39" s="782">
        <f ca="1">C5-C30</f>
        <v>193</v>
      </c>
      <c r="D39" s="2401" t="s">
        <v>693</v>
      </c>
      <c r="E39" s="2402"/>
      <c r="F39" s="2403"/>
      <c r="G39" s="1945"/>
      <c r="H39" s="1960"/>
      <c r="I39" s="826" t="s">
        <v>1808</v>
      </c>
      <c r="J39" s="834">
        <f ca="1">ROUND(J35/C39,3)</f>
        <v>1.135</v>
      </c>
      <c r="K39" s="1965"/>
      <c r="L39" s="1960"/>
      <c r="M39" s="1960"/>
    </row>
    <row r="40" spans="1:18" ht="18" customHeight="1">
      <c r="A40" s="771" t="s">
        <v>1770</v>
      </c>
      <c r="B40" s="2112" t="s">
        <v>2288</v>
      </c>
      <c r="C40" s="773">
        <f ca="1">ROUND(C39*(1-((1+F42)/(1+F40))^F41)/(F40-F42),0)</f>
        <v>8002</v>
      </c>
      <c r="D40" s="803" t="s">
        <v>697</v>
      </c>
      <c r="E40" s="774" t="s">
        <v>2403</v>
      </c>
      <c r="F40" s="784">
        <f ca="1">INDIRECT("'数据-取费表'!I"&amp;$G$1)</f>
        <v>4.4999999999999998E-2</v>
      </c>
      <c r="G40" s="1945"/>
      <c r="H40" s="1945"/>
      <c r="I40" s="826" t="s">
        <v>1809</v>
      </c>
      <c r="J40" s="834">
        <f ca="1">1-J39</f>
        <v>-0.13500000000000001</v>
      </c>
      <c r="K40" s="1965"/>
      <c r="L40" s="1945"/>
      <c r="M40" s="1945"/>
    </row>
    <row r="41" spans="1:18" ht="18" customHeight="1">
      <c r="A41" s="776"/>
      <c r="B41" s="777"/>
      <c r="C41" s="778"/>
      <c r="D41" s="810" t="s">
        <v>1798</v>
      </c>
      <c r="E41" s="774" t="s">
        <v>701</v>
      </c>
      <c r="F41" s="811">
        <f ca="1">IF(INDIRECT("'数据-取费表'!af"&amp;$G$1)=0,INDIRECT("'数据-取费表'!ae"&amp;$G$1),INDIRECT("'数据-取费表'!af"&amp;$G$1))</f>
        <v>67.27</v>
      </c>
      <c r="G41" s="1945"/>
      <c r="H41" s="1900"/>
      <c r="I41" s="832" t="s">
        <v>1810</v>
      </c>
      <c r="J41" s="835"/>
      <c r="K41" s="1964"/>
      <c r="L41" s="1900"/>
      <c r="M41" s="1900"/>
    </row>
    <row r="42" spans="1:18" ht="18" customHeight="1">
      <c r="A42" s="780"/>
      <c r="B42" s="781"/>
      <c r="C42" s="782"/>
      <c r="D42" s="805"/>
      <c r="E42" s="774" t="s">
        <v>703</v>
      </c>
      <c r="F42" s="784">
        <f ca="1">INDIRECT("'数据-取费表'!v"&amp;$G$1)</f>
        <v>0.03</v>
      </c>
      <c r="G42" s="1945"/>
      <c r="H42" s="1900"/>
      <c r="I42" s="836" t="s">
        <v>1811</v>
      </c>
      <c r="J42" s="834">
        <f ca="1">ROUND(C13/C40,3)</f>
        <v>0.34300000000000003</v>
      </c>
      <c r="K42" s="1964"/>
      <c r="L42" s="1900"/>
      <c r="M42" s="1900"/>
    </row>
    <row r="43" spans="1:18" ht="18" customHeight="1" thickBot="1">
      <c r="A43" s="812" t="s">
        <v>1777</v>
      </c>
      <c r="B43" s="813" t="s">
        <v>1800</v>
      </c>
      <c r="C43" s="814">
        <f ca="1">ROUND(C40*10000/F43,0)</f>
        <v>27030</v>
      </c>
      <c r="D43" s="815" t="s">
        <v>1801</v>
      </c>
      <c r="E43" s="816" t="s">
        <v>1802</v>
      </c>
      <c r="F43" s="817">
        <f ca="1">INDIRECT("'数据-取费表'!k"&amp;$G$1)</f>
        <v>2960.44</v>
      </c>
      <c r="G43" s="1945"/>
      <c r="H43" s="1900"/>
      <c r="I43" s="836" t="s">
        <v>1812</v>
      </c>
      <c r="J43" s="837">
        <f ca="1">1-J42</f>
        <v>0.65700000000000003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-8950</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628</v>
      </c>
      <c r="C47" s="2426">
        <f ca="1">C48+C52+C54</f>
        <v>0</v>
      </c>
      <c r="D47" s="3262"/>
      <c r="E47" s="3262"/>
      <c r="F47" s="3262"/>
      <c r="I47" s="2802" t="s">
        <v>2328</v>
      </c>
      <c r="J47" s="2236" t="s">
        <v>3552</v>
      </c>
      <c r="K47" s="2808" t="s">
        <v>2333</v>
      </c>
      <c r="L47" s="2812">
        <f ca="1">INDIRECT("'数据-取费表'!d"&amp;$G$1)</f>
        <v>70</v>
      </c>
      <c r="M47" s="1534" t="str">
        <f>IF(ISNUMBER(FIND("住宅",C1)),"住宅","非住宅")</f>
        <v>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9" t="s">
        <v>2329</v>
      </c>
      <c r="J48" s="2237" t="s">
        <v>2334</v>
      </c>
      <c r="K48" s="2809" t="s">
        <v>2335</v>
      </c>
      <c r="L48" s="1822">
        <f ca="1">INDIRECT("'数据-取费表'!f"&amp;$G$1)</f>
        <v>69.77</v>
      </c>
      <c r="M48" s="3263"/>
      <c r="O48" s="2253" t="s">
        <v>2363</v>
      </c>
      <c r="P48" s="2254" t="s">
        <v>2389</v>
      </c>
      <c r="Q48" s="2255">
        <f ca="1">C40+J29</f>
        <v>8002</v>
      </c>
      <c r="R48" s="2254" t="s">
        <v>2364</v>
      </c>
    </row>
    <row r="49" spans="1:18" s="1942" customFormat="1" ht="18" customHeight="1" thickBot="1">
      <c r="A49" s="776"/>
      <c r="B49" s="777"/>
      <c r="C49" s="778"/>
      <c r="D49" s="779"/>
      <c r="E49" s="774" t="s">
        <v>631</v>
      </c>
      <c r="F49" s="775">
        <f ca="1">F7</f>
        <v>2960.44</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632</v>
      </c>
      <c r="F50" s="775">
        <f ca="1">F8</f>
        <v>365</v>
      </c>
      <c r="G50" s="1977"/>
      <c r="H50" s="1975"/>
      <c r="I50" s="2799" t="s">
        <v>2331</v>
      </c>
      <c r="J50" s="2806">
        <f>SUMPRODUCT((I63:I65=J47)*(J62:L62=J48)*(J63:L65))</f>
        <v>60</v>
      </c>
      <c r="K50" s="2810" t="s">
        <v>2337</v>
      </c>
      <c r="L50" s="2239"/>
      <c r="M50" s="3263"/>
      <c r="O50" s="2256" t="s">
        <v>2367</v>
      </c>
      <c r="P50" s="2254" t="s">
        <v>2391</v>
      </c>
      <c r="Q50" s="2255">
        <f ca="1">C29</f>
        <v>2743</v>
      </c>
      <c r="R50" s="2254" t="s">
        <v>2364</v>
      </c>
    </row>
    <row r="51" spans="1:18" s="1942" customFormat="1" ht="18" customHeight="1" thickBot="1">
      <c r="A51" s="776"/>
      <c r="B51" s="777"/>
      <c r="C51" s="778"/>
      <c r="D51" s="779"/>
      <c r="E51" s="774" t="s">
        <v>633</v>
      </c>
      <c r="F51" s="2226"/>
      <c r="H51" s="1975"/>
      <c r="I51" s="2803" t="s">
        <v>2332</v>
      </c>
      <c r="J51" s="2807">
        <f>IF(J49="",J50,J49+J50-YEAR('数据-取费表'!B2))</f>
        <v>62</v>
      </c>
      <c r="K51" s="2799" t="s">
        <v>2338</v>
      </c>
      <c r="L51" s="2813">
        <f ca="1">ROUND(-PV(INDIRECT("'数据-取费表'!h"&amp;$G$1),J51,(C39-C13*J36),0),0)</f>
        <v>-603</v>
      </c>
      <c r="M51" s="3263"/>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2935</v>
      </c>
      <c r="E52" s="2351" t="s">
        <v>2444</v>
      </c>
      <c r="F52" s="2465"/>
      <c r="I52" s="2804" t="s">
        <v>2405</v>
      </c>
      <c r="J52" s="2240">
        <v>0.09</v>
      </c>
      <c r="K52" s="2804" t="s">
        <v>2404</v>
      </c>
      <c r="L52" s="2240"/>
      <c r="M52" s="3263"/>
      <c r="O52" s="2256" t="s">
        <v>2370</v>
      </c>
      <c r="P52" s="2254" t="s">
        <v>2371</v>
      </c>
      <c r="Q52" s="2257">
        <f>J52</f>
        <v>0.09</v>
      </c>
      <c r="R52" s="2258"/>
    </row>
    <row r="53" spans="1:18" s="1942" customFormat="1" ht="39.75" customHeight="1" thickBot="1">
      <c r="A53" s="776"/>
      <c r="B53" s="2348" t="s">
        <v>2553</v>
      </c>
      <c r="C53" s="2352"/>
      <c r="D53" s="2354"/>
      <c r="E53" s="2351"/>
      <c r="F53" s="790"/>
      <c r="I53" s="2805" t="s">
        <v>2939</v>
      </c>
      <c r="J53" s="2858">
        <f ca="1">IF(M47="住宅",IF(D1="——",MAX(J51,L48),MAX(J51,L48-'数据-取费表'!B20)),IF(D1="——",MIN(J51,L48),MIN(J51,L48-'数据-取费表'!B20)))</f>
        <v>67.27</v>
      </c>
      <c r="K53" s="3581" t="s">
        <v>2928</v>
      </c>
      <c r="L53" s="3582"/>
      <c r="M53" s="3263"/>
      <c r="O53" s="2256" t="s">
        <v>2372</v>
      </c>
      <c r="P53" s="2254" t="s">
        <v>2373</v>
      </c>
      <c r="Q53" s="2255">
        <f ca="1">J53</f>
        <v>67.27</v>
      </c>
      <c r="R53" s="2254" t="s">
        <v>2374</v>
      </c>
    </row>
    <row r="54" spans="1:18" s="1942" customFormat="1" ht="18" customHeight="1" thickBot="1">
      <c r="A54" s="2390" t="s">
        <v>2447</v>
      </c>
      <c r="B54" s="2391" t="s">
        <v>2440</v>
      </c>
      <c r="C54" s="2392"/>
      <c r="D54" s="2354"/>
      <c r="E54" s="2351"/>
      <c r="F54" s="790"/>
      <c r="I54" s="19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8"/>
      <c r="M54" s="3263"/>
      <c r="O54" s="2253" t="s">
        <v>2375</v>
      </c>
      <c r="P54" s="2254" t="s">
        <v>2392</v>
      </c>
      <c r="Q54" s="2255">
        <f ca="1">Q48+Q49</f>
        <v>8002</v>
      </c>
      <c r="R54" s="2258" t="s">
        <v>2376</v>
      </c>
    </row>
    <row r="55" spans="1:18" s="1942" customFormat="1" ht="18" customHeight="1" thickTop="1" thickBot="1">
      <c r="A55" s="787">
        <v>2</v>
      </c>
      <c r="B55" s="788" t="s">
        <v>637</v>
      </c>
      <c r="C55" s="789">
        <f ca="1">C13</f>
        <v>2743</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2287</v>
      </c>
      <c r="C56" s="53">
        <f ca="1">C29</f>
        <v>2743</v>
      </c>
      <c r="D56" s="3281"/>
      <c r="E56" s="774"/>
      <c r="F56" s="799"/>
      <c r="I56" s="2818" t="s">
        <v>2341</v>
      </c>
      <c r="J56" s="2828" t="s">
        <v>1668</v>
      </c>
      <c r="K56" s="2799" t="s">
        <v>2346</v>
      </c>
      <c r="L56" s="1822">
        <f ca="1">IF(L48&lt;J51,"——",L48-J51)</f>
        <v>7.769999999999996</v>
      </c>
      <c r="M56" s="3263"/>
      <c r="O56" s="2250" t="s">
        <v>2359</v>
      </c>
      <c r="P56" s="2251" t="s">
        <v>2360</v>
      </c>
      <c r="Q56" s="2252" t="s">
        <v>2361</v>
      </c>
      <c r="R56" s="2251" t="s">
        <v>2362</v>
      </c>
    </row>
    <row r="57" spans="1:18" s="1942" customFormat="1" ht="28.5" customHeight="1" thickBot="1">
      <c r="A57" s="787" t="s">
        <v>1738</v>
      </c>
      <c r="B57" s="788" t="s">
        <v>644</v>
      </c>
      <c r="C57" s="789">
        <f ca="1">ROUND(C58+C63+C64+C65,0)</f>
        <v>45</v>
      </c>
      <c r="D57" s="26" t="s">
        <v>645</v>
      </c>
      <c r="E57" s="3284"/>
      <c r="F57" s="56"/>
      <c r="I57" s="2819" t="s">
        <v>2342</v>
      </c>
      <c r="J57" s="2820" t="str">
        <f ca="1">IF(OR(M47="住宅",J51&lt;L48,J56="是"),"——",J51-L48)</f>
        <v>——</v>
      </c>
      <c r="K57" s="2799" t="s">
        <v>2347</v>
      </c>
      <c r="L57" s="1822">
        <f ca="1">IF(L48&lt;J51,"——",IF(L55="比较法",L49,IF(L55="基准地价",L50,L51)))</f>
        <v>-603</v>
      </c>
      <c r="M57" s="3263"/>
      <c r="O57" s="2253" t="s">
        <v>2363</v>
      </c>
      <c r="P57" s="2254" t="s">
        <v>2389</v>
      </c>
      <c r="Q57" s="2255">
        <f ca="1">C40+J29</f>
        <v>8002</v>
      </c>
      <c r="R57" s="2254" t="s">
        <v>2364</v>
      </c>
    </row>
    <row r="58" spans="1:18" s="1942" customFormat="1" ht="28.5" customHeight="1" thickBot="1">
      <c r="A58" s="1577" t="s">
        <v>1814</v>
      </c>
      <c r="B58" s="774" t="s">
        <v>649</v>
      </c>
      <c r="C58" s="3019">
        <f ca="1">ROUND(IF(AND(项目基本情况!B11="自然人",项目基本情况!B10="北京市"),C48*F58/(1+'数据-取费表'!C42),C59+C60+C61),0)</f>
        <v>0</v>
      </c>
      <c r="D58" s="3280" t="s">
        <v>650</v>
      </c>
      <c r="E58" s="3281" t="s">
        <v>683</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653</v>
      </c>
      <c r="C59" s="53">
        <f ca="1">ROUND(C47*F59/1.05,1)</f>
        <v>0</v>
      </c>
      <c r="D59" s="3281" t="s">
        <v>654</v>
      </c>
      <c r="E59" s="774" t="s">
        <v>642</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657</v>
      </c>
      <c r="C60" s="53">
        <f ca="1">IF(D60="按租金收入计税",ROUND(C47*F60,1),IF(D60="按房产原值计税",ROUND(C56*F60*0.7,1),INDIRECT("'数据-取费表'!Aj"&amp;$G$1)))</f>
        <v>0</v>
      </c>
      <c r="D60" s="3281" t="str">
        <f>D33</f>
        <v>按租金收入计税</v>
      </c>
      <c r="E60" s="774" t="s">
        <v>642</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661</v>
      </c>
      <c r="C61" s="54">
        <f ca="1">ROUND(F61*F62/10000,1)</f>
        <v>0.2</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809.38</v>
      </c>
      <c r="I62" s="2824" t="s">
        <v>2351</v>
      </c>
      <c r="J62" s="2825" t="s">
        <v>2352</v>
      </c>
      <c r="K62" s="2825" t="s">
        <v>2353</v>
      </c>
      <c r="L62" s="2825" t="s">
        <v>2334</v>
      </c>
      <c r="M62" s="2826" t="s">
        <v>2907</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669</v>
      </c>
      <c r="C63" s="53">
        <f ca="1">ROUND(C56*F63,1)</f>
        <v>41.1</v>
      </c>
      <c r="D63" s="3281" t="s">
        <v>684</v>
      </c>
      <c r="E63" s="774" t="s">
        <v>642</v>
      </c>
      <c r="F63" s="806">
        <f t="shared" ca="1" si="0"/>
        <v>1.4999999999999999E-2</v>
      </c>
      <c r="I63" s="2824" t="s">
        <v>2354</v>
      </c>
      <c r="J63" s="2825">
        <v>70</v>
      </c>
      <c r="K63" s="2825">
        <v>50</v>
      </c>
      <c r="L63" s="2825">
        <v>80</v>
      </c>
      <c r="M63" s="2827">
        <v>0.02</v>
      </c>
      <c r="O63" s="2253" t="s">
        <v>2375</v>
      </c>
      <c r="P63" s="2254" t="s">
        <v>2392</v>
      </c>
      <c r="Q63" s="2255">
        <f ca="1">Q57+Q58</f>
        <v>8002</v>
      </c>
      <c r="R63" s="2258" t="s">
        <v>2376</v>
      </c>
    </row>
    <row r="64" spans="1:18" s="1942" customFormat="1" ht="16.5" thickBot="1">
      <c r="A64" s="1577" t="s">
        <v>1880</v>
      </c>
      <c r="B64" s="774" t="s">
        <v>672</v>
      </c>
      <c r="C64" s="53">
        <f ca="1">ROUND(C55*F64,1)</f>
        <v>4.0999999999999996</v>
      </c>
      <c r="D64" s="3281" t="s">
        <v>673</v>
      </c>
      <c r="E64" s="774" t="s">
        <v>642</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659</v>
      </c>
      <c r="C65" s="53">
        <f ca="1">ROUND(C47*F65,1)</f>
        <v>0</v>
      </c>
      <c r="D65" s="3281" t="s">
        <v>676</v>
      </c>
      <c r="E65" s="774" t="s">
        <v>642</v>
      </c>
      <c r="F65" s="784">
        <f t="shared" ca="1" si="0"/>
        <v>1.4999999999999999E-2</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2799</v>
      </c>
      <c r="C66" s="789">
        <f ca="1">C47-C57</f>
        <v>-45</v>
      </c>
      <c r="D66" s="3280" t="s">
        <v>693</v>
      </c>
      <c r="E66" s="3278"/>
      <c r="F66" s="809"/>
      <c r="K66" s="1968"/>
      <c r="O66" s="2253" t="s">
        <v>2363</v>
      </c>
      <c r="P66" s="2254" t="s">
        <v>2389</v>
      </c>
      <c r="Q66" s="2255">
        <f ca="1">C40+J29</f>
        <v>8002</v>
      </c>
      <c r="R66" s="2254" t="s">
        <v>2364</v>
      </c>
    </row>
    <row r="67" spans="1:18" s="1942" customFormat="1" ht="20.25" thickBot="1">
      <c r="A67" s="771" t="s">
        <v>1770</v>
      </c>
      <c r="B67" s="2112" t="s">
        <v>2288</v>
      </c>
      <c r="C67" s="773">
        <f ca="1">ROUND(C66*(1-((1+F69)/(1+F67))^F68)/(F67-F69),0)</f>
        <v>-948</v>
      </c>
      <c r="D67" s="803" t="s">
        <v>697</v>
      </c>
      <c r="E67" s="774" t="s">
        <v>698</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701</v>
      </c>
      <c r="F68" s="811">
        <f ca="1">F41</f>
        <v>67.27</v>
      </c>
      <c r="O68" s="2256" t="s">
        <v>2367</v>
      </c>
      <c r="P68" s="2254" t="s">
        <v>2397</v>
      </c>
      <c r="Q68" s="2260">
        <f ca="1">L51</f>
        <v>-603</v>
      </c>
      <c r="R68" s="2261" t="s">
        <v>2400</v>
      </c>
    </row>
    <row r="69" spans="1:18" ht="20.25" thickBot="1">
      <c r="A69" s="780"/>
      <c r="B69" s="781"/>
      <c r="C69" s="782"/>
      <c r="D69" s="805"/>
      <c r="E69" s="774" t="s">
        <v>703</v>
      </c>
      <c r="F69" s="2226"/>
      <c r="O69" s="2256" t="s">
        <v>2368</v>
      </c>
      <c r="P69" s="2262" t="s">
        <v>2382</v>
      </c>
      <c r="Q69" s="2255">
        <f ca="1">ROUND(Q70-Q71*Q72,0)</f>
        <v>-26</v>
      </c>
      <c r="R69" s="2258"/>
    </row>
    <row r="70" spans="1:18" ht="15.75" thickBot="1">
      <c r="A70" s="812" t="s">
        <v>1777</v>
      </c>
      <c r="B70" s="813" t="s">
        <v>1800</v>
      </c>
      <c r="C70" s="814">
        <f ca="1">ROUND(C67*10000/F70,0)</f>
        <v>-3202</v>
      </c>
      <c r="D70" s="815" t="s">
        <v>1801</v>
      </c>
      <c r="E70" s="816" t="s">
        <v>1802</v>
      </c>
      <c r="F70" s="817">
        <f ca="1">F43</f>
        <v>2960.44</v>
      </c>
      <c r="O70" s="2256" t="s">
        <v>2383</v>
      </c>
      <c r="P70" s="2262" t="s">
        <v>2384</v>
      </c>
      <c r="Q70" s="2255">
        <f ca="1">C39</f>
        <v>193</v>
      </c>
      <c r="R70" s="2254" t="s">
        <v>2364</v>
      </c>
    </row>
    <row r="71" spans="1:18" ht="15.75" thickBot="1">
      <c r="O71" s="2256" t="s">
        <v>2385</v>
      </c>
      <c r="P71" s="2262" t="s">
        <v>2386</v>
      </c>
      <c r="Q71" s="2255">
        <f ca="1">C13</f>
        <v>2743</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8002</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D44" sqref="D4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3017</v>
      </c>
      <c r="D1" s="2798" t="s">
        <v>3558</v>
      </c>
      <c r="E1" s="2242" t="s">
        <v>2358</v>
      </c>
      <c r="F1" s="2243">
        <f ca="1">J53</f>
        <v>47.26</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6934</v>
      </c>
      <c r="C2" s="3264"/>
      <c r="D2" s="3265"/>
      <c r="E2" s="3266"/>
      <c r="F2" s="3266"/>
      <c r="G2" s="3260"/>
      <c r="H2" s="1940"/>
      <c r="I2" s="1940"/>
      <c r="J2" s="1940"/>
      <c r="K2" s="1941"/>
      <c r="L2" s="1940"/>
      <c r="M2" s="1940"/>
    </row>
    <row r="3" spans="1:33" ht="18" customHeight="1" thickBot="1">
      <c r="A3" s="822" t="s">
        <v>1717</v>
      </c>
      <c r="B3" s="823">
        <f ca="1">IF(ISERROR(B2*10000/F43),0,ROUND(B2*10000/F43,0))</f>
        <v>15642</v>
      </c>
      <c r="C3" s="3264"/>
      <c r="D3" s="3265"/>
      <c r="E3" s="3266"/>
      <c r="F3" s="3266"/>
      <c r="G3" s="3260"/>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364</v>
      </c>
      <c r="D5" s="2349" t="s">
        <v>2441</v>
      </c>
      <c r="E5" s="2343"/>
      <c r="F5" s="2344"/>
      <c r="G5" s="1945"/>
      <c r="H5" s="771">
        <v>1</v>
      </c>
      <c r="I5" s="772" t="s">
        <v>2438</v>
      </c>
      <c r="J5" s="55">
        <f ca="1">J6+J10+J12</f>
        <v>0</v>
      </c>
      <c r="K5" s="2349" t="s">
        <v>2441</v>
      </c>
      <c r="L5" s="2343"/>
      <c r="M5" s="2344"/>
    </row>
    <row r="6" spans="1:33" ht="18" customHeight="1">
      <c r="A6" s="1745" t="s">
        <v>1814</v>
      </c>
      <c r="B6" s="3575" t="s">
        <v>2443</v>
      </c>
      <c r="C6" s="773">
        <f ca="1">ROUND(F6*F8*F7*(1-F9)/10000,0)</f>
        <v>364</v>
      </c>
      <c r="D6" s="2350" t="s">
        <v>2442</v>
      </c>
      <c r="E6" s="774" t="s">
        <v>1728</v>
      </c>
      <c r="F6" s="775">
        <f ca="1">INDIRECT("'数据-取费表'!u"&amp;$G$1)</f>
        <v>2.5</v>
      </c>
      <c r="G6" s="1945"/>
      <c r="H6" s="2357" t="s">
        <v>2448</v>
      </c>
      <c r="I6" s="3575" t="s">
        <v>2443</v>
      </c>
      <c r="J6" s="773">
        <f ca="1">ROUND(M6*M8*M7*(1-M9)/10000,0)</f>
        <v>0</v>
      </c>
      <c r="K6" s="339" t="s">
        <v>1727</v>
      </c>
      <c r="L6" s="774" t="s">
        <v>1728</v>
      </c>
      <c r="M6" s="775">
        <f ca="1">INDIRECT("'数据-取费表'!z"&amp;$G$1)</f>
        <v>0</v>
      </c>
    </row>
    <row r="7" spans="1:33" ht="18" customHeight="1">
      <c r="A7" s="2353"/>
      <c r="B7" s="3576"/>
      <c r="C7" s="778"/>
      <c r="D7" s="779"/>
      <c r="E7" s="774" t="s">
        <v>1729</v>
      </c>
      <c r="F7" s="775">
        <f ca="1">IF(INDIRECT("'数据-取费表'!ah"&amp;$G$1)="",INDIRECT("'数据-取费表'!k"&amp;$G$1),INDIRECT("'数据-取费表'!ah"&amp;$G$1))</f>
        <v>4432.97</v>
      </c>
      <c r="G7" s="1945"/>
      <c r="H7" s="2342"/>
      <c r="I7" s="3576"/>
      <c r="J7" s="778"/>
      <c r="K7" s="779"/>
      <c r="L7" s="774" t="s">
        <v>1729</v>
      </c>
      <c r="M7" s="775">
        <f ca="1">F7</f>
        <v>4432.97</v>
      </c>
    </row>
    <row r="8" spans="1:33" ht="18" customHeight="1">
      <c r="A8" s="2346"/>
      <c r="B8" s="3577"/>
      <c r="C8" s="778"/>
      <c r="D8" s="779"/>
      <c r="E8" s="774" t="s">
        <v>1730</v>
      </c>
      <c r="F8" s="775">
        <f ca="1">INDIRECT("'数据-取费表'!ai"&amp;$G$1)</f>
        <v>365</v>
      </c>
      <c r="G8" s="1945"/>
      <c r="H8" s="2342"/>
      <c r="I8" s="3577"/>
      <c r="J8" s="778"/>
      <c r="K8" s="779"/>
      <c r="L8" s="774" t="s">
        <v>1730</v>
      </c>
      <c r="M8" s="775">
        <f ca="1">INDIRECT("'数据-取费表'!ai"&amp;$G$1)</f>
        <v>365</v>
      </c>
    </row>
    <row r="9" spans="1:33" ht="18" customHeight="1">
      <c r="A9" s="776"/>
      <c r="B9" s="3578"/>
      <c r="C9" s="778"/>
      <c r="D9" s="779"/>
      <c r="E9" s="774" t="s">
        <v>1731</v>
      </c>
      <c r="F9" s="784">
        <f ca="1">INDIRECT("'数据-取费表'!w"&amp;$G$1)</f>
        <v>0.1</v>
      </c>
      <c r="G9" s="1945"/>
      <c r="H9" s="2358"/>
      <c r="I9" s="3577"/>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2935</v>
      </c>
      <c r="E10" s="2351" t="s">
        <v>2444</v>
      </c>
      <c r="F10" s="2465" t="s">
        <v>3559</v>
      </c>
      <c r="G10" s="1945"/>
      <c r="H10" s="2414" t="s">
        <v>2449</v>
      </c>
      <c r="I10" s="2419" t="s">
        <v>2439</v>
      </c>
      <c r="J10" s="773">
        <f ca="1">ROUND(IF(M10="押一",J6/12*M11,IF(M10="押二",J6/12*2*M11,IF(M10="押三",J6/12*3*M11,J11*M11))),0)</f>
        <v>0</v>
      </c>
      <c r="K10" s="2354" t="s">
        <v>2935</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3865</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638</v>
      </c>
      <c r="C14" s="794">
        <f ca="1">INDIRECT("'数据-取费表'!m"&amp;$G$1)+INDIRECT("'数据-取费表'!t"&amp;$G$1)</f>
        <v>2811</v>
      </c>
      <c r="D14" s="1893" t="s">
        <v>1735</v>
      </c>
      <c r="E14" s="1894"/>
      <c r="F14" s="795"/>
      <c r="G14" s="1945"/>
      <c r="H14" s="1577" t="s">
        <v>1820</v>
      </c>
      <c r="I14" s="2111" t="s">
        <v>2803</v>
      </c>
      <c r="J14" s="53">
        <f ca="1">C29</f>
        <v>3865</v>
      </c>
      <c r="K14" s="26"/>
      <c r="L14" s="791"/>
      <c r="M14" s="792"/>
    </row>
    <row r="15" spans="1:33" s="1947" customFormat="1" ht="18" customHeight="1" thickBot="1">
      <c r="A15" s="1576" t="s">
        <v>1875</v>
      </c>
      <c r="B15" s="774" t="s">
        <v>640</v>
      </c>
      <c r="C15" s="53">
        <f ca="1">ROUND(C14*F15,0)</f>
        <v>84</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364</v>
      </c>
      <c r="K16" s="1736" t="s">
        <v>1740</v>
      </c>
      <c r="L16" s="2339"/>
      <c r="M16" s="2344"/>
    </row>
    <row r="17" spans="1:33" s="1947" customFormat="1" ht="18" customHeight="1">
      <c r="A17" s="1576" t="s">
        <v>1877</v>
      </c>
      <c r="B17" s="774" t="s">
        <v>646</v>
      </c>
      <c r="C17" s="53">
        <f ca="1">ROUND(F17*(F43+INDIRECT("'数据-取费表'!S"&amp;$G$1))/10000,0)</f>
        <v>94</v>
      </c>
      <c r="D17" s="774" t="s">
        <v>1741</v>
      </c>
      <c r="E17" s="774" t="s">
        <v>1742</v>
      </c>
      <c r="F17" s="56">
        <f>'数据-取费表'!B35</f>
        <v>200</v>
      </c>
      <c r="G17" s="3261"/>
      <c r="H17" s="1577" t="s">
        <v>1820</v>
      </c>
      <c r="I17" s="774" t="s">
        <v>649</v>
      </c>
      <c r="J17" s="3019">
        <f ca="1">ROUND(IF(AND(项目基本情况!B11="自然人",项目基本情况!B10="北京市"),J6*M17/(1+'数据-取费表'!C42),J18+J19+J20),0)</f>
        <v>325</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42</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655</v>
      </c>
      <c r="C19" s="53">
        <f ca="1">SUM(C14:C18)</f>
        <v>3031</v>
      </c>
      <c r="D19" s="259" t="s">
        <v>1747</v>
      </c>
      <c r="E19" s="1896"/>
      <c r="F19" s="56"/>
      <c r="G19" s="1945"/>
      <c r="H19" s="1576" t="s">
        <v>1875</v>
      </c>
      <c r="I19" s="774" t="s">
        <v>1748</v>
      </c>
      <c r="J19" s="53">
        <f ca="1">IF(K19="按租金收入计税",ROUND(J6*M19/(1+'数据-取费表'!C42),1),ROUND(C29*F33*0.7,1))</f>
        <v>324.7</v>
      </c>
      <c r="K19" s="800" t="s">
        <v>658</v>
      </c>
      <c r="L19" s="774" t="s">
        <v>1737</v>
      </c>
      <c r="M19" s="799">
        <f>IF(K19="按租金收入计税",'数据-取费表'!B51,'数据-取费表'!B50)</f>
        <v>1.2E-2</v>
      </c>
    </row>
    <row r="20" spans="1:33" s="1947" customFormat="1" ht="18" customHeight="1">
      <c r="A20" s="1577" t="s">
        <v>1879</v>
      </c>
      <c r="B20" s="774" t="s">
        <v>659</v>
      </c>
      <c r="C20" s="53">
        <f ca="1">ROUND(C19*F20,0)</f>
        <v>61</v>
      </c>
      <c r="D20" s="801" t="s">
        <v>1749</v>
      </c>
      <c r="E20" s="774" t="s">
        <v>1737</v>
      </c>
      <c r="F20" s="799">
        <f>'数据-取费表'!B37</f>
        <v>0.02</v>
      </c>
      <c r="G20" s="3261"/>
      <c r="H20" s="1579" t="s">
        <v>1870</v>
      </c>
      <c r="I20" s="339" t="s">
        <v>1750</v>
      </c>
      <c r="J20" s="54">
        <f ca="1">ROUND(M20*M21/10000,0)</f>
        <v>0</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1187.1599999999999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39</v>
      </c>
      <c r="K22" s="2337" t="s">
        <v>1759</v>
      </c>
      <c r="L22" s="774" t="s">
        <v>1737</v>
      </c>
      <c r="M22" s="806">
        <f ca="1">INDIRECT("'数据-取费表'!Ak"&amp;$G$1)</f>
        <v>0.01</v>
      </c>
    </row>
    <row r="23" spans="1:33" s="1947" customFormat="1" ht="18" customHeight="1">
      <c r="A23" s="1576" t="s">
        <v>1821</v>
      </c>
      <c r="B23" s="774" t="s">
        <v>2515</v>
      </c>
      <c r="C23" s="53">
        <f ca="1">ROUND(IF('数据-取费表'!B22&lt;=1,(C19+C20)*F24*F23/2,(C19+C20)*(POWER((1+F24),F23/2)-1)),0)</f>
        <v>169</v>
      </c>
      <c r="D23" s="2423" t="str">
        <f>IF(F23&lt;=1,"(建造成本+管理费用)×利率×(建设周期÷2)","(建造成本+管理费用)×((1+利率)^(建设周期÷2)-1)")</f>
        <v>(建造成本+管理费用)×((1+利率)^(建设周期÷2)-1)</v>
      </c>
      <c r="E23" s="774" t="s">
        <v>1760</v>
      </c>
      <c r="F23" s="632">
        <f>'数据-取费表'!B20</f>
        <v>2.5</v>
      </c>
      <c r="G23" s="3261"/>
      <c r="H23" s="1577"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1.1000000000000001E-3</v>
      </c>
      <c r="D24" s="2423" t="str">
        <f>IF(F23&lt;=1,"销售费用×利率×(建设周期÷2)","销售费用×((1+利率)^(建设周期÷2)-1)")</f>
        <v>销售费用×((1+利率)^(建设周期÷2)-1)</v>
      </c>
      <c r="E24" s="774" t="s">
        <v>1763</v>
      </c>
      <c r="F24" s="808">
        <f ca="1">'数据-取费表'!B40</f>
        <v>4.3499999999999997E-2</v>
      </c>
      <c r="G24" s="3261"/>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1896"/>
      <c r="F25" s="56"/>
      <c r="G25" s="1945"/>
      <c r="H25" s="1744" t="s">
        <v>1766</v>
      </c>
      <c r="I25" s="2723" t="s">
        <v>2799</v>
      </c>
      <c r="J25" s="782">
        <f ca="1">J5-J16</f>
        <v>-364</v>
      </c>
      <c r="K25" s="2401" t="s">
        <v>1767</v>
      </c>
      <c r="L25" s="2402"/>
      <c r="M25" s="2403"/>
    </row>
    <row r="26" spans="1:33" ht="18" customHeight="1">
      <c r="A26" s="1576" t="s">
        <v>1821</v>
      </c>
      <c r="B26" s="774" t="s">
        <v>2421</v>
      </c>
      <c r="C26" s="53">
        <f ca="1">ROUND((C19+C20)*F26,0)</f>
        <v>309</v>
      </c>
      <c r="D26" s="801" t="s">
        <v>1768</v>
      </c>
      <c r="E26" s="785" t="s">
        <v>1769</v>
      </c>
      <c r="F26" s="784">
        <f ca="1">INDIRECT("'数据-取费表'!q"&amp;$G$1)</f>
        <v>0.1</v>
      </c>
      <c r="G26" s="1945"/>
      <c r="H26" s="2355" t="s">
        <v>1770</v>
      </c>
      <c r="I26" s="2112" t="s">
        <v>2804</v>
      </c>
      <c r="J26" s="773">
        <f ca="1">IF(J5&lt;&gt;0,ROUND(J25*(1-((1+M28)/(1+M26))^M27)/(M26-M28),0),0)</f>
        <v>0</v>
      </c>
      <c r="K26" s="803" t="s">
        <v>1771</v>
      </c>
      <c r="L26" s="774" t="s">
        <v>2403</v>
      </c>
      <c r="M26" s="784">
        <f ca="1">INDIRECT("'数据-取费表'!I"&amp;$G$1)</f>
        <v>0.05</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5.33E-2</v>
      </c>
      <c r="D28" s="801" t="s">
        <v>2286</v>
      </c>
      <c r="E28" s="774" t="s">
        <v>1775</v>
      </c>
      <c r="F28" s="799">
        <f>'数据-取费表'!B41</f>
        <v>5.6000000000000001E-2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3865</v>
      </c>
      <c r="D29" s="2398"/>
      <c r="E29" s="2399"/>
      <c r="F29" s="2400"/>
      <c r="G29" s="3261"/>
      <c r="H29" s="812" t="s">
        <v>1777</v>
      </c>
      <c r="I29" s="813" t="s">
        <v>1778</v>
      </c>
      <c r="J29" s="814">
        <f ca="1">ROUND(J26/(1+F40)^F41,0)</f>
        <v>0</v>
      </c>
      <c r="K29" s="815" t="s">
        <v>1779</v>
      </c>
      <c r="L29" s="816"/>
      <c r="M29" s="817">
        <f ca="1">INDIRECT("'数据-取费表'!k"&amp;$G$1)</f>
        <v>4432.97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109</v>
      </c>
      <c r="D30" s="1736" t="s">
        <v>1781</v>
      </c>
      <c r="E30" s="2339"/>
      <c r="F30" s="2344"/>
      <c r="G30" s="1945"/>
      <c r="H30" s="1948"/>
      <c r="I30" s="1949"/>
      <c r="J30" s="1950"/>
      <c r="K30" s="1951"/>
      <c r="L30" s="1952"/>
      <c r="M30" s="1953"/>
    </row>
    <row r="31" spans="1:33" ht="18" customHeight="1">
      <c r="A31" s="1577" t="s">
        <v>1820</v>
      </c>
      <c r="B31" s="774" t="s">
        <v>649</v>
      </c>
      <c r="C31" s="3019">
        <f ca="1">ROUND(IF(AND(项目基本情况!B11="自然人",项目基本情况!B10="北京市"),C6*F31/(1+'数据-取费表'!C42),C32+C33+C34),0)</f>
        <v>61</v>
      </c>
      <c r="D31" s="1893" t="s">
        <v>1782</v>
      </c>
      <c r="E31" s="1891" t="s">
        <v>1783</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6" t="s">
        <v>1821</v>
      </c>
      <c r="B32" s="774" t="s">
        <v>1784</v>
      </c>
      <c r="C32" s="53">
        <f ca="1">ROUND(C6*F32/(1+'数据-取费表'!C42),1)</f>
        <v>19.399999999999999</v>
      </c>
      <c r="D32" s="1891" t="s">
        <v>1785</v>
      </c>
      <c r="E32" s="774" t="s">
        <v>1786</v>
      </c>
      <c r="F32" s="799">
        <f>'数据-取费表'!B41</f>
        <v>5.6000000000000001E-2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41.6</v>
      </c>
      <c r="D33" s="800" t="s">
        <v>3560</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0.4</v>
      </c>
      <c r="D34" s="803" t="s">
        <v>1789</v>
      </c>
      <c r="E34" s="774" t="s">
        <v>1790</v>
      </c>
      <c r="F34" s="632">
        <f>'数据-取费表'!B52</f>
        <v>3</v>
      </c>
      <c r="G34" s="1945"/>
      <c r="H34" s="1948"/>
      <c r="I34" s="824" t="s">
        <v>1803</v>
      </c>
      <c r="J34" s="825"/>
      <c r="K34" s="1963"/>
      <c r="L34" s="1962"/>
      <c r="M34" s="1962"/>
    </row>
    <row r="35" spans="1:18" ht="18" customHeight="1">
      <c r="A35" s="804"/>
      <c r="B35" s="783"/>
      <c r="C35" s="69"/>
      <c r="D35" s="805"/>
      <c r="E35" s="774" t="s">
        <v>1791</v>
      </c>
      <c r="F35" s="775">
        <f ca="1">INDIRECT("'数据-取费表'!r"&amp;$G$1)</f>
        <v>1187.1599999999999</v>
      </c>
      <c r="G35" s="1945"/>
      <c r="H35" s="1948"/>
      <c r="I35" s="826" t="s">
        <v>1804</v>
      </c>
      <c r="J35" s="827">
        <f ca="1">ROUND(C13*J36,0)</f>
        <v>309</v>
      </c>
      <c r="K35" s="1961"/>
      <c r="L35" s="1960"/>
      <c r="M35" s="1960"/>
    </row>
    <row r="36" spans="1:18" ht="18" customHeight="1">
      <c r="A36" s="1577" t="s">
        <v>1879</v>
      </c>
      <c r="B36" s="774" t="s">
        <v>1792</v>
      </c>
      <c r="C36" s="53">
        <f ca="1">ROUND(C29*F36,1)</f>
        <v>38.700000000000003</v>
      </c>
      <c r="D36" s="1891" t="s">
        <v>1793</v>
      </c>
      <c r="E36" s="774" t="s">
        <v>1786</v>
      </c>
      <c r="F36" s="806">
        <f ca="1">INDIRECT("'数据-取费表'!Ak"&amp;$G$1)</f>
        <v>0.01</v>
      </c>
      <c r="G36" s="1945"/>
      <c r="H36" s="1960"/>
      <c r="I36" s="828" t="s">
        <v>1805</v>
      </c>
      <c r="J36" s="829">
        <f ca="1">INDIRECT("'数据-取费表'!j"&amp;$G$1)</f>
        <v>0.08</v>
      </c>
      <c r="K36" s="1964"/>
      <c r="L36" s="1960"/>
      <c r="M36" s="1960"/>
    </row>
    <row r="37" spans="1:18" ht="18" customHeight="1">
      <c r="A37" s="1577" t="s">
        <v>1880</v>
      </c>
      <c r="B37" s="774" t="s">
        <v>672</v>
      </c>
      <c r="C37" s="53">
        <f ca="1">ROUND(C13*F37,1)</f>
        <v>5.8</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3.6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3" t="s">
        <v>2799</v>
      </c>
      <c r="C39" s="782">
        <f ca="1">C5-C30</f>
        <v>255</v>
      </c>
      <c r="D39" s="2401" t="s">
        <v>1796</v>
      </c>
      <c r="E39" s="2402"/>
      <c r="F39" s="2403"/>
      <c r="G39" s="1945"/>
      <c r="H39" s="1960"/>
      <c r="I39" s="826" t="s">
        <v>1808</v>
      </c>
      <c r="J39" s="834">
        <f ca="1">ROUND(J35/C39,3)</f>
        <v>1.212</v>
      </c>
      <c r="K39" s="1965"/>
      <c r="L39" s="1960"/>
      <c r="M39" s="1960"/>
    </row>
    <row r="40" spans="1:18" ht="18" customHeight="1">
      <c r="A40" s="771" t="s">
        <v>1885</v>
      </c>
      <c r="B40" s="2112" t="s">
        <v>2288</v>
      </c>
      <c r="C40" s="773">
        <f ca="1">ROUND(C39*(1-((1+F42)/(1+F40))^F41)/(F40-F42),0)</f>
        <v>6934</v>
      </c>
      <c r="D40" s="803" t="s">
        <v>1797</v>
      </c>
      <c r="E40" s="774" t="s">
        <v>2403</v>
      </c>
      <c r="F40" s="784">
        <f ca="1">INDIRECT("'数据-取费表'!I"&amp;$G$1)</f>
        <v>0.05</v>
      </c>
      <c r="G40" s="1945"/>
      <c r="H40" s="1945"/>
      <c r="I40" s="826" t="s">
        <v>1809</v>
      </c>
      <c r="J40" s="834">
        <f ca="1">1-J39</f>
        <v>-0.21199999999999997</v>
      </c>
      <c r="K40" s="1965"/>
      <c r="L40" s="1945"/>
      <c r="M40" s="1945"/>
    </row>
    <row r="41" spans="1:18" ht="18" customHeight="1">
      <c r="A41" s="776"/>
      <c r="B41" s="777"/>
      <c r="C41" s="778"/>
      <c r="D41" s="810" t="s">
        <v>1798</v>
      </c>
      <c r="E41" s="774" t="s">
        <v>2926</v>
      </c>
      <c r="F41" s="811">
        <f ca="1">IF(INDIRECT("'数据-取费表'!af"&amp;$G$1)=0,INDIRECT("'数据-取费表'!ae"&amp;$G$1),INDIRECT("'数据-取费表'!af"&amp;$G$1))</f>
        <v>47.26</v>
      </c>
      <c r="G41" s="1945"/>
      <c r="H41" s="1900"/>
      <c r="I41" s="832" t="s">
        <v>1810</v>
      </c>
      <c r="J41" s="835"/>
      <c r="K41" s="1964"/>
      <c r="L41" s="1900"/>
      <c r="M41" s="1900"/>
    </row>
    <row r="42" spans="1:18" ht="18" customHeight="1">
      <c r="A42" s="780"/>
      <c r="B42" s="781"/>
      <c r="C42" s="782"/>
      <c r="D42" s="805"/>
      <c r="E42" s="774" t="s">
        <v>1799</v>
      </c>
      <c r="F42" s="784">
        <f ca="1">INDIRECT("'数据-取费表'!v"&amp;$G$1)</f>
        <v>2.5000000000000001E-2</v>
      </c>
      <c r="G42" s="1945"/>
      <c r="H42" s="1900"/>
      <c r="I42" s="836" t="s">
        <v>1811</v>
      </c>
      <c r="J42" s="834">
        <f ca="1">ROUND(C13/C40,3)</f>
        <v>0.55700000000000005</v>
      </c>
      <c r="K42" s="1964"/>
      <c r="L42" s="1900"/>
      <c r="M42" s="1900"/>
    </row>
    <row r="43" spans="1:18" ht="18" customHeight="1" thickBot="1">
      <c r="A43" s="812" t="s">
        <v>1777</v>
      </c>
      <c r="B43" s="813" t="s">
        <v>1800</v>
      </c>
      <c r="C43" s="814">
        <f ca="1">ROUND(C40*10000/F43,0)</f>
        <v>15642</v>
      </c>
      <c r="D43" s="815" t="s">
        <v>1801</v>
      </c>
      <c r="E43" s="816" t="s">
        <v>1802</v>
      </c>
      <c r="F43" s="817">
        <f ca="1">INDIRECT("'数据-取费表'!k"&amp;$G$1)</f>
        <v>4432.97</v>
      </c>
      <c r="G43" s="1945"/>
      <c r="H43" s="1900"/>
      <c r="I43" s="836" t="s">
        <v>1812</v>
      </c>
      <c r="J43" s="837">
        <f ca="1">1-J42</f>
        <v>0.44299999999999995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-7744</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628</v>
      </c>
      <c r="C47" s="2426">
        <f ca="1">C48+C52+C54</f>
        <v>0</v>
      </c>
      <c r="D47" s="3262"/>
      <c r="E47" s="3262"/>
      <c r="F47" s="3262"/>
      <c r="I47" s="2802" t="s">
        <v>2328</v>
      </c>
      <c r="J47" s="2236" t="s">
        <v>3552</v>
      </c>
      <c r="K47" s="2808" t="s">
        <v>2333</v>
      </c>
      <c r="L47" s="2812">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629</v>
      </c>
      <c r="E48" s="2231" t="s">
        <v>2283</v>
      </c>
      <c r="F48" s="2232"/>
      <c r="G48" s="1972"/>
      <c r="I48" s="2799" t="s">
        <v>2329</v>
      </c>
      <c r="J48" s="2237" t="s">
        <v>2334</v>
      </c>
      <c r="K48" s="2809" t="s">
        <v>2335</v>
      </c>
      <c r="L48" s="1822">
        <f ca="1">INDIRECT("'数据-取费表'!f"&amp;$G$1)</f>
        <v>49.76</v>
      </c>
      <c r="M48" s="3263"/>
      <c r="O48" s="2253" t="s">
        <v>2363</v>
      </c>
      <c r="P48" s="2254" t="s">
        <v>2389</v>
      </c>
      <c r="Q48" s="2255">
        <f ca="1">C40+J29</f>
        <v>6934</v>
      </c>
      <c r="R48" s="2254" t="s">
        <v>2364</v>
      </c>
    </row>
    <row r="49" spans="1:18" s="1942" customFormat="1" ht="18" customHeight="1" thickBot="1">
      <c r="A49" s="776"/>
      <c r="B49" s="777"/>
      <c r="C49" s="778"/>
      <c r="D49" s="779"/>
      <c r="E49" s="774" t="s">
        <v>1729</v>
      </c>
      <c r="F49" s="775">
        <f ca="1">F7</f>
        <v>4432.97</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9" t="s">
        <v>2331</v>
      </c>
      <c r="J50" s="2806">
        <f>SUMPRODUCT((I63:I65=J47)*(J62:L62=J48)*(J63:L65))</f>
        <v>60</v>
      </c>
      <c r="K50" s="2810" t="s">
        <v>2337</v>
      </c>
      <c r="L50" s="2239"/>
      <c r="M50" s="3263"/>
      <c r="O50" s="2256" t="s">
        <v>2367</v>
      </c>
      <c r="P50" s="2254" t="s">
        <v>2391</v>
      </c>
      <c r="Q50" s="2255">
        <f ca="1">C29</f>
        <v>3865</v>
      </c>
      <c r="R50" s="2254" t="s">
        <v>2364</v>
      </c>
    </row>
    <row r="51" spans="1:18" s="1942" customFormat="1" ht="18" customHeight="1" thickBot="1">
      <c r="A51" s="776"/>
      <c r="B51" s="777"/>
      <c r="C51" s="778"/>
      <c r="D51" s="779"/>
      <c r="E51" s="774" t="s">
        <v>633</v>
      </c>
      <c r="F51" s="2226"/>
      <c r="H51" s="1975"/>
      <c r="I51" s="2803" t="s">
        <v>2332</v>
      </c>
      <c r="J51" s="2807">
        <f>IF(J49="",J50,J49+J50-YEAR('数据-取费表'!B2))</f>
        <v>62</v>
      </c>
      <c r="K51" s="2799" t="s">
        <v>2338</v>
      </c>
      <c r="L51" s="2813">
        <f ca="1">ROUND(-PV(INDIRECT("'数据-取费表'!h"&amp;$G$1),J51,(C39-C13*J36),0),0)</f>
        <v>-1031</v>
      </c>
      <c r="M51" s="3263"/>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2936</v>
      </c>
      <c r="E52" s="2351" t="s">
        <v>2444</v>
      </c>
      <c r="F52" s="2465"/>
      <c r="I52" s="2804" t="s">
        <v>2405</v>
      </c>
      <c r="J52" s="2240">
        <v>0.09</v>
      </c>
      <c r="K52" s="2804" t="s">
        <v>2404</v>
      </c>
      <c r="L52" s="2240"/>
      <c r="M52" s="3263"/>
      <c r="O52" s="2256" t="s">
        <v>2370</v>
      </c>
      <c r="P52" s="2254" t="s">
        <v>2371</v>
      </c>
      <c r="Q52" s="2257">
        <f>J52</f>
        <v>0.09</v>
      </c>
      <c r="R52" s="2258"/>
    </row>
    <row r="53" spans="1:18" s="1942" customFormat="1" ht="39.75" customHeight="1" thickBot="1">
      <c r="A53" s="776"/>
      <c r="B53" s="2348" t="s">
        <v>2553</v>
      </c>
      <c r="C53" s="2352"/>
      <c r="D53" s="2354"/>
      <c r="E53" s="2351"/>
      <c r="F53" s="790"/>
      <c r="I53" s="2805" t="s">
        <v>2939</v>
      </c>
      <c r="J53" s="2858">
        <f ca="1">IF(M47="住宅",IF(D1="——",MAX(J51,L48),MAX(J51,L48-'数据-取费表'!B20)),IF(D1="——",MIN(J51,L48),MIN(J51,L48-'数据-取费表'!B20)))</f>
        <v>47.26</v>
      </c>
      <c r="K53" s="3581" t="s">
        <v>2928</v>
      </c>
      <c r="L53" s="3582"/>
      <c r="M53" s="3263"/>
      <c r="O53" s="2256" t="s">
        <v>2372</v>
      </c>
      <c r="P53" s="2254" t="s">
        <v>2373</v>
      </c>
      <c r="Q53" s="2255">
        <f ca="1">J53</f>
        <v>47.26</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6934</v>
      </c>
      <c r="R54" s="2258" t="s">
        <v>2376</v>
      </c>
    </row>
    <row r="55" spans="1:18" s="1942" customFormat="1" ht="18" customHeight="1" thickTop="1" thickBot="1">
      <c r="A55" s="787">
        <v>2</v>
      </c>
      <c r="B55" s="788" t="s">
        <v>637</v>
      </c>
      <c r="C55" s="789">
        <f ca="1">C13</f>
        <v>3865</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2289</v>
      </c>
      <c r="C56" s="53">
        <f ca="1">C29</f>
        <v>3865</v>
      </c>
      <c r="D56" s="2481"/>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644</v>
      </c>
      <c r="C57" s="789">
        <f ca="1">ROUND(C58+C63+C64+C65,0)</f>
        <v>45</v>
      </c>
      <c r="D57" s="26" t="s">
        <v>1740</v>
      </c>
      <c r="E57" s="2482"/>
      <c r="F57" s="56"/>
      <c r="I57" s="2819" t="s">
        <v>2342</v>
      </c>
      <c r="J57" s="2820" t="str">
        <f ca="1">IF(OR(M47="住宅",J51&lt;L48,J56="是"),"——",J51-L48)</f>
        <v>——</v>
      </c>
      <c r="K57" s="2799" t="s">
        <v>2347</v>
      </c>
      <c r="L57" s="1822" t="str">
        <f ca="1">IF(L48&lt;J51,"——",IF(L55="比较法",L49,IF(L55="基准地价",L50,L51)))</f>
        <v>——</v>
      </c>
      <c r="M57" s="3263"/>
      <c r="O57" s="2253" t="s">
        <v>2363</v>
      </c>
      <c r="P57" s="2254" t="s">
        <v>2393</v>
      </c>
      <c r="Q57" s="2255">
        <f ca="1">C40+J29</f>
        <v>6934</v>
      </c>
      <c r="R57" s="2254" t="s">
        <v>2364</v>
      </c>
    </row>
    <row r="58" spans="1:18" s="1942" customFormat="1" ht="28.5" customHeight="1" thickBot="1">
      <c r="A58" s="1577" t="s">
        <v>1814</v>
      </c>
      <c r="B58" s="774" t="s">
        <v>649</v>
      </c>
      <c r="C58" s="3019">
        <f ca="1">ROUND(IF(AND(项目基本情况!B11="自然人",项目基本情况!B10="北京市"),C48*F58/(1+'数据-取费表'!C42),C59+C60+C61),0)</f>
        <v>0</v>
      </c>
      <c r="D58" s="2480" t="s">
        <v>650</v>
      </c>
      <c r="E58" s="2481" t="s">
        <v>683</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653</v>
      </c>
      <c r="C59" s="53">
        <f ca="1">ROUND(C47*F59/1.05,1)</f>
        <v>0</v>
      </c>
      <c r="D59" s="2481" t="s">
        <v>1746</v>
      </c>
      <c r="E59" s="774" t="s">
        <v>1737</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661</v>
      </c>
      <c r="C61" s="54">
        <f ca="1">ROUND(F61*F62/10000,1)</f>
        <v>0.4</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1187.1599999999999</v>
      </c>
      <c r="I62" s="2824" t="s">
        <v>2351</v>
      </c>
      <c r="J62" s="2825" t="s">
        <v>2352</v>
      </c>
      <c r="K62" s="2825" t="s">
        <v>2353</v>
      </c>
      <c r="L62" s="2825" t="s">
        <v>2334</v>
      </c>
      <c r="M62" s="2826" t="s">
        <v>2907</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669</v>
      </c>
      <c r="C63" s="53">
        <f ca="1">ROUND(C56*F63,1)</f>
        <v>38.700000000000003</v>
      </c>
      <c r="D63" s="2481" t="s">
        <v>1793</v>
      </c>
      <c r="E63" s="774" t="s">
        <v>1737</v>
      </c>
      <c r="F63" s="806">
        <f t="shared" ca="1" si="0"/>
        <v>0.01</v>
      </c>
      <c r="I63" s="2824" t="s">
        <v>2354</v>
      </c>
      <c r="J63" s="2825">
        <v>70</v>
      </c>
      <c r="K63" s="2825">
        <v>50</v>
      </c>
      <c r="L63" s="2825">
        <v>80</v>
      </c>
      <c r="M63" s="2827">
        <v>0.02</v>
      </c>
      <c r="O63" s="2253" t="s">
        <v>2375</v>
      </c>
      <c r="P63" s="2254" t="s">
        <v>2392</v>
      </c>
      <c r="Q63" s="2255">
        <f ca="1">Q57+Q58</f>
        <v>6934</v>
      </c>
      <c r="R63" s="2258" t="s">
        <v>2376</v>
      </c>
    </row>
    <row r="64" spans="1:18" s="1942" customFormat="1" ht="16.5" thickBot="1">
      <c r="A64" s="1577" t="s">
        <v>1880</v>
      </c>
      <c r="B64" s="774" t="s">
        <v>672</v>
      </c>
      <c r="C64" s="53">
        <f ca="1">ROUND(C55*F64,1)</f>
        <v>5.8</v>
      </c>
      <c r="D64" s="2481" t="s">
        <v>673</v>
      </c>
      <c r="E64" s="774" t="s">
        <v>1737</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659</v>
      </c>
      <c r="C65" s="53">
        <f ca="1">ROUND(C47*F65,1)</f>
        <v>0</v>
      </c>
      <c r="D65" s="2481" t="s">
        <v>676</v>
      </c>
      <c r="E65" s="774" t="s">
        <v>1737</v>
      </c>
      <c r="F65" s="784">
        <f t="shared" ca="1" si="0"/>
        <v>0.01</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2799</v>
      </c>
      <c r="C66" s="789">
        <f ca="1">C47-C57</f>
        <v>-45</v>
      </c>
      <c r="D66" s="2480" t="s">
        <v>693</v>
      </c>
      <c r="E66" s="2479"/>
      <c r="F66" s="809"/>
      <c r="K66" s="1968"/>
      <c r="O66" s="2253" t="s">
        <v>2363</v>
      </c>
      <c r="P66" s="2254" t="s">
        <v>2393</v>
      </c>
      <c r="Q66" s="2255">
        <f ca="1">C40+J29</f>
        <v>6934</v>
      </c>
      <c r="R66" s="2254" t="s">
        <v>2364</v>
      </c>
    </row>
    <row r="67" spans="1:18" s="1942" customFormat="1" ht="20.25" thickBot="1">
      <c r="A67" s="771" t="s">
        <v>1770</v>
      </c>
      <c r="B67" s="2112" t="s">
        <v>2288</v>
      </c>
      <c r="C67" s="773">
        <f ca="1">ROUND(C66*(1-((1+F69)/(1+F67))^F68)/(F67-F69),0)</f>
        <v>-810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 ca="1">F41</f>
        <v>47.26</v>
      </c>
      <c r="O68" s="2256" t="s">
        <v>2367</v>
      </c>
      <c r="P68" s="2254" t="s">
        <v>2397</v>
      </c>
      <c r="Q68" s="2260">
        <f ca="1">L51</f>
        <v>-1031</v>
      </c>
      <c r="R68" s="2261" t="s">
        <v>2400</v>
      </c>
    </row>
    <row r="69" spans="1:18" ht="20.25" thickBot="1">
      <c r="A69" s="780"/>
      <c r="B69" s="781"/>
      <c r="C69" s="782"/>
      <c r="D69" s="805"/>
      <c r="E69" s="774" t="s">
        <v>703</v>
      </c>
      <c r="F69" s="2226"/>
      <c r="O69" s="2256" t="s">
        <v>2368</v>
      </c>
      <c r="P69" s="2262" t="s">
        <v>2382</v>
      </c>
      <c r="Q69" s="2255">
        <f ca="1">ROUND(Q70-Q71*Q72,0)</f>
        <v>-54</v>
      </c>
      <c r="R69" s="2258"/>
    </row>
    <row r="70" spans="1:18" ht="15.75" thickBot="1">
      <c r="A70" s="812" t="s">
        <v>1777</v>
      </c>
      <c r="B70" s="813" t="s">
        <v>1800</v>
      </c>
      <c r="C70" s="814">
        <f ca="1">ROUND(C67*10000/F70,0)</f>
        <v>-1827</v>
      </c>
      <c r="D70" s="815" t="s">
        <v>1801</v>
      </c>
      <c r="E70" s="816" t="s">
        <v>1802</v>
      </c>
      <c r="F70" s="817">
        <f ca="1">F43</f>
        <v>4432.97</v>
      </c>
      <c r="O70" s="2256" t="s">
        <v>2383</v>
      </c>
      <c r="P70" s="2262" t="s">
        <v>2384</v>
      </c>
      <c r="Q70" s="2255">
        <f ca="1">C39</f>
        <v>255</v>
      </c>
      <c r="R70" s="2254" t="s">
        <v>2364</v>
      </c>
    </row>
    <row r="71" spans="1:18" ht="15.75" thickBot="1">
      <c r="O71" s="2256" t="s">
        <v>2385</v>
      </c>
      <c r="P71" s="2262" t="s">
        <v>2386</v>
      </c>
      <c r="Q71" s="2255">
        <f ca="1">C13</f>
        <v>3865</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6934</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83" t="s">
        <v>2451</v>
      </c>
      <c r="B1" s="3584"/>
      <c r="C1" s="3585"/>
      <c r="D1" s="3586">
        <f>SUM(I10,I15,I20,I21,I23)</f>
        <v>0</v>
      </c>
      <c r="E1" s="3586"/>
      <c r="F1" s="3586"/>
      <c r="G1" s="3586"/>
      <c r="H1" s="3586"/>
      <c r="I1" s="3587"/>
    </row>
    <row r="2" spans="1:9">
      <c r="A2" s="3588" t="s">
        <v>2452</v>
      </c>
      <c r="B2" s="3589" t="s">
        <v>2453</v>
      </c>
      <c r="C2" s="3589"/>
      <c r="D2" s="2360" t="s">
        <v>2454</v>
      </c>
      <c r="E2" s="2360" t="s">
        <v>2455</v>
      </c>
      <c r="F2" s="2360" t="s">
        <v>2456</v>
      </c>
      <c r="G2" s="2360" t="s">
        <v>2457</v>
      </c>
      <c r="H2" s="2360" t="s">
        <v>2458</v>
      </c>
      <c r="I2" s="2361" t="s">
        <v>2459</v>
      </c>
    </row>
    <row r="3" spans="1:9">
      <c r="A3" s="3588"/>
      <c r="B3" s="3589" t="s">
        <v>2460</v>
      </c>
      <c r="C3" s="3589"/>
      <c r="D3" s="2362"/>
      <c r="E3" s="2360"/>
      <c r="F3" s="2363"/>
      <c r="G3" s="2363"/>
      <c r="H3" s="2364"/>
      <c r="I3" s="2365">
        <f>ROUND(D3*E3*F3*G3*H3/10000,0)</f>
        <v>0</v>
      </c>
    </row>
    <row r="4" spans="1:9">
      <c r="A4" s="3588"/>
      <c r="B4" s="3589" t="s">
        <v>2461</v>
      </c>
      <c r="C4" s="3589"/>
      <c r="D4" s="2362"/>
      <c r="E4" s="2360"/>
      <c r="F4" s="2363"/>
      <c r="G4" s="2363"/>
      <c r="H4" s="2364"/>
      <c r="I4" s="2365">
        <f t="shared" ref="I4:I9" si="0">ROUND(D4*E4*F4*G4*H4/10000,0)</f>
        <v>0</v>
      </c>
    </row>
    <row r="5" spans="1:9">
      <c r="A5" s="3588"/>
      <c r="B5" s="3589" t="s">
        <v>2462</v>
      </c>
      <c r="C5" s="3589"/>
      <c r="D5" s="2362"/>
      <c r="E5" s="2360"/>
      <c r="F5" s="2363"/>
      <c r="G5" s="2363"/>
      <c r="H5" s="2364"/>
      <c r="I5" s="2365">
        <f t="shared" si="0"/>
        <v>0</v>
      </c>
    </row>
    <row r="6" spans="1:9">
      <c r="A6" s="3588"/>
      <c r="B6" s="3589" t="s">
        <v>2463</v>
      </c>
      <c r="C6" s="3589"/>
      <c r="D6" s="2362"/>
      <c r="E6" s="2360"/>
      <c r="F6" s="2363"/>
      <c r="G6" s="2363"/>
      <c r="H6" s="2364"/>
      <c r="I6" s="2365">
        <f t="shared" si="0"/>
        <v>0</v>
      </c>
    </row>
    <row r="7" spans="1:9">
      <c r="A7" s="3588"/>
      <c r="B7" s="3589" t="s">
        <v>2464</v>
      </c>
      <c r="C7" s="3589"/>
      <c r="D7" s="2362"/>
      <c r="E7" s="2360"/>
      <c r="F7" s="2363"/>
      <c r="G7" s="2363"/>
      <c r="H7" s="2364"/>
      <c r="I7" s="2365">
        <f t="shared" si="0"/>
        <v>0</v>
      </c>
    </row>
    <row r="8" spans="1:9">
      <c r="A8" s="3588"/>
      <c r="B8" s="3589" t="s">
        <v>2465</v>
      </c>
      <c r="C8" s="3589"/>
      <c r="D8" s="2362"/>
      <c r="E8" s="2360"/>
      <c r="F8" s="2363"/>
      <c r="G8" s="2363"/>
      <c r="H8" s="2364"/>
      <c r="I8" s="2365">
        <f t="shared" si="0"/>
        <v>0</v>
      </c>
    </row>
    <row r="9" spans="1:9">
      <c r="A9" s="3588"/>
      <c r="B9" s="3589" t="s">
        <v>2466</v>
      </c>
      <c r="C9" s="3589"/>
      <c r="D9" s="2362"/>
      <c r="E9" s="2360"/>
      <c r="F9" s="2363"/>
      <c r="G9" s="2363"/>
      <c r="H9" s="2364"/>
      <c r="I9" s="2365">
        <f t="shared" si="0"/>
        <v>0</v>
      </c>
    </row>
    <row r="10" spans="1:9">
      <c r="A10" s="3588"/>
      <c r="B10" s="3590" t="s">
        <v>2467</v>
      </c>
      <c r="C10" s="3590"/>
      <c r="D10" s="2366">
        <v>527</v>
      </c>
      <c r="E10" s="2366" t="e">
        <f>ROUND(D1*10000/D10/H9,0)</f>
        <v>#DIV/0!</v>
      </c>
      <c r="F10" s="2367"/>
      <c r="G10" s="2367"/>
      <c r="H10" s="2368"/>
      <c r="I10" s="2369">
        <f>SUM(I3:I9)</f>
        <v>0</v>
      </c>
    </row>
    <row r="11" spans="1:9" ht="14.25">
      <c r="A11" s="3588" t="s">
        <v>2468</v>
      </c>
      <c r="B11" s="3589" t="s">
        <v>2469</v>
      </c>
      <c r="C11" s="3589"/>
      <c r="D11" s="2362" t="s">
        <v>2470</v>
      </c>
      <c r="E11" s="2362" t="s">
        <v>2471</v>
      </c>
      <c r="F11" s="2363" t="s">
        <v>2472</v>
      </c>
      <c r="G11" s="2363" t="s">
        <v>2473</v>
      </c>
      <c r="H11" s="2370" t="s">
        <v>2474</v>
      </c>
      <c r="I11" s="2361" t="s">
        <v>2475</v>
      </c>
    </row>
    <row r="12" spans="1:9">
      <c r="A12" s="3588"/>
      <c r="B12" s="3589" t="s">
        <v>2476</v>
      </c>
      <c r="C12" s="3589"/>
      <c r="D12" s="2362"/>
      <c r="E12" s="2362"/>
      <c r="F12" s="2363"/>
      <c r="G12" s="2364"/>
      <c r="H12" s="2371"/>
      <c r="I12" s="2361">
        <f>ROUND(D12*E12*F12*G12/10000,0)</f>
        <v>0</v>
      </c>
    </row>
    <row r="13" spans="1:9">
      <c r="A13" s="3588"/>
      <c r="B13" s="3589" t="s">
        <v>2477</v>
      </c>
      <c r="C13" s="3589"/>
      <c r="D13" s="2362"/>
      <c r="E13" s="2362"/>
      <c r="F13" s="2363"/>
      <c r="G13" s="2364"/>
      <c r="H13" s="2371"/>
      <c r="I13" s="2361">
        <f>ROUND(D13*E13*F13*G13/10000,0)</f>
        <v>0</v>
      </c>
    </row>
    <row r="14" spans="1:9">
      <c r="A14" s="3588"/>
      <c r="B14" s="3589" t="s">
        <v>2478</v>
      </c>
      <c r="C14" s="3589"/>
      <c r="D14" s="2362"/>
      <c r="E14" s="2362"/>
      <c r="F14" s="2363"/>
      <c r="G14" s="2364"/>
      <c r="H14" s="2371"/>
      <c r="I14" s="2361">
        <f>ROUND(D14*E14*F14*G14/10000,0)</f>
        <v>0</v>
      </c>
    </row>
    <row r="15" spans="1:9">
      <c r="A15" s="3588"/>
      <c r="B15" s="3590" t="s">
        <v>2467</v>
      </c>
      <c r="C15" s="3590"/>
      <c r="D15" s="2366"/>
      <c r="E15" s="2366">
        <f>SUM(E12:E14)</f>
        <v>0</v>
      </c>
      <c r="F15" s="2367"/>
      <c r="G15" s="2364"/>
      <c r="H15" s="2371"/>
      <c r="I15" s="2372">
        <f>SUM(I12:I14)</f>
        <v>0</v>
      </c>
    </row>
    <row r="16" spans="1:9" ht="24">
      <c r="A16" s="3588" t="s">
        <v>2479</v>
      </c>
      <c r="B16" s="3589" t="s">
        <v>2480</v>
      </c>
      <c r="C16" s="3589"/>
      <c r="D16" s="2362" t="s">
        <v>2481</v>
      </c>
      <c r="E16" s="2373" t="s">
        <v>2482</v>
      </c>
      <c r="F16" s="2363" t="s">
        <v>2483</v>
      </c>
      <c r="G16" s="2364" t="s">
        <v>2473</v>
      </c>
      <c r="H16" s="2370" t="s">
        <v>2474</v>
      </c>
      <c r="I16" s="2361" t="s">
        <v>2475</v>
      </c>
    </row>
    <row r="17" spans="1:9" ht="14.25">
      <c r="A17" s="3588"/>
      <c r="B17" s="3589" t="s">
        <v>2484</v>
      </c>
      <c r="C17" s="3589"/>
      <c r="D17" s="2362"/>
      <c r="E17" s="2362"/>
      <c r="F17" s="2363"/>
      <c r="G17" s="2364"/>
      <c r="H17" s="2374"/>
      <c r="I17" s="2375">
        <f>ROUND(D17*E17*F17*G17/10000,0)</f>
        <v>0</v>
      </c>
    </row>
    <row r="18" spans="1:9" ht="14.25">
      <c r="A18" s="3588"/>
      <c r="B18" s="3589" t="s">
        <v>2485</v>
      </c>
      <c r="C18" s="3589"/>
      <c r="D18" s="2362"/>
      <c r="E18" s="2362"/>
      <c r="F18" s="2363"/>
      <c r="G18" s="2364"/>
      <c r="H18" s="2374"/>
      <c r="I18" s="2375">
        <f>ROUND(D18*E18*F18*G18/10000,0)</f>
        <v>0</v>
      </c>
    </row>
    <row r="19" spans="1:9" ht="14.25">
      <c r="A19" s="3588"/>
      <c r="B19" s="3589" t="s">
        <v>2486</v>
      </c>
      <c r="C19" s="3589"/>
      <c r="D19" s="2362"/>
      <c r="E19" s="2362"/>
      <c r="F19" s="2363"/>
      <c r="G19" s="2364"/>
      <c r="H19" s="2374"/>
      <c r="I19" s="2375">
        <f>ROUND(D19*E19*F19*G19/10000,0)</f>
        <v>0</v>
      </c>
    </row>
    <row r="20" spans="1:9">
      <c r="A20" s="3588"/>
      <c r="B20" s="3590" t="s">
        <v>2467</v>
      </c>
      <c r="C20" s="3590"/>
      <c r="D20" s="2366">
        <f>SUM(D17:D19)</f>
        <v>0</v>
      </c>
      <c r="E20" s="2366"/>
      <c r="F20" s="2367"/>
      <c r="G20" s="2364"/>
      <c r="H20" s="2371"/>
      <c r="I20" s="2372">
        <f>SUM(I17:I19)</f>
        <v>0</v>
      </c>
    </row>
    <row r="21" spans="1:9">
      <c r="A21" s="3588" t="s">
        <v>2487</v>
      </c>
      <c r="B21" s="3592"/>
      <c r="C21" s="3592"/>
      <c r="D21" s="3592"/>
      <c r="E21" s="3592"/>
      <c r="F21" s="3592"/>
      <c r="G21" s="3592"/>
      <c r="H21" s="2376">
        <v>0.1</v>
      </c>
      <c r="I21" s="2369">
        <f>ROUND(I10*H21,0)</f>
        <v>0</v>
      </c>
    </row>
    <row r="22" spans="1:9" ht="14.25">
      <c r="A22" s="3593" t="s">
        <v>2488</v>
      </c>
      <c r="B22" s="3594"/>
      <c r="C22" s="3595"/>
      <c r="D22" s="2377" t="s">
        <v>2489</v>
      </c>
      <c r="E22" s="2377" t="s">
        <v>2490</v>
      </c>
      <c r="F22" s="2378" t="s">
        <v>2491</v>
      </c>
      <c r="G22" s="2378" t="s">
        <v>2492</v>
      </c>
      <c r="H22" s="2370" t="s">
        <v>2493</v>
      </c>
      <c r="I22" s="2361" t="s">
        <v>2494</v>
      </c>
    </row>
    <row r="23" spans="1:9" ht="14.25" thickBot="1">
      <c r="A23" s="3596"/>
      <c r="B23" s="3597"/>
      <c r="C23" s="3598"/>
      <c r="D23" s="2379"/>
      <c r="E23" s="2379"/>
      <c r="F23" s="2379"/>
      <c r="G23" s="2380"/>
      <c r="H23" s="2381"/>
      <c r="I23" s="2382">
        <f>ROUND(E23*D23*F23*(1-G23)/10000,0)</f>
        <v>0</v>
      </c>
    </row>
    <row r="26" spans="1:9">
      <c r="A26" s="2383" t="s">
        <v>2495</v>
      </c>
      <c r="B26" s="2383"/>
      <c r="C26" s="2383"/>
      <c r="D26" s="2383"/>
      <c r="E26" s="3599">
        <f>C27-C30-C31-C32</f>
        <v>0</v>
      </c>
      <c r="F26" s="3599"/>
      <c r="G26" s="3599"/>
      <c r="H26" s="2756" t="s">
        <v>2820</v>
      </c>
    </row>
    <row r="27" spans="1:9">
      <c r="A27" s="2384">
        <v>1</v>
      </c>
      <c r="B27" s="2385" t="s">
        <v>2496</v>
      </c>
      <c r="C27" s="2385"/>
      <c r="D27" s="2385"/>
      <c r="E27" s="3600"/>
      <c r="F27" s="3600"/>
      <c r="G27" s="3600"/>
    </row>
    <row r="28" spans="1:9">
      <c r="A28" s="2386" t="s">
        <v>2497</v>
      </c>
      <c r="B28" s="2385" t="s">
        <v>2498</v>
      </c>
      <c r="C28" s="2385"/>
      <c r="D28" s="2385"/>
      <c r="E28" s="3600"/>
      <c r="F28" s="3600"/>
      <c r="G28" s="3600"/>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591"/>
      <c r="F32" s="3591"/>
      <c r="G32" s="3591"/>
    </row>
    <row r="33" spans="1:7" hidden="1">
      <c r="A33" s="3601" t="s">
        <v>2506</v>
      </c>
      <c r="B33" s="3602"/>
      <c r="C33" s="3602"/>
      <c r="D33" s="3603"/>
      <c r="E33" s="3599"/>
      <c r="F33" s="3599"/>
      <c r="G33" s="3599"/>
    </row>
    <row r="34" spans="1:7" hidden="1">
      <c r="A34" s="2388">
        <v>1</v>
      </c>
      <c r="B34" s="2385" t="s">
        <v>2507</v>
      </c>
      <c r="C34" s="2385"/>
      <c r="D34" s="2385"/>
      <c r="E34" s="3600"/>
      <c r="F34" s="3600"/>
      <c r="G34" s="3600"/>
    </row>
    <row r="35" spans="1:7" hidden="1">
      <c r="A35" s="2388">
        <v>2</v>
      </c>
      <c r="B35" s="2385" t="s">
        <v>2508</v>
      </c>
      <c r="C35" s="2385"/>
      <c r="D35" s="2385"/>
      <c r="E35" s="3600"/>
      <c r="F35" s="3600"/>
      <c r="G35" s="3600"/>
    </row>
    <row r="36" spans="1:7" hidden="1">
      <c r="A36" s="2388">
        <v>3</v>
      </c>
      <c r="B36" s="2385" t="s">
        <v>2509</v>
      </c>
      <c r="C36" s="2385"/>
      <c r="D36" s="2385"/>
      <c r="E36" s="3600"/>
      <c r="F36" s="3600"/>
      <c r="G36" s="3600"/>
    </row>
    <row r="37" spans="1:7" hidden="1">
      <c r="A37" s="2388">
        <v>4</v>
      </c>
      <c r="B37" s="2385" t="s">
        <v>2510</v>
      </c>
      <c r="C37" s="2385"/>
      <c r="D37" s="2385"/>
      <c r="E37" s="3600"/>
      <c r="F37" s="3600"/>
      <c r="G37" s="3600"/>
    </row>
    <row r="38" spans="1:7" hidden="1">
      <c r="A38" s="3601" t="s">
        <v>2511</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461</v>
      </c>
      <c r="B4" s="421">
        <f ca="1">ROUND(B2*10000/'数据-汇总表'!D3,0)</f>
        <v>0</v>
      </c>
      <c r="C4" s="3221"/>
      <c r="D4" s="3268"/>
      <c r="E4" s="3268"/>
      <c r="F4" s="3268"/>
      <c r="G4" s="3268"/>
    </row>
    <row r="5" spans="1:25" s="1942" customFormat="1" ht="18" customHeight="1" thickBot="1">
      <c r="A5" s="423"/>
      <c r="B5" s="424">
        <f ca="1">ROUND(B2/('数据-汇总表'!D3/666.67),0)</f>
        <v>0</v>
      </c>
      <c r="C5" s="425" t="s">
        <v>462</v>
      </c>
      <c r="D5" s="3268"/>
      <c r="E5" s="3268"/>
      <c r="F5" s="3268"/>
      <c r="G5" s="3268"/>
    </row>
    <row r="6" spans="1:25" s="2064" customFormat="1" ht="13.5" customHeight="1">
      <c r="A6" s="735"/>
      <c r="B6" s="736" t="s">
        <v>597</v>
      </c>
      <c r="C6" s="737" t="s">
        <v>598</v>
      </c>
      <c r="D6" s="737" t="s">
        <v>599</v>
      </c>
      <c r="E6" s="738" t="s">
        <v>600</v>
      </c>
      <c r="F6" s="738" t="s">
        <v>601</v>
      </c>
      <c r="G6" s="3267" t="s">
        <v>2994</v>
      </c>
    </row>
    <row r="7" spans="1:25" s="2064" customFormat="1" ht="13.5" customHeight="1">
      <c r="A7" s="2323">
        <v>1</v>
      </c>
      <c r="B7" s="739" t="s">
        <v>602</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606</v>
      </c>
      <c r="C10" s="740">
        <f>C11+C14+C15</f>
        <v>0</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1184</v>
      </c>
      <c r="D12" s="3271">
        <f>'数据-汇总表'!E5</f>
        <v>74010.94</v>
      </c>
      <c r="E12" s="3271">
        <f>'数据-取费表'!B27</f>
        <v>160</v>
      </c>
      <c r="F12" s="746"/>
      <c r="G12" s="749"/>
    </row>
    <row r="13" spans="1:25" s="2064" customFormat="1" ht="13.5" customHeight="1">
      <c r="A13" s="2329" t="s">
        <v>2429</v>
      </c>
      <c r="B13" s="747" t="s">
        <v>605</v>
      </c>
      <c r="C13" s="748">
        <f>ROUND(D13*E13/10000,0)</f>
        <v>616</v>
      </c>
      <c r="D13" s="3271">
        <f>'数据-汇总表'!E6</f>
        <v>30778.97</v>
      </c>
      <c r="E13" s="3271">
        <f>'数据-取费表'!B28</f>
        <v>200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608</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0</v>
      </c>
      <c r="D18" s="752"/>
      <c r="E18" s="753"/>
      <c r="F18" s="1302">
        <v>0.05</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0</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0</v>
      </c>
      <c r="D20" s="750"/>
      <c r="E20" s="740"/>
      <c r="F20" s="1302">
        <v>0.1</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0</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0</v>
      </c>
      <c r="D22" s="750"/>
      <c r="E22" s="740"/>
      <c r="F22" s="756">
        <f>'数据-取费表'!AP16</f>
        <v>0.92900000000000005</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620</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H42" sqref="H4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2467" t="s">
        <v>712</v>
      </c>
      <c r="C1" s="2468" t="s">
        <v>713</v>
      </c>
      <c r="D1" s="2469" t="s">
        <v>3011</v>
      </c>
      <c r="E1" s="2009"/>
      <c r="F1" s="2524" t="s">
        <v>3536</v>
      </c>
      <c r="G1" s="1531" t="s">
        <v>714</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460</v>
      </c>
      <c r="B2" s="2466">
        <f>ROUND(B3*D3/10000,0)</f>
        <v>503407</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512</v>
      </c>
      <c r="B3" s="840">
        <f>C49</f>
        <v>70852</v>
      </c>
      <c r="C3" s="841" t="s">
        <v>715</v>
      </c>
      <c r="D3" s="840">
        <f>SUMIF('数据-汇总表'!$C19:$C33,D1,'数据-汇总表'!$E19:$E33)</f>
        <v>71050.5</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514</v>
      </c>
      <c r="B4" s="507"/>
      <c r="C4" s="3492" t="s">
        <v>515</v>
      </c>
      <c r="D4" s="3493"/>
      <c r="E4" s="3527" t="s">
        <v>516</v>
      </c>
      <c r="F4" s="3528"/>
      <c r="G4" s="3492" t="s">
        <v>517</v>
      </c>
      <c r="H4" s="3493"/>
      <c r="I4" s="3492" t="s">
        <v>518</v>
      </c>
      <c r="J4" s="3493"/>
      <c r="K4" s="842" t="s">
        <v>519</v>
      </c>
      <c r="L4" s="2015"/>
      <c r="M4" s="2016"/>
      <c r="N4" s="2016"/>
      <c r="O4" s="2016"/>
      <c r="P4" s="3494" t="s">
        <v>520</v>
      </c>
      <c r="Q4" s="3495"/>
      <c r="R4" s="3500" t="s">
        <v>516</v>
      </c>
      <c r="S4" s="3501"/>
      <c r="T4" s="3500" t="s">
        <v>517</v>
      </c>
      <c r="U4" s="3501"/>
      <c r="V4" s="3487" t="s">
        <v>518</v>
      </c>
      <c r="W4" s="3487"/>
      <c r="X4" s="1501"/>
      <c r="Y4" s="3500" t="s">
        <v>520</v>
      </c>
      <c r="Z4" s="3501"/>
      <c r="AA4" s="3489" t="s">
        <v>516</v>
      </c>
      <c r="AB4" s="3489" t="s">
        <v>517</v>
      </c>
      <c r="AC4" s="3489" t="s">
        <v>518</v>
      </c>
    </row>
    <row r="5" spans="1:29" ht="15">
      <c r="A5" s="509"/>
      <c r="B5" s="510"/>
      <c r="C5" s="3508" t="s">
        <v>2894</v>
      </c>
      <c r="D5" s="3509"/>
      <c r="E5" s="3608" t="s">
        <v>3586</v>
      </c>
      <c r="F5" s="3530"/>
      <c r="G5" s="3607" t="s">
        <v>3554</v>
      </c>
      <c r="H5" s="3509"/>
      <c r="I5" s="3607" t="s">
        <v>3587</v>
      </c>
      <c r="J5" s="3509"/>
      <c r="K5" s="843"/>
      <c r="L5" s="2015"/>
      <c r="M5" s="2016"/>
      <c r="N5" s="2016"/>
      <c r="O5" s="2016"/>
      <c r="P5" s="3496"/>
      <c r="Q5" s="3497"/>
      <c r="R5" s="3502"/>
      <c r="S5" s="3503"/>
      <c r="T5" s="3502"/>
      <c r="U5" s="3503"/>
      <c r="V5" s="3487"/>
      <c r="W5" s="3487"/>
      <c r="X5" s="1501"/>
      <c r="Y5" s="3502"/>
      <c r="Z5" s="3503"/>
      <c r="AA5" s="3490"/>
      <c r="AB5" s="3490"/>
      <c r="AC5" s="3490"/>
    </row>
    <row r="6" spans="1:29" ht="15.75" thickBot="1">
      <c r="A6" s="511"/>
      <c r="B6" s="512"/>
      <c r="C6" s="3506" t="s">
        <v>2898</v>
      </c>
      <c r="D6" s="3507"/>
      <c r="E6" s="3525" t="s">
        <v>2898</v>
      </c>
      <c r="F6" s="3526"/>
      <c r="G6" s="3506" t="s">
        <v>2898</v>
      </c>
      <c r="H6" s="3507"/>
      <c r="I6" s="3506" t="s">
        <v>2898</v>
      </c>
      <c r="J6" s="3507"/>
      <c r="K6" s="843" t="s">
        <v>521</v>
      </c>
      <c r="L6" s="2015"/>
      <c r="M6" s="2016"/>
      <c r="N6" s="2016"/>
      <c r="O6" s="2016"/>
      <c r="P6" s="3498"/>
      <c r="Q6" s="3499"/>
      <c r="R6" s="3502"/>
      <c r="S6" s="3503"/>
      <c r="T6" s="3504"/>
      <c r="U6" s="3505"/>
      <c r="V6" s="3487"/>
      <c r="W6" s="3487"/>
      <c r="X6" s="1501"/>
      <c r="Y6" s="3504"/>
      <c r="Z6" s="3505"/>
      <c r="AA6" s="3491"/>
      <c r="AB6" s="3491"/>
      <c r="AC6" s="3491"/>
    </row>
    <row r="7" spans="1:29" s="1203" customFormat="1" ht="15.75" thickBot="1">
      <c r="A7" s="2629"/>
      <c r="B7" s="2636" t="s">
        <v>522</v>
      </c>
      <c r="C7" s="513">
        <f>'数据-取费表'!B2</f>
        <v>44300</v>
      </c>
      <c r="D7" s="514">
        <v>100</v>
      </c>
      <c r="E7" s="515">
        <v>44256</v>
      </c>
      <c r="F7" s="516">
        <f>SUMIF(58:58,YEAR(E7)&amp;"-"&amp;MONTH(E7),59:59)</f>
        <v>100</v>
      </c>
      <c r="G7" s="517">
        <v>44256</v>
      </c>
      <c r="H7" s="514">
        <f>SUMIF(58:58,YEAR(G7)&amp;"-"&amp;MONTH(G7),59:59)</f>
        <v>100</v>
      </c>
      <c r="I7" s="517">
        <v>44228</v>
      </c>
      <c r="J7" s="514">
        <f>SUMIF(58:58,YEAR(I7)&amp;"-"&amp;MONTH(I7),59:59)</f>
        <v>100</v>
      </c>
      <c r="K7" s="844"/>
      <c r="L7" s="2017"/>
      <c r="M7" s="2018"/>
      <c r="N7" s="2018"/>
      <c r="O7" s="2018"/>
      <c r="P7" s="3518" t="s">
        <v>523</v>
      </c>
      <c r="Q7" s="3520"/>
      <c r="R7" s="1502" t="s">
        <v>13</v>
      </c>
      <c r="S7" s="1503">
        <f t="shared" ref="S7:S15" si="0">F7</f>
        <v>100</v>
      </c>
      <c r="T7" s="1502" t="s">
        <v>13</v>
      </c>
      <c r="U7" s="1503">
        <f t="shared" ref="U7:U15" si="1">H7</f>
        <v>100</v>
      </c>
      <c r="V7" s="1502" t="s">
        <v>13</v>
      </c>
      <c r="W7" s="1503">
        <f t="shared" ref="W7:W15" si="2">J7</f>
        <v>100</v>
      </c>
      <c r="X7" s="1504"/>
      <c r="Y7" s="3518" t="s">
        <v>523</v>
      </c>
      <c r="Z7" s="3519"/>
      <c r="AA7" s="1505">
        <f>D7/F7</f>
        <v>1</v>
      </c>
      <c r="AB7" s="1505">
        <f>D7/H7</f>
        <v>1</v>
      </c>
      <c r="AC7" s="1505">
        <f>D7/J7</f>
        <v>1</v>
      </c>
    </row>
    <row r="8" spans="1:29" s="1203" customFormat="1" ht="15.75" thickBot="1">
      <c r="A8" s="2630"/>
      <c r="B8" s="2637" t="s">
        <v>524</v>
      </c>
      <c r="C8" s="519" t="s">
        <v>569</v>
      </c>
      <c r="D8" s="514">
        <v>100</v>
      </c>
      <c r="E8" s="845" t="s">
        <v>3541</v>
      </c>
      <c r="F8" s="516">
        <f>SUMIF(61:61,E8,62:62)-SUMIF(61:61,C8,62:62)+100</f>
        <v>100</v>
      </c>
      <c r="G8" s="845" t="s">
        <v>3541</v>
      </c>
      <c r="H8" s="514">
        <f>SUMIF(61:61,G8,62:62)-SUMIF(61:61,C8,62:62)+100</f>
        <v>100</v>
      </c>
      <c r="I8" s="845" t="s">
        <v>3541</v>
      </c>
      <c r="J8" s="514">
        <f>SUMIF(61:61,I8,62:62)-SUMIF(61:61,C8,62:62)+100</f>
        <v>100</v>
      </c>
      <c r="K8" s="844"/>
      <c r="L8" s="2017"/>
      <c r="M8" s="2018"/>
      <c r="N8" s="2018"/>
      <c r="O8" s="2018"/>
      <c r="P8" s="3518" t="s">
        <v>526</v>
      </c>
      <c r="Q8" s="3519"/>
      <c r="R8" s="1502" t="s">
        <v>13</v>
      </c>
      <c r="S8" s="1503">
        <f t="shared" si="0"/>
        <v>100</v>
      </c>
      <c r="T8" s="1502" t="s">
        <v>13</v>
      </c>
      <c r="U8" s="1503">
        <f t="shared" si="1"/>
        <v>100</v>
      </c>
      <c r="V8" s="1502" t="s">
        <v>13</v>
      </c>
      <c r="W8" s="1503">
        <f t="shared" si="2"/>
        <v>100</v>
      </c>
      <c r="X8" s="1504"/>
      <c r="Y8" s="3518" t="s">
        <v>526</v>
      </c>
      <c r="Z8" s="3519"/>
      <c r="AA8" s="1505">
        <f t="shared" ref="AA8:AA46" si="3">D8/F8</f>
        <v>1</v>
      </c>
      <c r="AB8" s="1505">
        <f t="shared" ref="AB8:AB46" si="4">D8/H8</f>
        <v>1</v>
      </c>
      <c r="AC8" s="1505">
        <f t="shared" ref="AC8:AC46" si="5">D8/J8</f>
        <v>1</v>
      </c>
    </row>
    <row r="9" spans="1:29" s="1203" customFormat="1" ht="15">
      <c r="A9" s="2631"/>
      <c r="B9" s="2638" t="s">
        <v>2734</v>
      </c>
      <c r="C9" s="3301" t="s">
        <v>3537</v>
      </c>
      <c r="D9" s="252">
        <v>100</v>
      </c>
      <c r="E9" s="847" t="s">
        <v>913</v>
      </c>
      <c r="F9" s="848">
        <f>SUMIF(63:63,E9,64:64)-SUMIF(63:63,C9,64:64)+100</f>
        <v>100</v>
      </c>
      <c r="G9" s="847" t="s">
        <v>913</v>
      </c>
      <c r="H9" s="252">
        <f>SUMIF(63:63,G9,64:64)-SUMIF(63:63,C9,64:64)+100</f>
        <v>100</v>
      </c>
      <c r="I9" s="847" t="s">
        <v>913</v>
      </c>
      <c r="J9" s="252">
        <f>SUMIF(63:63,I9,64:64)-SUMIF(63:63,C9,64:64)+100</f>
        <v>100</v>
      </c>
      <c r="K9" s="844"/>
      <c r="L9" s="2017"/>
      <c r="M9" s="2018"/>
      <c r="N9" s="2018"/>
      <c r="O9" s="2019"/>
      <c r="P9" s="3486" t="s">
        <v>528</v>
      </c>
      <c r="Q9" s="1134" t="str">
        <f t="shared" ref="Q9:Q15" si="6">B9</f>
        <v>用途</v>
      </c>
      <c r="R9" s="1502" t="s">
        <v>8</v>
      </c>
      <c r="S9" s="1503">
        <f t="shared" si="0"/>
        <v>100</v>
      </c>
      <c r="T9" s="1502" t="s">
        <v>8</v>
      </c>
      <c r="U9" s="1503">
        <f t="shared" si="1"/>
        <v>100</v>
      </c>
      <c r="V9" s="1502" t="s">
        <v>8</v>
      </c>
      <c r="W9" s="1503">
        <f t="shared" si="2"/>
        <v>100</v>
      </c>
      <c r="X9" s="1504"/>
      <c r="Y9" s="3432" t="s">
        <v>529</v>
      </c>
      <c r="Z9" s="1133" t="str">
        <f t="shared" ref="Z9:Z15" si="7">Q9</f>
        <v>用途</v>
      </c>
      <c r="AA9" s="1505">
        <f t="shared" si="3"/>
        <v>1</v>
      </c>
      <c r="AB9" s="1505">
        <f t="shared" si="4"/>
        <v>1</v>
      </c>
      <c r="AC9" s="1505">
        <f t="shared" si="5"/>
        <v>1</v>
      </c>
    </row>
    <row r="10" spans="1:29" s="1292" customFormat="1" ht="27">
      <c r="A10" s="2632"/>
      <c r="B10" s="2637" t="s">
        <v>2735</v>
      </c>
      <c r="C10" s="850" t="s">
        <v>3538</v>
      </c>
      <c r="D10" s="253">
        <v>100</v>
      </c>
      <c r="E10" s="850" t="s">
        <v>3538</v>
      </c>
      <c r="F10" s="852">
        <f>SUMIF(65:65,E10,66:66)-SUMIF(65:65,C10,66:66)+100</f>
        <v>100</v>
      </c>
      <c r="G10" s="850" t="s">
        <v>3538</v>
      </c>
      <c r="H10" s="253">
        <f>SUMIF(65:65,G10,66:66)-SUMIF(65:65,C10,66:66)+100</f>
        <v>100</v>
      </c>
      <c r="I10" s="850" t="s">
        <v>3538</v>
      </c>
      <c r="J10" s="253">
        <f>SUMIF(65:65,I10,66:66)-SUMIF(65:65,C10,66:66)+100</f>
        <v>100</v>
      </c>
      <c r="K10" s="853"/>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3"/>
      <c r="B11" s="2637" t="s">
        <v>2736</v>
      </c>
      <c r="C11" s="527">
        <f>'比较法-住宅、综合'!C13</f>
        <v>2.8</v>
      </c>
      <c r="D11" s="253">
        <v>100</v>
      </c>
      <c r="E11" s="528">
        <v>2.8</v>
      </c>
      <c r="F11" s="852">
        <f>LOOKUP(E11,68:68,69:69)-LOOKUP(C11,68:68,69:69)+100</f>
        <v>100</v>
      </c>
      <c r="G11" s="527">
        <v>2.5</v>
      </c>
      <c r="H11" s="253">
        <f>LOOKUP(G11,68:68,69:69)-LOOKUP(C11,68:68,69:69)+100</f>
        <v>100</v>
      </c>
      <c r="I11" s="527">
        <v>3</v>
      </c>
      <c r="J11" s="253">
        <f>LOOKUP(I11,68:68,69:69)-LOOKUP(C11,68:68,69:69)+100</f>
        <v>98</v>
      </c>
      <c r="K11" s="853">
        <v>2</v>
      </c>
      <c r="L11" s="2022"/>
      <c r="M11" s="2016"/>
      <c r="N11" s="2016"/>
      <c r="O11" s="2023"/>
      <c r="P11" s="3486"/>
      <c r="Q11" s="1134" t="str">
        <f t="shared" si="6"/>
        <v>容积率</v>
      </c>
      <c r="R11" s="1502" t="s">
        <v>11</v>
      </c>
      <c r="S11" s="1503">
        <f t="shared" si="0"/>
        <v>100</v>
      </c>
      <c r="T11" s="1502" t="s">
        <v>11</v>
      </c>
      <c r="U11" s="1503">
        <f t="shared" si="1"/>
        <v>100</v>
      </c>
      <c r="V11" s="1502" t="s">
        <v>11</v>
      </c>
      <c r="W11" s="1503">
        <f t="shared" si="2"/>
        <v>98</v>
      </c>
      <c r="X11" s="1504"/>
      <c r="Y11" s="3432"/>
      <c r="Z11" s="1133" t="str">
        <f t="shared" si="7"/>
        <v>容积率</v>
      </c>
      <c r="AA11" s="1505">
        <f t="shared" si="3"/>
        <v>1</v>
      </c>
      <c r="AB11" s="1505">
        <f t="shared" si="4"/>
        <v>1</v>
      </c>
      <c r="AC11" s="1505">
        <f t="shared" si="5"/>
        <v>1.0204081632653061</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6"/>
      <c r="Q12" s="1134">
        <f t="shared" si="6"/>
        <v>111</v>
      </c>
      <c r="R12" s="1502" t="s">
        <v>11</v>
      </c>
      <c r="S12" s="1503">
        <f t="shared" si="0"/>
        <v>100</v>
      </c>
      <c r="T12" s="1502" t="s">
        <v>11</v>
      </c>
      <c r="U12" s="1503">
        <f t="shared" si="1"/>
        <v>100</v>
      </c>
      <c r="V12" s="1502" t="s">
        <v>11</v>
      </c>
      <c r="W12" s="1503">
        <f t="shared" si="2"/>
        <v>100</v>
      </c>
      <c r="X12" s="1504"/>
      <c r="Y12" s="3432"/>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6"/>
      <c r="Q13" s="1134">
        <f t="shared" si="6"/>
        <v>111</v>
      </c>
      <c r="R13" s="1502" t="s">
        <v>11</v>
      </c>
      <c r="S13" s="1503">
        <f t="shared" si="0"/>
        <v>100</v>
      </c>
      <c r="T13" s="1502" t="s">
        <v>11</v>
      </c>
      <c r="U13" s="1503">
        <f t="shared" si="1"/>
        <v>100</v>
      </c>
      <c r="V13" s="1502" t="s">
        <v>11</v>
      </c>
      <c r="W13" s="1503">
        <f t="shared" si="2"/>
        <v>100</v>
      </c>
      <c r="X13" s="1504"/>
      <c r="Y13" s="3432"/>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6"/>
      <c r="Q14" s="1134">
        <f t="shared" si="6"/>
        <v>111</v>
      </c>
      <c r="R14" s="1502" t="s">
        <v>11</v>
      </c>
      <c r="S14" s="1503">
        <f t="shared" si="0"/>
        <v>100</v>
      </c>
      <c r="T14" s="1502" t="s">
        <v>11</v>
      </c>
      <c r="U14" s="1503">
        <f t="shared" si="1"/>
        <v>100</v>
      </c>
      <c r="V14" s="1502" t="s">
        <v>11</v>
      </c>
      <c r="W14" s="1503">
        <f t="shared" si="2"/>
        <v>100</v>
      </c>
      <c r="X14" s="1504"/>
      <c r="Y14" s="3432"/>
      <c r="Z14" s="1133">
        <f t="shared" si="7"/>
        <v>111</v>
      </c>
      <c r="AA14" s="1505">
        <f t="shared" si="3"/>
        <v>1</v>
      </c>
      <c r="AB14" s="1505">
        <f t="shared" si="4"/>
        <v>1</v>
      </c>
      <c r="AC14" s="1505">
        <f t="shared" si="5"/>
        <v>1</v>
      </c>
    </row>
    <row r="15" spans="1:29" ht="99.75">
      <c r="A15" s="2627" t="s">
        <v>2732</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104</v>
      </c>
      <c r="I15" s="544"/>
      <c r="J15" s="543">
        <f>SUMIF(76:76,I16,77:77)-SUMIF(76:76,C16,77:77)+100</f>
        <v>100</v>
      </c>
      <c r="K15" s="857">
        <v>4</v>
      </c>
      <c r="L15" s="2024"/>
      <c r="M15" s="2016"/>
      <c r="N15" s="2016"/>
      <c r="O15" s="2023"/>
      <c r="P15" s="3521" t="s">
        <v>533</v>
      </c>
      <c r="Q15" s="1506" t="str">
        <f t="shared" si="6"/>
        <v>居住社区成熟度</v>
      </c>
      <c r="R15" s="1507" t="s">
        <v>11</v>
      </c>
      <c r="S15" s="1508">
        <f t="shared" si="0"/>
        <v>100</v>
      </c>
      <c r="T15" s="1507" t="s">
        <v>11</v>
      </c>
      <c r="U15" s="1508">
        <f t="shared" si="1"/>
        <v>104</v>
      </c>
      <c r="V15" s="1507" t="s">
        <v>11</v>
      </c>
      <c r="W15" s="1508">
        <f t="shared" si="2"/>
        <v>100</v>
      </c>
      <c r="X15" s="1501"/>
      <c r="Y15" s="3521" t="s">
        <v>533</v>
      </c>
      <c r="Z15" s="1509" t="str">
        <f t="shared" si="7"/>
        <v>居住社区成熟度</v>
      </c>
      <c r="AA15" s="1510">
        <f t="shared" si="3"/>
        <v>1</v>
      </c>
      <c r="AB15" s="1510">
        <f t="shared" si="4"/>
        <v>0.96153846153846156</v>
      </c>
      <c r="AC15" s="1510">
        <f t="shared" si="5"/>
        <v>1</v>
      </c>
    </row>
    <row r="16" spans="1:29" ht="15">
      <c r="A16" s="526"/>
      <c r="B16" s="858"/>
      <c r="C16" s="570" t="str">
        <f>'比较法-住宅、综合'!C18</f>
        <v>一般</v>
      </c>
      <c r="D16" s="549"/>
      <c r="E16" s="550" t="s">
        <v>3510</v>
      </c>
      <c r="F16" s="551"/>
      <c r="G16" s="552" t="s">
        <v>3511</v>
      </c>
      <c r="H16" s="553"/>
      <c r="I16" s="550" t="s">
        <v>3510</v>
      </c>
      <c r="J16" s="549"/>
      <c r="K16" s="859"/>
      <c r="L16" s="2024"/>
      <c r="M16" s="2016"/>
      <c r="N16" s="2016"/>
      <c r="O16" s="2023"/>
      <c r="P16" s="3522"/>
      <c r="Q16" s="1506"/>
      <c r="R16" s="1507"/>
      <c r="S16" s="1508"/>
      <c r="T16" s="1507"/>
      <c r="U16" s="1508"/>
      <c r="V16" s="1507"/>
      <c r="W16" s="1508"/>
      <c r="X16" s="1501"/>
      <c r="Y16" s="3522"/>
      <c r="Z16" s="1509"/>
      <c r="AA16" s="1510">
        <v>1</v>
      </c>
      <c r="AB16" s="1510">
        <v>1</v>
      </c>
      <c r="AC16" s="1510">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103</v>
      </c>
      <c r="K17" s="857">
        <v>3</v>
      </c>
      <c r="L17" s="2024"/>
      <c r="M17" s="2016"/>
      <c r="N17" s="2016"/>
      <c r="O17" s="2023"/>
      <c r="P17" s="3522"/>
      <c r="Q17" s="1506" t="str">
        <f>B17</f>
        <v>交通便捷度</v>
      </c>
      <c r="R17" s="1507" t="s">
        <v>11</v>
      </c>
      <c r="S17" s="1508">
        <f>F17</f>
        <v>100</v>
      </c>
      <c r="T17" s="1507" t="s">
        <v>11</v>
      </c>
      <c r="U17" s="1508">
        <f>H17</f>
        <v>100</v>
      </c>
      <c r="V17" s="1507" t="s">
        <v>11</v>
      </c>
      <c r="W17" s="1508">
        <f>J17</f>
        <v>103</v>
      </c>
      <c r="X17" s="1501"/>
      <c r="Y17" s="3522"/>
      <c r="Z17" s="1509" t="str">
        <f>Q17</f>
        <v>交通便捷度</v>
      </c>
      <c r="AA17" s="1510">
        <f t="shared" si="3"/>
        <v>1</v>
      </c>
      <c r="AB17" s="1510">
        <f t="shared" si="4"/>
        <v>1</v>
      </c>
      <c r="AC17" s="1510">
        <f t="shared" si="5"/>
        <v>0.970873786407767</v>
      </c>
    </row>
    <row r="18" spans="1:29" ht="15">
      <c r="A18" s="526"/>
      <c r="B18" s="589"/>
      <c r="C18" s="862" t="str">
        <f>'比较法-住宅、综合'!C24</f>
        <v>一般</v>
      </c>
      <c r="D18" s="553"/>
      <c r="E18" s="562" t="s">
        <v>3510</v>
      </c>
      <c r="F18" s="557"/>
      <c r="G18" s="563" t="s">
        <v>3510</v>
      </c>
      <c r="H18" s="549"/>
      <c r="I18" s="562" t="s">
        <v>3511</v>
      </c>
      <c r="J18" s="549"/>
      <c r="K18" s="859"/>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100</v>
      </c>
      <c r="K19" s="857">
        <v>2</v>
      </c>
      <c r="L19" s="2024"/>
      <c r="M19" s="2016"/>
      <c r="N19" s="2016"/>
      <c r="O19" s="2023"/>
      <c r="P19" s="3522"/>
      <c r="Q19" s="1506" t="str">
        <f>B19</f>
        <v>公共配套设施</v>
      </c>
      <c r="R19" s="1507" t="s">
        <v>11</v>
      </c>
      <c r="S19" s="1508">
        <f>F19</f>
        <v>100</v>
      </c>
      <c r="T19" s="1507" t="s">
        <v>11</v>
      </c>
      <c r="U19" s="1508">
        <f>H19</f>
        <v>102</v>
      </c>
      <c r="V19" s="1507" t="s">
        <v>11</v>
      </c>
      <c r="W19" s="1508">
        <f>J19</f>
        <v>100</v>
      </c>
      <c r="X19" s="1501"/>
      <c r="Y19" s="3522"/>
      <c r="Z19" s="1509" t="str">
        <f>Q19</f>
        <v>公共配套设施</v>
      </c>
      <c r="AA19" s="1510">
        <f t="shared" si="3"/>
        <v>1</v>
      </c>
      <c r="AB19" s="1510">
        <f t="shared" si="4"/>
        <v>0.98039215686274506</v>
      </c>
      <c r="AC19" s="1510">
        <f t="shared" si="5"/>
        <v>1</v>
      </c>
    </row>
    <row r="20" spans="1:29" ht="15">
      <c r="A20" s="526"/>
      <c r="B20" s="589"/>
      <c r="C20" s="570" t="str">
        <f>'比较法-住宅、综合'!C30</f>
        <v>一般</v>
      </c>
      <c r="D20" s="549"/>
      <c r="E20" s="550" t="s">
        <v>3510</v>
      </c>
      <c r="F20" s="551"/>
      <c r="G20" s="552" t="s">
        <v>3511</v>
      </c>
      <c r="H20" s="549"/>
      <c r="I20" s="550" t="s">
        <v>3510</v>
      </c>
      <c r="J20" s="549"/>
      <c r="K20" s="859"/>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22"/>
      <c r="Q21" s="2429" t="str">
        <f>B21</f>
        <v>基础设施水平</v>
      </c>
      <c r="R21" s="1507" t="s">
        <v>11</v>
      </c>
      <c r="S21" s="1508">
        <f>F21</f>
        <v>100</v>
      </c>
      <c r="T21" s="1507" t="s">
        <v>11</v>
      </c>
      <c r="U21" s="1508">
        <f>H21</f>
        <v>100</v>
      </c>
      <c r="V21" s="1507" t="s">
        <v>11</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911"/>
      <c r="C22" s="862" t="s">
        <v>3512</v>
      </c>
      <c r="D22" s="549"/>
      <c r="E22" s="862" t="s">
        <v>3512</v>
      </c>
      <c r="F22" s="551"/>
      <c r="G22" s="862" t="s">
        <v>3512</v>
      </c>
      <c r="H22" s="549"/>
      <c r="I22" s="862" t="s">
        <v>3512</v>
      </c>
      <c r="J22" s="549"/>
      <c r="K22" s="2443"/>
      <c r="L22" s="2024"/>
      <c r="M22" s="2016"/>
      <c r="N22" s="2016"/>
      <c r="O22" s="2023"/>
      <c r="P22" s="3522"/>
      <c r="Q22" s="2429"/>
      <c r="R22" s="1507"/>
      <c r="S22" s="1508"/>
      <c r="T22" s="1507"/>
      <c r="U22" s="1508"/>
      <c r="V22" s="1507"/>
      <c r="W22" s="1508"/>
      <c r="X22" s="2431"/>
      <c r="Y22" s="3522"/>
      <c r="Z22" s="2430"/>
      <c r="AA22" s="1510">
        <v>1</v>
      </c>
      <c r="AB22" s="1510">
        <v>1</v>
      </c>
      <c r="AC22" s="1510">
        <v>1</v>
      </c>
    </row>
    <row r="23" spans="1:29" ht="57">
      <c r="A23" s="526"/>
      <c r="B23" s="860" t="s">
        <v>296</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4"/>
      <c r="M23" s="2016"/>
      <c r="N23" s="2016"/>
      <c r="O23" s="2023"/>
      <c r="P23" s="3522"/>
      <c r="Q23" s="1506" t="str">
        <f>B23</f>
        <v>自然及人文环境</v>
      </c>
      <c r="R23" s="1507" t="s">
        <v>11</v>
      </c>
      <c r="S23" s="1508">
        <f>F23</f>
        <v>100</v>
      </c>
      <c r="T23" s="1507" t="s">
        <v>11</v>
      </c>
      <c r="U23" s="1508">
        <f>H23</f>
        <v>100</v>
      </c>
      <c r="V23" s="1507" t="s">
        <v>11</v>
      </c>
      <c r="W23" s="1508">
        <f>J23</f>
        <v>100</v>
      </c>
      <c r="X23" s="1501"/>
      <c r="Y23" s="3522"/>
      <c r="Z23" s="1509" t="str">
        <f>Q23</f>
        <v>自然及人文环境</v>
      </c>
      <c r="AA23" s="1510">
        <f t="shared" si="3"/>
        <v>1</v>
      </c>
      <c r="AB23" s="1510">
        <f t="shared" si="4"/>
        <v>1</v>
      </c>
      <c r="AC23" s="1510">
        <f t="shared" si="5"/>
        <v>1</v>
      </c>
    </row>
    <row r="24" spans="1:29" ht="15.75" thickBot="1">
      <c r="A24" s="526"/>
      <c r="B24" s="589"/>
      <c r="C24" s="570" t="str">
        <f>'比较法-住宅、综合'!C28</f>
        <v>一般</v>
      </c>
      <c r="D24" s="549"/>
      <c r="E24" s="550" t="s">
        <v>3510</v>
      </c>
      <c r="F24" s="551"/>
      <c r="G24" s="552" t="s">
        <v>3510</v>
      </c>
      <c r="H24" s="549"/>
      <c r="I24" s="550" t="s">
        <v>3510</v>
      </c>
      <c r="J24" s="549"/>
      <c r="K24" s="859"/>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hidden="1">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2"/>
      <c r="Q25" s="1506" t="str">
        <f t="shared" ref="Q25:Q46" si="11">B25</f>
        <v>楼层-1</v>
      </c>
      <c r="R25" s="1507" t="s">
        <v>11</v>
      </c>
      <c r="S25" s="1508">
        <f>F25</f>
        <v>100</v>
      </c>
      <c r="T25" s="1507" t="s">
        <v>11</v>
      </c>
      <c r="U25" s="1508">
        <f>H25</f>
        <v>100</v>
      </c>
      <c r="V25" s="1507" t="s">
        <v>11</v>
      </c>
      <c r="W25" s="1508">
        <f>J25</f>
        <v>100</v>
      </c>
      <c r="X25" s="1501"/>
      <c r="Y25" s="3522"/>
      <c r="Z25" s="1509" t="str">
        <f>Q25</f>
        <v>楼层-1</v>
      </c>
      <c r="AA25" s="1510">
        <f t="shared" si="3"/>
        <v>1</v>
      </c>
      <c r="AB25" s="1510">
        <f t="shared" si="4"/>
        <v>1</v>
      </c>
      <c r="AC25" s="1510">
        <f t="shared" si="5"/>
        <v>1</v>
      </c>
    </row>
    <row r="26" spans="1:29" ht="15" hidden="1">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2"/>
      <c r="Q26" s="1506" t="str">
        <f t="shared" si="11"/>
        <v>朝向</v>
      </c>
      <c r="R26" s="1507" t="s">
        <v>11</v>
      </c>
      <c r="S26" s="1508">
        <f>F26</f>
        <v>100</v>
      </c>
      <c r="T26" s="1507" t="s">
        <v>11</v>
      </c>
      <c r="U26" s="1508">
        <f>H26</f>
        <v>100</v>
      </c>
      <c r="V26" s="1507" t="s">
        <v>11</v>
      </c>
      <c r="W26" s="1508">
        <f>J26</f>
        <v>100</v>
      </c>
      <c r="X26" s="1501"/>
      <c r="Y26" s="3522"/>
      <c r="Z26" s="1509" t="str">
        <f>Q26</f>
        <v>朝向</v>
      </c>
      <c r="AA26" s="1510">
        <f t="shared" si="3"/>
        <v>1</v>
      </c>
      <c r="AB26" s="1510">
        <f t="shared" si="4"/>
        <v>1</v>
      </c>
      <c r="AC26" s="1510">
        <f t="shared" si="5"/>
        <v>1</v>
      </c>
    </row>
    <row r="27" spans="1:29" s="1203" customFormat="1" ht="15" hidden="1">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2"/>
      <c r="Q27" s="1134" t="str">
        <f t="shared" si="11"/>
        <v>道路级别</v>
      </c>
      <c r="R27" s="1502" t="s">
        <v>11</v>
      </c>
      <c r="S27" s="1503">
        <f>F27</f>
        <v>100</v>
      </c>
      <c r="T27" s="1502" t="s">
        <v>11</v>
      </c>
      <c r="U27" s="1503">
        <f>H27</f>
        <v>100</v>
      </c>
      <c r="V27" s="1502" t="s">
        <v>11</v>
      </c>
      <c r="W27" s="1503">
        <f>J27</f>
        <v>100</v>
      </c>
      <c r="X27" s="1504"/>
      <c r="Y27" s="3522"/>
      <c r="Z27" s="1133"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2"/>
      <c r="Q28" s="1506">
        <f t="shared" si="11"/>
        <v>111</v>
      </c>
      <c r="R28" s="1507" t="s">
        <v>11</v>
      </c>
      <c r="S28" s="1508">
        <f t="shared" ref="S28:S46" si="12">F28</f>
        <v>100</v>
      </c>
      <c r="T28" s="1507" t="s">
        <v>11</v>
      </c>
      <c r="U28" s="1508">
        <f t="shared" ref="U28:U46" si="13">H28</f>
        <v>100</v>
      </c>
      <c r="V28" s="1507" t="s">
        <v>11</v>
      </c>
      <c r="W28" s="1508">
        <f t="shared" ref="W28:W46" si="14">J28</f>
        <v>100</v>
      </c>
      <c r="X28" s="1501"/>
      <c r="Y28" s="3522"/>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2"/>
      <c r="Q29" s="1506">
        <f t="shared" si="11"/>
        <v>111</v>
      </c>
      <c r="R29" s="1507" t="s">
        <v>11</v>
      </c>
      <c r="S29" s="1508">
        <f t="shared" si="12"/>
        <v>100</v>
      </c>
      <c r="T29" s="1507" t="s">
        <v>11</v>
      </c>
      <c r="U29" s="1508">
        <f t="shared" si="13"/>
        <v>100</v>
      </c>
      <c r="V29" s="1507" t="s">
        <v>11</v>
      </c>
      <c r="W29" s="1508">
        <f t="shared" si="14"/>
        <v>100</v>
      </c>
      <c r="X29" s="1501"/>
      <c r="Y29" s="3522"/>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2"/>
      <c r="Q30" s="1506">
        <f t="shared" si="11"/>
        <v>111</v>
      </c>
      <c r="R30" s="1507" t="s">
        <v>11</v>
      </c>
      <c r="S30" s="1508">
        <f t="shared" si="12"/>
        <v>100</v>
      </c>
      <c r="T30" s="1507" t="s">
        <v>11</v>
      </c>
      <c r="U30" s="1508">
        <f t="shared" si="13"/>
        <v>100</v>
      </c>
      <c r="V30" s="1507" t="s">
        <v>11</v>
      </c>
      <c r="W30" s="1508">
        <f t="shared" si="14"/>
        <v>100</v>
      </c>
      <c r="X30" s="1501"/>
      <c r="Y30" s="3522"/>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2"/>
      <c r="Q31" s="1506">
        <f t="shared" si="11"/>
        <v>111</v>
      </c>
      <c r="R31" s="1507" t="s">
        <v>11</v>
      </c>
      <c r="S31" s="1508">
        <f t="shared" si="12"/>
        <v>100</v>
      </c>
      <c r="T31" s="1507" t="s">
        <v>11</v>
      </c>
      <c r="U31" s="1508">
        <f t="shared" si="13"/>
        <v>100</v>
      </c>
      <c r="V31" s="1507" t="s">
        <v>11</v>
      </c>
      <c r="W31" s="1508">
        <f t="shared" si="14"/>
        <v>100</v>
      </c>
      <c r="X31" s="1501"/>
      <c r="Y31" s="3522"/>
      <c r="Z31" s="1509">
        <f t="shared" si="15"/>
        <v>111</v>
      </c>
      <c r="AA31" s="1510">
        <f t="shared" si="3"/>
        <v>1</v>
      </c>
      <c r="AB31" s="1510">
        <f t="shared" si="4"/>
        <v>1</v>
      </c>
      <c r="AC31" s="1510">
        <f t="shared" si="5"/>
        <v>1</v>
      </c>
    </row>
    <row r="32" spans="1:29" ht="15">
      <c r="A32" s="2624" t="s">
        <v>2733</v>
      </c>
      <c r="B32" s="170" t="s">
        <v>718</v>
      </c>
      <c r="C32" s="867" t="s">
        <v>3539</v>
      </c>
      <c r="D32" s="591">
        <v>100</v>
      </c>
      <c r="E32" s="868" t="s">
        <v>3539</v>
      </c>
      <c r="F32" s="569">
        <f>SUMIF(100:100,E32,101:101)-SUMIF(100:100,C32,101:101)+100</f>
        <v>100</v>
      </c>
      <c r="G32" s="867" t="s">
        <v>3542</v>
      </c>
      <c r="H32" s="591">
        <f>SUMIF(100:100,G32,101:101)-SUMIF(100:100,C32,101:101)+100</f>
        <v>105</v>
      </c>
      <c r="I32" s="868" t="s">
        <v>3539</v>
      </c>
      <c r="J32" s="534">
        <f>SUMIF(100:100,I32,101:101)-SUMIF(100:100,C32,101:101)+100</f>
        <v>100</v>
      </c>
      <c r="K32" s="853">
        <v>5</v>
      </c>
      <c r="L32" s="2024"/>
      <c r="M32" s="2016"/>
      <c r="N32" s="2016"/>
      <c r="O32" s="2023"/>
      <c r="P32" s="3523" t="s">
        <v>543</v>
      </c>
      <c r="Q32" s="1506" t="str">
        <f t="shared" si="11"/>
        <v>建筑类型</v>
      </c>
      <c r="R32" s="1507" t="s">
        <v>11</v>
      </c>
      <c r="S32" s="1508">
        <f t="shared" si="12"/>
        <v>100</v>
      </c>
      <c r="T32" s="1507" t="s">
        <v>11</v>
      </c>
      <c r="U32" s="1508">
        <f t="shared" si="13"/>
        <v>105</v>
      </c>
      <c r="V32" s="1507" t="s">
        <v>11</v>
      </c>
      <c r="W32" s="1508">
        <f t="shared" si="14"/>
        <v>100</v>
      </c>
      <c r="X32" s="1501"/>
      <c r="Y32" s="3524" t="s">
        <v>543</v>
      </c>
      <c r="Z32" s="1509" t="str">
        <f t="shared" si="15"/>
        <v>建筑类型</v>
      </c>
      <c r="AA32" s="1510">
        <f t="shared" si="3"/>
        <v>1</v>
      </c>
      <c r="AB32" s="1510">
        <f t="shared" si="4"/>
        <v>0.95238095238095233</v>
      </c>
      <c r="AC32" s="1510">
        <f t="shared" si="5"/>
        <v>1</v>
      </c>
    </row>
    <row r="33" spans="1:29" s="1293" customFormat="1" ht="15">
      <c r="A33" s="597"/>
      <c r="B33" s="521" t="s">
        <v>719</v>
      </c>
      <c r="C33" s="869">
        <f>'数据-基础表'!B3</f>
        <v>104989.91</v>
      </c>
      <c r="D33" s="253">
        <v>100</v>
      </c>
      <c r="E33" s="528">
        <v>45328</v>
      </c>
      <c r="F33" s="852">
        <f>LOOKUP(E33,103:103,104:104)-LOOKUP(C33,103:103,104:104)+100</f>
        <v>98</v>
      </c>
      <c r="G33" s="527">
        <v>159800</v>
      </c>
      <c r="H33" s="253">
        <f>LOOKUP(G33,103:103,104:104)-LOOKUP(C33,103:103,104:104)+100</f>
        <v>101</v>
      </c>
      <c r="I33" s="528">
        <v>88000</v>
      </c>
      <c r="J33" s="253">
        <f>LOOKUP(I33,103:103,104:104)-LOOKUP(C33,103:103,104:104)+100</f>
        <v>99</v>
      </c>
      <c r="K33" s="854"/>
      <c r="L33" s="2022"/>
      <c r="M33" s="2052"/>
      <c r="N33" s="2052"/>
      <c r="O33" s="2025"/>
      <c r="P33" s="3524"/>
      <c r="Q33" s="1535" t="str">
        <f t="shared" si="11"/>
        <v>项目建筑规模</v>
      </c>
      <c r="R33" s="1511" t="s">
        <v>11</v>
      </c>
      <c r="S33" s="1512">
        <f t="shared" si="12"/>
        <v>98</v>
      </c>
      <c r="T33" s="1511" t="s">
        <v>11</v>
      </c>
      <c r="U33" s="1512">
        <f t="shared" si="13"/>
        <v>101</v>
      </c>
      <c r="V33" s="1511" t="s">
        <v>11</v>
      </c>
      <c r="W33" s="1512">
        <f t="shared" si="14"/>
        <v>99</v>
      </c>
      <c r="X33" s="1513"/>
      <c r="Y33" s="3524"/>
      <c r="Z33" s="1514" t="str">
        <f t="shared" si="15"/>
        <v>项目建筑规模</v>
      </c>
      <c r="AA33" s="1510">
        <f t="shared" si="3"/>
        <v>1.0204081632653061</v>
      </c>
      <c r="AB33" s="1510">
        <f t="shared" si="4"/>
        <v>0.99009900990099009</v>
      </c>
      <c r="AC33" s="1510">
        <f t="shared" si="5"/>
        <v>1.0101010101010102</v>
      </c>
    </row>
    <row r="34" spans="1:29" ht="15">
      <c r="A34" s="588"/>
      <c r="B34" s="521" t="s">
        <v>720</v>
      </c>
      <c r="C34" s="870" t="s">
        <v>3552</v>
      </c>
      <c r="D34" s="534">
        <v>100</v>
      </c>
      <c r="E34" s="870" t="s">
        <v>3552</v>
      </c>
      <c r="F34" s="569">
        <f>SUMIF(105:105,E34,106:106)-SUMIF(105:105,C34,106:106)+100</f>
        <v>100</v>
      </c>
      <c r="G34" s="870" t="s">
        <v>3552</v>
      </c>
      <c r="H34" s="534">
        <f>SUMIF(105:105,G34,106:106)-SUMIF(105:105,C34,106:106)+100</f>
        <v>100</v>
      </c>
      <c r="I34" s="870" t="s">
        <v>3552</v>
      </c>
      <c r="J34" s="534">
        <f>SUMIF(105:105,I34,106:106)-SUMIF(105:105,C34,106:106)+100</f>
        <v>100</v>
      </c>
      <c r="K34" s="853"/>
      <c r="L34" s="2024"/>
      <c r="M34" s="2016"/>
      <c r="N34" s="2016"/>
      <c r="O34" s="2023"/>
      <c r="P34" s="3524"/>
      <c r="Q34" s="1506" t="str">
        <f t="shared" si="11"/>
        <v>建筑结构</v>
      </c>
      <c r="R34" s="1507" t="s">
        <v>11</v>
      </c>
      <c r="S34" s="1508">
        <f t="shared" si="12"/>
        <v>100</v>
      </c>
      <c r="T34" s="1507" t="s">
        <v>11</v>
      </c>
      <c r="U34" s="1508">
        <f t="shared" si="13"/>
        <v>100</v>
      </c>
      <c r="V34" s="1507" t="s">
        <v>11</v>
      </c>
      <c r="W34" s="1508">
        <f t="shared" si="14"/>
        <v>100</v>
      </c>
      <c r="X34" s="1501"/>
      <c r="Y34" s="3524"/>
      <c r="Z34" s="1509" t="str">
        <f t="shared" si="15"/>
        <v>建筑结构</v>
      </c>
      <c r="AA34" s="1510">
        <f t="shared" si="3"/>
        <v>1</v>
      </c>
      <c r="AB34" s="1510">
        <f t="shared" si="4"/>
        <v>1</v>
      </c>
      <c r="AC34" s="1510">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4"/>
      <c r="Q35" s="1506" t="str">
        <f t="shared" si="11"/>
        <v>建筑品质</v>
      </c>
      <c r="R35" s="1507" t="s">
        <v>11</v>
      </c>
      <c r="S35" s="1508">
        <f t="shared" si="12"/>
        <v>100</v>
      </c>
      <c r="T35" s="1507" t="s">
        <v>11</v>
      </c>
      <c r="U35" s="1508">
        <f t="shared" si="13"/>
        <v>100</v>
      </c>
      <c r="V35" s="1507" t="s">
        <v>11</v>
      </c>
      <c r="W35" s="1508">
        <f t="shared" si="14"/>
        <v>100</v>
      </c>
      <c r="X35" s="1501"/>
      <c r="Y35" s="3524"/>
      <c r="Z35" s="1509" t="str">
        <f t="shared" si="15"/>
        <v>建筑品质</v>
      </c>
      <c r="AA35" s="1510">
        <f t="shared" si="3"/>
        <v>1</v>
      </c>
      <c r="AB35" s="1510">
        <f t="shared" si="4"/>
        <v>1</v>
      </c>
      <c r="AC35" s="1510">
        <f t="shared" si="5"/>
        <v>1</v>
      </c>
    </row>
    <row r="36" spans="1:29" ht="15">
      <c r="A36" s="588"/>
      <c r="B36" s="521" t="s">
        <v>722</v>
      </c>
      <c r="C36" s="593" t="s">
        <v>3544</v>
      </c>
      <c r="D36" s="534">
        <v>100</v>
      </c>
      <c r="E36" s="593" t="s">
        <v>3544</v>
      </c>
      <c r="F36" s="569">
        <f>SUMIF(109:109,E36,110:110)-SUMIF(109:109,C36,110:110)+100</f>
        <v>100</v>
      </c>
      <c r="G36" s="593" t="s">
        <v>3544</v>
      </c>
      <c r="H36" s="534">
        <f>SUMIF(109:109,G36,110:110)-SUMIF(109:109,C36,110:110)+100</f>
        <v>100</v>
      </c>
      <c r="I36" s="593" t="s">
        <v>3544</v>
      </c>
      <c r="J36" s="534">
        <f>SUMIF(109:109,I36,110:110)-SUMIF(109:109,C36,110:110)+100</f>
        <v>100</v>
      </c>
      <c r="K36" s="853"/>
      <c r="L36" s="2024"/>
      <c r="M36" s="2016"/>
      <c r="N36" s="2016"/>
      <c r="O36" s="2023"/>
      <c r="P36" s="3524"/>
      <c r="Q36" s="1506" t="str">
        <f t="shared" si="11"/>
        <v>公共部分装修</v>
      </c>
      <c r="R36" s="1507" t="s">
        <v>11</v>
      </c>
      <c r="S36" s="1508">
        <f t="shared" si="12"/>
        <v>100</v>
      </c>
      <c r="T36" s="1507" t="s">
        <v>11</v>
      </c>
      <c r="U36" s="1508">
        <f t="shared" si="13"/>
        <v>100</v>
      </c>
      <c r="V36" s="1507" t="s">
        <v>11</v>
      </c>
      <c r="W36" s="1508">
        <f t="shared" si="14"/>
        <v>100</v>
      </c>
      <c r="X36" s="1501"/>
      <c r="Y36" s="3524"/>
      <c r="Z36" s="1509" t="str">
        <f t="shared" si="15"/>
        <v>公共部分装修</v>
      </c>
      <c r="AA36" s="1510">
        <f t="shared" si="3"/>
        <v>1</v>
      </c>
      <c r="AB36" s="1510">
        <f t="shared" si="4"/>
        <v>1</v>
      </c>
      <c r="AC36" s="1510">
        <f t="shared" si="5"/>
        <v>1</v>
      </c>
    </row>
    <row r="37" spans="1:29" s="1203" customFormat="1" ht="15">
      <c r="A37" s="594"/>
      <c r="B37" s="521" t="s">
        <v>723</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v>1</v>
      </c>
      <c r="L37" s="2017"/>
      <c r="M37" s="2018"/>
      <c r="N37" s="2018"/>
      <c r="O37" s="2019"/>
      <c r="P37" s="3524"/>
      <c r="Q37" s="1134" t="str">
        <f t="shared" si="11"/>
        <v>成新度</v>
      </c>
      <c r="R37" s="1502" t="s">
        <v>11</v>
      </c>
      <c r="S37" s="1503">
        <f t="shared" si="12"/>
        <v>100</v>
      </c>
      <c r="T37" s="1502" t="s">
        <v>11</v>
      </c>
      <c r="U37" s="1503">
        <f t="shared" si="13"/>
        <v>100</v>
      </c>
      <c r="V37" s="1502" t="s">
        <v>11</v>
      </c>
      <c r="W37" s="1503">
        <f t="shared" si="14"/>
        <v>100</v>
      </c>
      <c r="X37" s="1504"/>
      <c r="Y37" s="3524"/>
      <c r="Z37" s="1133" t="str">
        <f t="shared" si="15"/>
        <v>成新度</v>
      </c>
      <c r="AA37" s="1505">
        <f t="shared" si="3"/>
        <v>1</v>
      </c>
      <c r="AB37" s="1505">
        <f t="shared" si="4"/>
        <v>1</v>
      </c>
      <c r="AC37" s="1505">
        <f t="shared" si="5"/>
        <v>1</v>
      </c>
    </row>
    <row r="38" spans="1:29" ht="15">
      <c r="A38" s="588"/>
      <c r="B38" s="521" t="s">
        <v>724</v>
      </c>
      <c r="C38" s="593" t="s">
        <v>3511</v>
      </c>
      <c r="D38" s="534">
        <v>100</v>
      </c>
      <c r="E38" s="593" t="s">
        <v>3511</v>
      </c>
      <c r="F38" s="569">
        <f>SUMIF(114:114,E38,115:115)-SUMIF(114:114,C38,115:115)+100</f>
        <v>100</v>
      </c>
      <c r="G38" s="593" t="s">
        <v>3511</v>
      </c>
      <c r="H38" s="534">
        <f>SUMIF(114:114,G38,115:115)-SUMIF(114:114,C38,115:115)+100</f>
        <v>100</v>
      </c>
      <c r="I38" s="593" t="s">
        <v>3511</v>
      </c>
      <c r="J38" s="534">
        <f>SUMIF(114:114,I38,115:115)-SUMIF(114:114,C38,115:115)+100</f>
        <v>100</v>
      </c>
      <c r="K38" s="853"/>
      <c r="L38" s="2024"/>
      <c r="M38" s="2016"/>
      <c r="N38" s="2016"/>
      <c r="O38" s="2023"/>
      <c r="P38" s="3524" t="s">
        <v>543</v>
      </c>
      <c r="Q38" s="1506" t="str">
        <f t="shared" si="11"/>
        <v>物业管理</v>
      </c>
      <c r="R38" s="1507" t="s">
        <v>11</v>
      </c>
      <c r="S38" s="1508">
        <f t="shared" si="12"/>
        <v>100</v>
      </c>
      <c r="T38" s="1507" t="s">
        <v>11</v>
      </c>
      <c r="U38" s="1508">
        <f t="shared" si="13"/>
        <v>100</v>
      </c>
      <c r="V38" s="1507" t="s">
        <v>11</v>
      </c>
      <c r="W38" s="1508">
        <f t="shared" si="14"/>
        <v>100</v>
      </c>
      <c r="X38" s="1501"/>
      <c r="Y38" s="3524" t="s">
        <v>543</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4"/>
      <c r="Q39" s="1506" t="str">
        <f t="shared" si="11"/>
        <v>市政基础设施</v>
      </c>
      <c r="R39" s="1507" t="s">
        <v>11</v>
      </c>
      <c r="S39" s="1508">
        <f t="shared" si="12"/>
        <v>100</v>
      </c>
      <c r="T39" s="1507" t="s">
        <v>11</v>
      </c>
      <c r="U39" s="1508">
        <f t="shared" si="13"/>
        <v>100</v>
      </c>
      <c r="V39" s="1507" t="s">
        <v>11</v>
      </c>
      <c r="W39" s="1508">
        <f t="shared" si="14"/>
        <v>100</v>
      </c>
      <c r="X39" s="1501"/>
      <c r="Y39" s="3524"/>
      <c r="Z39" s="1509" t="str">
        <f t="shared" si="15"/>
        <v>市政基础设施</v>
      </c>
      <c r="AA39" s="1510">
        <f t="shared" si="3"/>
        <v>1</v>
      </c>
      <c r="AB39" s="1510">
        <f t="shared" si="4"/>
        <v>1</v>
      </c>
      <c r="AC39" s="1510">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4"/>
      <c r="Q40" s="1506" t="str">
        <f t="shared" si="11"/>
        <v>房型</v>
      </c>
      <c r="R40" s="1507" t="s">
        <v>11</v>
      </c>
      <c r="S40" s="1508">
        <f t="shared" si="12"/>
        <v>100</v>
      </c>
      <c r="T40" s="1507" t="s">
        <v>11</v>
      </c>
      <c r="U40" s="1508">
        <f t="shared" si="13"/>
        <v>100</v>
      </c>
      <c r="V40" s="1507" t="s">
        <v>11</v>
      </c>
      <c r="W40" s="1508">
        <f t="shared" si="14"/>
        <v>100</v>
      </c>
      <c r="X40" s="1501"/>
      <c r="Y40" s="3524"/>
      <c r="Z40" s="1509" t="str">
        <f t="shared" si="15"/>
        <v>房型</v>
      </c>
      <c r="AA40" s="1510">
        <f t="shared" si="3"/>
        <v>1</v>
      </c>
      <c r="AB40" s="1510">
        <f t="shared" si="4"/>
        <v>1</v>
      </c>
      <c r="AC40" s="1510">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4"/>
      <c r="Q41" s="1535" t="str">
        <f t="shared" si="11"/>
        <v>单套/主力户型建筑面积</v>
      </c>
      <c r="R41" s="1511" t="s">
        <v>11</v>
      </c>
      <c r="S41" s="1512">
        <f t="shared" si="12"/>
        <v>100</v>
      </c>
      <c r="T41" s="1511" t="s">
        <v>11</v>
      </c>
      <c r="U41" s="1512">
        <f t="shared" si="13"/>
        <v>100</v>
      </c>
      <c r="V41" s="1511" t="s">
        <v>11</v>
      </c>
      <c r="W41" s="1512">
        <f t="shared" si="14"/>
        <v>100</v>
      </c>
      <c r="X41" s="1513"/>
      <c r="Y41" s="3524"/>
      <c r="Z41" s="1514" t="str">
        <f t="shared" si="15"/>
        <v>单套/主力户型建筑面积</v>
      </c>
      <c r="AA41" s="1510">
        <f t="shared" si="3"/>
        <v>1</v>
      </c>
      <c r="AB41" s="1510">
        <f t="shared" si="4"/>
        <v>1</v>
      </c>
      <c r="AC41" s="1510">
        <f t="shared" si="5"/>
        <v>1</v>
      </c>
    </row>
    <row r="42" spans="1:29" ht="15">
      <c r="A42" s="588"/>
      <c r="B42" s="521" t="s">
        <v>727</v>
      </c>
      <c r="C42" s="593" t="s">
        <v>3550</v>
      </c>
      <c r="D42" s="534">
        <v>100</v>
      </c>
      <c r="E42" s="593" t="s">
        <v>3550</v>
      </c>
      <c r="F42" s="569">
        <f>SUMIF(122:122,E42,123:123)-SUMIF(122:122,C42,123:123)+100</f>
        <v>100</v>
      </c>
      <c r="G42" s="593" t="s">
        <v>3546</v>
      </c>
      <c r="H42" s="534">
        <f>SUMIF(122:122,G42,123:123)-SUMIF(122:122,C42,123:123)+100</f>
        <v>101.4</v>
      </c>
      <c r="I42" s="863" t="s">
        <v>3546</v>
      </c>
      <c r="J42" s="534">
        <f>SUMIF(122:122,I42,123:123)-SUMIF(122:122,C42,123:123)+100</f>
        <v>101.4</v>
      </c>
      <c r="K42" s="853">
        <v>0.7</v>
      </c>
      <c r="L42" s="2024"/>
      <c r="M42" s="2016"/>
      <c r="N42" s="2016"/>
      <c r="O42" s="2023"/>
      <c r="P42" s="3524"/>
      <c r="Q42" s="1506" t="str">
        <f t="shared" si="11"/>
        <v>内部装修</v>
      </c>
      <c r="R42" s="1507" t="s">
        <v>11</v>
      </c>
      <c r="S42" s="1508">
        <f t="shared" si="12"/>
        <v>100</v>
      </c>
      <c r="T42" s="1507" t="s">
        <v>11</v>
      </c>
      <c r="U42" s="1508">
        <f t="shared" si="13"/>
        <v>101.4</v>
      </c>
      <c r="V42" s="1507" t="s">
        <v>11</v>
      </c>
      <c r="W42" s="1508">
        <f t="shared" si="14"/>
        <v>101.4</v>
      </c>
      <c r="X42" s="1501"/>
      <c r="Y42" s="3524"/>
      <c r="Z42" s="1509" t="str">
        <f t="shared" si="15"/>
        <v>内部装修</v>
      </c>
      <c r="AA42" s="1510">
        <f t="shared" si="3"/>
        <v>1</v>
      </c>
      <c r="AB42" s="1510">
        <f t="shared" si="4"/>
        <v>0.98619329388560151</v>
      </c>
      <c r="AC42" s="1510">
        <f t="shared" si="5"/>
        <v>0.98619329388560151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4"/>
      <c r="Q43" s="1506" t="str">
        <f t="shared" si="11"/>
        <v>内部装修维护情况</v>
      </c>
      <c r="R43" s="1507" t="s">
        <v>11</v>
      </c>
      <c r="S43" s="1508">
        <f t="shared" si="12"/>
        <v>100</v>
      </c>
      <c r="T43" s="1507" t="s">
        <v>11</v>
      </c>
      <c r="U43" s="1508">
        <f t="shared" si="13"/>
        <v>100</v>
      </c>
      <c r="V43" s="1507" t="s">
        <v>11</v>
      </c>
      <c r="W43" s="1508">
        <f t="shared" si="14"/>
        <v>100</v>
      </c>
      <c r="X43" s="1501"/>
      <c r="Y43" s="3524"/>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4"/>
      <c r="Q44" s="1134">
        <f t="shared" si="11"/>
        <v>111</v>
      </c>
      <c r="R44" s="1502" t="s">
        <v>11</v>
      </c>
      <c r="S44" s="1503">
        <f t="shared" si="12"/>
        <v>100</v>
      </c>
      <c r="T44" s="1502" t="s">
        <v>11</v>
      </c>
      <c r="U44" s="1503">
        <f t="shared" si="13"/>
        <v>100</v>
      </c>
      <c r="V44" s="1502" t="s">
        <v>11</v>
      </c>
      <c r="W44" s="1503">
        <f t="shared" si="14"/>
        <v>100</v>
      </c>
      <c r="X44" s="1504"/>
      <c r="Y44" s="3524"/>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4"/>
      <c r="Q45" s="1506">
        <f t="shared" si="11"/>
        <v>111</v>
      </c>
      <c r="R45" s="1507" t="s">
        <v>11</v>
      </c>
      <c r="S45" s="1508">
        <f t="shared" si="12"/>
        <v>100</v>
      </c>
      <c r="T45" s="1507" t="s">
        <v>11</v>
      </c>
      <c r="U45" s="1508">
        <f t="shared" si="13"/>
        <v>100</v>
      </c>
      <c r="V45" s="1507" t="s">
        <v>11</v>
      </c>
      <c r="W45" s="1508">
        <f t="shared" si="14"/>
        <v>100</v>
      </c>
      <c r="X45" s="1501"/>
      <c r="Y45" s="3524"/>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6"/>
      <c r="Q46" s="1506">
        <f t="shared" si="11"/>
        <v>111</v>
      </c>
      <c r="R46" s="1507" t="s">
        <v>10</v>
      </c>
      <c r="S46" s="1508">
        <f t="shared" si="12"/>
        <v>100</v>
      </c>
      <c r="T46" s="1507" t="s">
        <v>10</v>
      </c>
      <c r="U46" s="1508">
        <f t="shared" si="13"/>
        <v>100</v>
      </c>
      <c r="V46" s="1507" t="s">
        <v>10</v>
      </c>
      <c r="W46" s="1508">
        <f t="shared" si="14"/>
        <v>100</v>
      </c>
      <c r="X46" s="1501"/>
      <c r="Y46" s="3606"/>
      <c r="Z46" s="1509">
        <f t="shared" si="15"/>
        <v>111</v>
      </c>
      <c r="AA46" s="1510">
        <f t="shared" si="3"/>
        <v>1</v>
      </c>
      <c r="AB46" s="1510">
        <f t="shared" si="4"/>
        <v>1</v>
      </c>
      <c r="AC46" s="1510">
        <f t="shared" si="5"/>
        <v>1</v>
      </c>
    </row>
    <row r="47" spans="1:29" ht="15">
      <c r="A47" s="601" t="s">
        <v>729</v>
      </c>
      <c r="B47" s="876"/>
      <c r="C47" s="2470" t="s">
        <v>9</v>
      </c>
      <c r="D47" s="2471"/>
      <c r="E47" s="2472">
        <v>69305</v>
      </c>
      <c r="F47" s="2473"/>
      <c r="G47" s="2474">
        <v>79790</v>
      </c>
      <c r="H47" s="2475"/>
      <c r="I47" s="2472">
        <v>72847</v>
      </c>
      <c r="J47" s="2475"/>
      <c r="K47" s="1536"/>
      <c r="L47" s="2026"/>
      <c r="M47" s="2027"/>
      <c r="N47" s="2016"/>
      <c r="O47" s="2027"/>
      <c r="P47" s="3486" t="str">
        <f>A47</f>
        <v>成交单价（元/平方米）</v>
      </c>
      <c r="Q47" s="3486"/>
      <c r="R47" s="3605">
        <f>E47</f>
        <v>69305</v>
      </c>
      <c r="S47" s="3605"/>
      <c r="T47" s="3605">
        <f>G47</f>
        <v>79790</v>
      </c>
      <c r="U47" s="3605"/>
      <c r="V47" s="3605">
        <f>I47</f>
        <v>72847</v>
      </c>
      <c r="W47" s="3605"/>
      <c r="X47" s="1496"/>
      <c r="Y47" s="1515"/>
      <c r="Z47" s="1496"/>
      <c r="AA47" s="1496"/>
      <c r="AB47" s="1496"/>
      <c r="AC47" s="1496"/>
    </row>
    <row r="48" spans="1:29" ht="15.75" thickBot="1">
      <c r="A48" s="609" t="s">
        <v>2738</v>
      </c>
      <c r="B48" s="877"/>
      <c r="C48" s="2476">
        <f>R49</f>
        <v>70852</v>
      </c>
      <c r="D48" s="3014" t="s">
        <v>2968</v>
      </c>
      <c r="E48" s="2477">
        <f>R48</f>
        <v>70719</v>
      </c>
      <c r="F48" s="3015"/>
      <c r="G48" s="2476">
        <f>T48</f>
        <v>69947</v>
      </c>
      <c r="H48" s="3015"/>
      <c r="I48" s="2477">
        <f>V48</f>
        <v>71891</v>
      </c>
      <c r="J48" s="3015"/>
      <c r="K48" s="3023">
        <f>F48+H48+J48</f>
        <v>0</v>
      </c>
      <c r="L48" s="2026"/>
      <c r="M48" s="2027"/>
      <c r="N48" s="2027"/>
      <c r="O48" s="2027"/>
      <c r="P48" s="3486" t="str">
        <f>A48</f>
        <v>比较价格（元/平方米）</v>
      </c>
      <c r="Q48" s="3486"/>
      <c r="R48" s="3605">
        <f>IF(F1="售价",ROUND(PRODUCT(R47,AA7:AA46),0),ROUND(PRODUCT(R47,AA7:AA46),1))</f>
        <v>70719</v>
      </c>
      <c r="S48" s="3605"/>
      <c r="T48" s="3605">
        <f>IF(F1="售价",ROUND(PRODUCT(T47,AB7:AB46),0),ROUND(PRODUCT(T47,AB7:AB46),1))</f>
        <v>69947</v>
      </c>
      <c r="U48" s="3605"/>
      <c r="V48" s="3605">
        <f>IF(F1="售价",ROUND(PRODUCT(V47,AC7:AC46),0),ROUND(PRODUCT(V47,AC7:AC46),1))</f>
        <v>71891</v>
      </c>
      <c r="W48" s="3605"/>
      <c r="X48" s="1496"/>
      <c r="Y48" s="1496"/>
      <c r="Z48" s="1496"/>
      <c r="AA48" s="1496"/>
      <c r="AB48" s="1496"/>
      <c r="AC48" s="1496"/>
    </row>
    <row r="49" spans="1:29" ht="15.75" thickBot="1">
      <c r="A49" s="613" t="s">
        <v>2900</v>
      </c>
      <c r="B49" s="614"/>
      <c r="C49" s="2478">
        <f>R49</f>
        <v>70852</v>
      </c>
      <c r="D49" s="2478"/>
      <c r="E49" s="2478"/>
      <c r="F49" s="2478"/>
      <c r="G49" s="2478"/>
      <c r="H49" s="2478"/>
      <c r="I49" s="2478"/>
      <c r="J49" s="2478"/>
      <c r="K49" s="1537"/>
      <c r="L49" s="2026"/>
      <c r="M49" s="2027"/>
      <c r="N49" s="2027"/>
      <c r="O49" s="2027"/>
      <c r="P49" s="3483" t="str">
        <f>A49</f>
        <v>估价对象XX用房的比较价格（楼面单价，元/平方米）</v>
      </c>
      <c r="Q49" s="3484"/>
      <c r="R49" s="3604">
        <f>IF(F1="售价",ROUND(IF(D48="简单平均",AVERAGE(R48:V48),R48*F48+T48*H48+V48*J48),0),ROUND(IF(D48="简单平均",AVERAGE(R48:V48),R48*F48+T48*H48+V48*J48),1))</f>
        <v>70852</v>
      </c>
      <c r="S49" s="3604"/>
      <c r="T49" s="3604"/>
      <c r="U49" s="3604"/>
      <c r="V49" s="3604"/>
      <c r="W49" s="360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550</v>
      </c>
      <c r="D52" s="617"/>
      <c r="E52" s="618">
        <f>IF(E47&lt;E48,E48/E47-1,E47/E48-1)</f>
        <v>2.0402568357261286E-2</v>
      </c>
      <c r="F52" s="619" t="str">
        <f>IF(OR(E52&gt;=0.3,E52&lt;=-0.3),"超过30%","")</f>
        <v/>
      </c>
      <c r="G52" s="618">
        <f>IF(G47&lt;G48,G48/G47-1,G47/G48-1)</f>
        <v>0.14072083148669701</v>
      </c>
      <c r="H52" s="619" t="str">
        <f>IF(OR(G52&gt;=0.3,G52&lt;=-0.3),"超过30%","")</f>
        <v/>
      </c>
      <c r="I52" s="618">
        <f>IF(I47&lt;I48,I48/I47-1,I47/I48-1)</f>
        <v>1.3297909334965441E-2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20"/>
      <c r="E53" s="618">
        <f>IF(E48&lt;G48,G48/E48-1,E48/G48-1)</f>
        <v>1.1036927959740872E-2</v>
      </c>
      <c r="F53" s="619" t="str">
        <f>IF(OR(E53&gt;=0.2,E53&lt;=-0.2),"超过20%","")</f>
        <v/>
      </c>
      <c r="G53" s="618">
        <f>IF(G48&lt;I48,I48/G48-1,G48/I48-1)</f>
        <v>2.7792471442663835E-2</v>
      </c>
      <c r="H53" s="619" t="str">
        <f>IF(OR(G53&gt;=0.2,G53&lt;=-0.2),"超过20%","")</f>
        <v/>
      </c>
      <c r="I53" s="618">
        <f>IF(I48&lt;E48,E48/I48-1,I48/E48-1)</f>
        <v>1.657263253156871E-2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552</v>
      </c>
      <c r="D54" s="620"/>
      <c r="E54" s="618">
        <f>IF(E47&lt;G47,G47/E47-1,E47/G47-1)</f>
        <v>0.15128778587403513</v>
      </c>
      <c r="F54" s="619" t="str">
        <f>IF(OR(E54&gt;=0.3,E54&lt;=-0.3),"超过30%","")</f>
        <v/>
      </c>
      <c r="G54" s="618">
        <f>IF(G47&lt;I47,I47/G47-1,G47/I47-1)</f>
        <v>9.5309346987521693E-2</v>
      </c>
      <c r="H54" s="619" t="str">
        <f>IF(OR(G54&gt;=0.3,G54&lt;=-0.3),"超过30%","")</f>
        <v/>
      </c>
      <c r="I54" s="618">
        <f>IF(I47&lt;E47,E47/I47-1,I47/E47-1)</f>
        <v>5.1107423706803212E-2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v>100</v>
      </c>
      <c r="E59" s="642">
        <v>100</v>
      </c>
      <c r="F59" s="642">
        <v>100</v>
      </c>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96</v>
      </c>
      <c r="E77" s="671">
        <f>D77-$K15</f>
        <v>92</v>
      </c>
      <c r="F77" s="671">
        <f>E77-$K15</f>
        <v>88</v>
      </c>
      <c r="G77" s="671">
        <f>F77-$K15</f>
        <v>84</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97</v>
      </c>
      <c r="E79" s="671">
        <f>D79-$K17</f>
        <v>94</v>
      </c>
      <c r="F79" s="671">
        <f>E79-$K17</f>
        <v>91</v>
      </c>
      <c r="G79" s="671">
        <f>F79-$K17</f>
        <v>88</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3294" t="s">
        <v>3543</v>
      </c>
      <c r="D100" s="3294" t="s">
        <v>3540</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1">
        <f t="shared" si="22"/>
        <v>50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741</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250000(含)-300000</v>
      </c>
      <c r="I102" s="700" t="str">
        <f t="shared" si="23"/>
        <v>300000(含)-350000</v>
      </c>
      <c r="J102" s="700" t="str">
        <f t="shared" si="23"/>
        <v>350000(含)-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f>C103+50000</f>
        <v>50000</v>
      </c>
      <c r="E103" s="722">
        <f t="shared" ref="E103:J103" si="24">D103+50000</f>
        <v>100000</v>
      </c>
      <c r="F103" s="722">
        <f t="shared" si="24"/>
        <v>150000</v>
      </c>
      <c r="G103" s="722">
        <f t="shared" si="24"/>
        <v>200000</v>
      </c>
      <c r="H103" s="722">
        <f t="shared" si="24"/>
        <v>250000</v>
      </c>
      <c r="I103" s="722">
        <f t="shared" si="24"/>
        <v>300000</v>
      </c>
      <c r="J103" s="722">
        <f t="shared" si="24"/>
        <v>350000</v>
      </c>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f>C104+1</f>
        <v>101</v>
      </c>
      <c r="E104" s="663">
        <f t="shared" ref="E104:J104" si="25">D104+1</f>
        <v>102</v>
      </c>
      <c r="F104" s="663">
        <f t="shared" si="25"/>
        <v>103</v>
      </c>
      <c r="G104" s="663">
        <f t="shared" si="25"/>
        <v>104</v>
      </c>
      <c r="H104" s="663">
        <f t="shared" si="25"/>
        <v>105</v>
      </c>
      <c r="I104" s="663">
        <f t="shared" si="25"/>
        <v>106</v>
      </c>
      <c r="J104" s="663">
        <f t="shared" si="25"/>
        <v>107</v>
      </c>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3300" t="s">
        <v>3553</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6">C106-$K34</f>
        <v>100</v>
      </c>
      <c r="E106" s="671">
        <f t="shared" si="26"/>
        <v>100</v>
      </c>
      <c r="F106" s="671">
        <f t="shared" si="26"/>
        <v>100</v>
      </c>
      <c r="G106" s="671">
        <f t="shared" si="26"/>
        <v>100</v>
      </c>
      <c r="H106" s="671">
        <f t="shared" si="26"/>
        <v>100</v>
      </c>
      <c r="I106" s="671">
        <f t="shared" si="26"/>
        <v>100</v>
      </c>
      <c r="J106" s="671">
        <f t="shared" si="26"/>
        <v>100</v>
      </c>
      <c r="K106" s="671">
        <f t="shared" si="26"/>
        <v>100</v>
      </c>
      <c r="L106" s="671">
        <f t="shared" si="26"/>
        <v>100</v>
      </c>
      <c r="M106" s="671">
        <f t="shared" si="26"/>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t="s">
        <v>3533</v>
      </c>
      <c r="D107" s="710" t="s">
        <v>3511</v>
      </c>
      <c r="E107" s="710" t="s">
        <v>3510</v>
      </c>
      <c r="F107" s="710" t="s">
        <v>3534</v>
      </c>
      <c r="G107" s="710" t="s">
        <v>3535</v>
      </c>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7">C108-$K35</f>
        <v>100</v>
      </c>
      <c r="E108" s="671">
        <f t="shared" si="27"/>
        <v>100</v>
      </c>
      <c r="F108" s="671">
        <f t="shared" si="27"/>
        <v>100</v>
      </c>
      <c r="G108" s="671">
        <f t="shared" si="27"/>
        <v>100</v>
      </c>
      <c r="H108" s="671">
        <f t="shared" si="27"/>
        <v>100</v>
      </c>
      <c r="I108" s="671">
        <f t="shared" si="27"/>
        <v>100</v>
      </c>
      <c r="J108" s="671">
        <f t="shared" si="27"/>
        <v>100</v>
      </c>
      <c r="K108" s="671">
        <f t="shared" si="27"/>
        <v>100</v>
      </c>
      <c r="L108" s="671">
        <f t="shared" si="27"/>
        <v>100</v>
      </c>
      <c r="M108" s="671">
        <f t="shared" si="27"/>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t="s">
        <v>3544</v>
      </c>
      <c r="D109" s="680" t="s">
        <v>3546</v>
      </c>
      <c r="E109" s="680" t="s">
        <v>3548</v>
      </c>
      <c r="F109" s="710" t="s">
        <v>3550</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8">C110-$K36</f>
        <v>100</v>
      </c>
      <c r="E110" s="671">
        <f t="shared" si="28"/>
        <v>100</v>
      </c>
      <c r="F110" s="671">
        <f t="shared" si="28"/>
        <v>100</v>
      </c>
      <c r="G110" s="671">
        <f t="shared" si="28"/>
        <v>100</v>
      </c>
      <c r="H110" s="671">
        <f t="shared" si="28"/>
        <v>100</v>
      </c>
      <c r="I110" s="671">
        <f t="shared" si="28"/>
        <v>100</v>
      </c>
      <c r="J110" s="671">
        <f t="shared" si="28"/>
        <v>100</v>
      </c>
      <c r="K110" s="671">
        <f t="shared" si="28"/>
        <v>100</v>
      </c>
      <c r="L110" s="671">
        <f t="shared" si="28"/>
        <v>100</v>
      </c>
      <c r="M110" s="671">
        <f t="shared" si="28"/>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t="s">
        <v>3533</v>
      </c>
      <c r="D114" s="680" t="s">
        <v>3511</v>
      </c>
      <c r="E114" s="710" t="s">
        <v>3510</v>
      </c>
      <c r="F114" s="710" t="s">
        <v>3534</v>
      </c>
      <c r="G114" s="710" t="s">
        <v>3535</v>
      </c>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9">C115-$K38</f>
        <v>100</v>
      </c>
      <c r="E115" s="671">
        <f t="shared" si="29"/>
        <v>100</v>
      </c>
      <c r="F115" s="671">
        <f t="shared" si="29"/>
        <v>100</v>
      </c>
      <c r="G115" s="671">
        <f t="shared" si="29"/>
        <v>100</v>
      </c>
      <c r="H115" s="671">
        <f t="shared" si="29"/>
        <v>100</v>
      </c>
      <c r="I115" s="671">
        <f t="shared" si="29"/>
        <v>100</v>
      </c>
      <c r="J115" s="671">
        <f t="shared" si="29"/>
        <v>100</v>
      </c>
      <c r="K115" s="671">
        <f t="shared" si="29"/>
        <v>100</v>
      </c>
      <c r="L115" s="671">
        <f t="shared" si="29"/>
        <v>100</v>
      </c>
      <c r="M115" s="671">
        <f t="shared" si="29"/>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3300" t="s">
        <v>3545</v>
      </c>
      <c r="D122" s="3300" t="s">
        <v>3547</v>
      </c>
      <c r="E122" s="3300" t="s">
        <v>3549</v>
      </c>
      <c r="F122" s="3295" t="s">
        <v>3551</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1">C123-$K42</f>
        <v>99.3</v>
      </c>
      <c r="E123" s="671">
        <f t="shared" si="31"/>
        <v>98.6</v>
      </c>
      <c r="F123" s="671">
        <f t="shared" si="31"/>
        <v>97.899999999999991</v>
      </c>
      <c r="G123" s="671">
        <f t="shared" si="31"/>
        <v>97.199999999999989</v>
      </c>
      <c r="H123" s="671">
        <f t="shared" si="31"/>
        <v>96.499999999999986</v>
      </c>
      <c r="I123" s="671">
        <f t="shared" si="31"/>
        <v>95.799999999999983</v>
      </c>
      <c r="J123" s="671">
        <f t="shared" si="31"/>
        <v>95.09999999999998</v>
      </c>
      <c r="K123" s="671">
        <f t="shared" si="31"/>
        <v>94.399999999999977</v>
      </c>
      <c r="L123" s="671">
        <f t="shared" si="31"/>
        <v>93.699999999999974</v>
      </c>
      <c r="M123" s="671">
        <f t="shared" si="31"/>
        <v>92.999999999999972</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1" t="s">
        <v>714</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492" t="s">
        <v>515</v>
      </c>
      <c r="D4" s="3493"/>
      <c r="E4" s="3527" t="s">
        <v>516</v>
      </c>
      <c r="F4" s="3528"/>
      <c r="G4" s="3492" t="s">
        <v>517</v>
      </c>
      <c r="H4" s="3493"/>
      <c r="I4" s="3492" t="s">
        <v>518</v>
      </c>
      <c r="J4" s="3493"/>
      <c r="K4" s="508" t="s">
        <v>519</v>
      </c>
      <c r="L4" s="2015"/>
      <c r="M4" s="2016"/>
      <c r="N4" s="2016"/>
      <c r="O4" s="2016"/>
      <c r="P4" s="3494" t="s">
        <v>520</v>
      </c>
      <c r="Q4" s="3495"/>
      <c r="R4" s="3500" t="s">
        <v>516</v>
      </c>
      <c r="S4" s="3501"/>
      <c r="T4" s="3500" t="s">
        <v>517</v>
      </c>
      <c r="U4" s="3501"/>
      <c r="V4" s="3487" t="s">
        <v>518</v>
      </c>
      <c r="W4" s="3487"/>
      <c r="X4" s="1501"/>
      <c r="Y4" s="3500" t="s">
        <v>520</v>
      </c>
      <c r="Z4" s="3501"/>
      <c r="AA4" s="3489" t="s">
        <v>516</v>
      </c>
      <c r="AB4" s="3487" t="s">
        <v>517</v>
      </c>
      <c r="AC4" s="3489" t="s">
        <v>518</v>
      </c>
    </row>
    <row r="5" spans="1:29" ht="15">
      <c r="A5" s="509"/>
      <c r="B5" s="510"/>
      <c r="C5" s="3508" t="s">
        <v>2894</v>
      </c>
      <c r="D5" s="3509"/>
      <c r="E5" s="3529" t="s">
        <v>2895</v>
      </c>
      <c r="F5" s="3530"/>
      <c r="G5" s="3508" t="s">
        <v>2896</v>
      </c>
      <c r="H5" s="3509"/>
      <c r="I5" s="3508" t="s">
        <v>2897</v>
      </c>
      <c r="J5" s="3509"/>
      <c r="K5" s="508"/>
      <c r="L5" s="2015"/>
      <c r="M5" s="2016"/>
      <c r="N5" s="2016"/>
      <c r="O5" s="2016"/>
      <c r="P5" s="3496"/>
      <c r="Q5" s="3497"/>
      <c r="R5" s="3502"/>
      <c r="S5" s="3503"/>
      <c r="T5" s="3502"/>
      <c r="U5" s="3503"/>
      <c r="V5" s="3487"/>
      <c r="W5" s="3487"/>
      <c r="X5" s="1501"/>
      <c r="Y5" s="3502"/>
      <c r="Z5" s="3503"/>
      <c r="AA5" s="3490"/>
      <c r="AB5" s="3487"/>
      <c r="AC5" s="3490"/>
    </row>
    <row r="6" spans="1:29" ht="15.75" thickBot="1">
      <c r="A6" s="511"/>
      <c r="B6" s="512"/>
      <c r="C6" s="3506" t="s">
        <v>2898</v>
      </c>
      <c r="D6" s="3507"/>
      <c r="E6" s="3525" t="s">
        <v>2898</v>
      </c>
      <c r="F6" s="3526"/>
      <c r="G6" s="3506" t="s">
        <v>2898</v>
      </c>
      <c r="H6" s="3507"/>
      <c r="I6" s="3506" t="s">
        <v>2898</v>
      </c>
      <c r="J6" s="3507"/>
      <c r="K6" s="508" t="s">
        <v>521</v>
      </c>
      <c r="L6" s="2015"/>
      <c r="M6" s="2016"/>
      <c r="N6" s="2016"/>
      <c r="O6" s="2016"/>
      <c r="P6" s="3498"/>
      <c r="Q6" s="3499"/>
      <c r="R6" s="3502"/>
      <c r="S6" s="3503"/>
      <c r="T6" s="3504"/>
      <c r="U6" s="3505"/>
      <c r="V6" s="3487"/>
      <c r="W6" s="3487"/>
      <c r="X6" s="1501"/>
      <c r="Y6" s="3504"/>
      <c r="Z6" s="3505"/>
      <c r="AA6" s="3491"/>
      <c r="AB6" s="3487"/>
      <c r="AC6" s="3491"/>
    </row>
    <row r="7" spans="1:29" s="1203" customFormat="1" ht="15.75" thickBot="1">
      <c r="A7" s="2629"/>
      <c r="B7" s="2636" t="s">
        <v>522</v>
      </c>
      <c r="C7" s="513">
        <f>'数据-取费表'!B2</f>
        <v>44300</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8" t="s">
        <v>523</v>
      </c>
      <c r="Q7" s="3520"/>
      <c r="R7" s="1502" t="s">
        <v>8</v>
      </c>
      <c r="S7" s="1503">
        <f t="shared" ref="S7:S15" si="0">F7</f>
        <v>0</v>
      </c>
      <c r="T7" s="1502" t="s">
        <v>8</v>
      </c>
      <c r="U7" s="1503">
        <f t="shared" ref="U7:U15" si="1">H7</f>
        <v>0</v>
      </c>
      <c r="V7" s="1502" t="s">
        <v>8</v>
      </c>
      <c r="W7" s="1503">
        <f t="shared" ref="W7:W15" si="2">J7</f>
        <v>0</v>
      </c>
      <c r="X7" s="1504"/>
      <c r="Y7" s="3518" t="s">
        <v>523</v>
      </c>
      <c r="Z7" s="3519"/>
      <c r="AA7" s="1505" t="e">
        <f>D7/F7</f>
        <v>#DIV/0!</v>
      </c>
      <c r="AB7" s="1505" t="e">
        <f>D7/H7</f>
        <v>#DIV/0!</v>
      </c>
      <c r="AC7" s="1505"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8" t="s">
        <v>526</v>
      </c>
      <c r="Q8" s="3519"/>
      <c r="R8" s="1502" t="s">
        <v>8</v>
      </c>
      <c r="S8" s="1503">
        <f t="shared" si="0"/>
        <v>0</v>
      </c>
      <c r="T8" s="1502" t="s">
        <v>8</v>
      </c>
      <c r="U8" s="1503">
        <f t="shared" si="1"/>
        <v>0</v>
      </c>
      <c r="V8" s="1502" t="s">
        <v>8</v>
      </c>
      <c r="W8" s="1503">
        <f t="shared" si="2"/>
        <v>0</v>
      </c>
      <c r="X8" s="1504"/>
      <c r="Y8" s="3518" t="s">
        <v>526</v>
      </c>
      <c r="Z8" s="3519"/>
      <c r="AA8" s="1505" t="e">
        <f t="shared" ref="AA8:AA46" si="3">D8/F8</f>
        <v>#DIV/0!</v>
      </c>
      <c r="AB8" s="1505" t="e">
        <f t="shared" ref="AB8:AB46" si="4">D8/H8</f>
        <v>#DIV/0!</v>
      </c>
      <c r="AC8" s="1505" t="e">
        <f t="shared" ref="AC8:AC46" si="5">D8/J8</f>
        <v>#DIV/0!</v>
      </c>
    </row>
    <row r="9" spans="1:29" s="1203" customFormat="1" ht="15">
      <c r="A9" s="2631"/>
      <c r="B9" s="2638"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6" t="s">
        <v>528</v>
      </c>
      <c r="Q9" s="1134" t="str">
        <f t="shared" ref="Q9:Q15" si="6">B9</f>
        <v>用途</v>
      </c>
      <c r="R9" s="1502" t="s">
        <v>8</v>
      </c>
      <c r="S9" s="1503">
        <f t="shared" si="0"/>
        <v>100</v>
      </c>
      <c r="T9" s="1502" t="s">
        <v>8</v>
      </c>
      <c r="U9" s="1503">
        <f t="shared" si="1"/>
        <v>100</v>
      </c>
      <c r="V9" s="1502" t="s">
        <v>8</v>
      </c>
      <c r="W9" s="1503">
        <f t="shared" si="2"/>
        <v>100</v>
      </c>
      <c r="X9" s="1504"/>
      <c r="Y9" s="3432"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6"/>
      <c r="Q11" s="1134" t="str">
        <f t="shared" si="6"/>
        <v>容积率</v>
      </c>
      <c r="R11" s="1502" t="s">
        <v>8</v>
      </c>
      <c r="S11" s="1503" t="e">
        <f t="shared" si="0"/>
        <v>#N/A</v>
      </c>
      <c r="T11" s="1502" t="s">
        <v>8</v>
      </c>
      <c r="U11" s="1503" t="e">
        <f t="shared" si="1"/>
        <v>#N/A</v>
      </c>
      <c r="V11" s="1502" t="s">
        <v>8</v>
      </c>
      <c r="W11" s="1503" t="e">
        <f t="shared" si="2"/>
        <v>#N/A</v>
      </c>
      <c r="X11" s="1504"/>
      <c r="Y11" s="343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2"/>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2"/>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6"/>
      <c r="Q14" s="1134">
        <f t="shared" si="6"/>
        <v>111</v>
      </c>
      <c r="R14" s="1502" t="s">
        <v>8</v>
      </c>
      <c r="S14" s="1503">
        <f t="shared" si="0"/>
        <v>100</v>
      </c>
      <c r="T14" s="1502" t="s">
        <v>8</v>
      </c>
      <c r="U14" s="1503">
        <f t="shared" si="1"/>
        <v>100</v>
      </c>
      <c r="V14" s="1502" t="s">
        <v>8</v>
      </c>
      <c r="W14" s="1503">
        <f t="shared" si="2"/>
        <v>100</v>
      </c>
      <c r="X14" s="1504"/>
      <c r="Y14" s="3432"/>
      <c r="Z14" s="1133">
        <f t="shared" si="7"/>
        <v>111</v>
      </c>
      <c r="AA14" s="1505">
        <f t="shared" si="3"/>
        <v>1</v>
      </c>
      <c r="AB14" s="1505">
        <f t="shared" si="4"/>
        <v>1</v>
      </c>
      <c r="AC14" s="1505">
        <f t="shared" si="5"/>
        <v>1</v>
      </c>
    </row>
    <row r="15" spans="1:29" ht="71.25">
      <c r="A15" s="2627" t="s">
        <v>2732</v>
      </c>
      <c r="B15" s="164" t="s">
        <v>534</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21" t="s">
        <v>533</v>
      </c>
      <c r="Q15" s="1506" t="str">
        <f t="shared" si="6"/>
        <v>商业繁华度</v>
      </c>
      <c r="R15" s="1507" t="s">
        <v>8</v>
      </c>
      <c r="S15" s="1508">
        <f t="shared" si="0"/>
        <v>100</v>
      </c>
      <c r="T15" s="1507" t="s">
        <v>8</v>
      </c>
      <c r="U15" s="1508">
        <f t="shared" si="1"/>
        <v>100</v>
      </c>
      <c r="V15" s="1507" t="s">
        <v>8</v>
      </c>
      <c r="W15" s="1508">
        <f t="shared" si="2"/>
        <v>100</v>
      </c>
      <c r="X15" s="1501"/>
      <c r="Y15" s="3521" t="s">
        <v>533</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22"/>
      <c r="Q16" s="1506"/>
      <c r="R16" s="1507"/>
      <c r="S16" s="1508"/>
      <c r="T16" s="1507"/>
      <c r="U16" s="1508"/>
      <c r="V16" s="1507"/>
      <c r="W16" s="1508"/>
      <c r="X16" s="1501"/>
      <c r="Y16" s="3522"/>
      <c r="Z16" s="1509"/>
      <c r="AA16" s="1510">
        <v>1</v>
      </c>
      <c r="AB16" s="1510">
        <v>1</v>
      </c>
      <c r="AC16" s="1510">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57">
      <c r="A23" s="526"/>
      <c r="B23" s="860" t="s">
        <v>296</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2"/>
      <c r="Q23" s="1506" t="str">
        <f>B23</f>
        <v>自然及人文环境</v>
      </c>
      <c r="R23" s="1507" t="s">
        <v>8</v>
      </c>
      <c r="S23" s="1508">
        <f>F23</f>
        <v>100</v>
      </c>
      <c r="T23" s="1507" t="s">
        <v>8</v>
      </c>
      <c r="U23" s="1508">
        <f>H23</f>
        <v>100</v>
      </c>
      <c r="V23" s="1507" t="s">
        <v>8</v>
      </c>
      <c r="W23" s="1508">
        <f>J23</f>
        <v>100</v>
      </c>
      <c r="X23" s="1501"/>
      <c r="Y23" s="3522"/>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2"/>
      <c r="Q25" s="1506" t="str">
        <f t="shared" ref="Q25:Q46" si="11">B25</f>
        <v>临街状况</v>
      </c>
      <c r="R25" s="1507" t="s">
        <v>8</v>
      </c>
      <c r="S25" s="1508">
        <f>F25</f>
        <v>100</v>
      </c>
      <c r="T25" s="1507" t="s">
        <v>8</v>
      </c>
      <c r="U25" s="1508">
        <f>H25</f>
        <v>100</v>
      </c>
      <c r="V25" s="1507" t="s">
        <v>8</v>
      </c>
      <c r="W25" s="1508">
        <f>J25</f>
        <v>100</v>
      </c>
      <c r="X25" s="1501"/>
      <c r="Y25" s="3522"/>
      <c r="Z25" s="1509" t="str">
        <f>Q25</f>
        <v>临街状况</v>
      </c>
      <c r="AA25" s="1510">
        <f t="shared" si="3"/>
        <v>1</v>
      </c>
      <c r="AB25" s="1510">
        <f t="shared" si="4"/>
        <v>1</v>
      </c>
      <c r="AC25" s="1510">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2"/>
      <c r="Q26" s="1506" t="str">
        <f t="shared" si="11"/>
        <v>平面位置/可视性</v>
      </c>
      <c r="R26" s="1507" t="s">
        <v>8</v>
      </c>
      <c r="S26" s="1508">
        <f>F26</f>
        <v>100</v>
      </c>
      <c r="T26" s="1507" t="s">
        <v>8</v>
      </c>
      <c r="U26" s="1508">
        <f>H26</f>
        <v>100</v>
      </c>
      <c r="V26" s="1507" t="s">
        <v>8</v>
      </c>
      <c r="W26" s="1508">
        <f>J26</f>
        <v>100</v>
      </c>
      <c r="X26" s="1501"/>
      <c r="Y26" s="3522"/>
      <c r="Z26" s="1509" t="str">
        <f>Q26</f>
        <v>平面位置/可视性</v>
      </c>
      <c r="AA26" s="1510">
        <f t="shared" si="3"/>
        <v>1</v>
      </c>
      <c r="AB26" s="1510">
        <f t="shared" si="4"/>
        <v>1</v>
      </c>
      <c r="AC26" s="1510">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2"/>
      <c r="Q27" s="1134" t="str">
        <f t="shared" si="11"/>
        <v>人流量</v>
      </c>
      <c r="R27" s="1502" t="s">
        <v>8</v>
      </c>
      <c r="S27" s="1503">
        <f>F27</f>
        <v>100</v>
      </c>
      <c r="T27" s="1502" t="s">
        <v>8</v>
      </c>
      <c r="U27" s="1503">
        <f>H27</f>
        <v>100</v>
      </c>
      <c r="V27" s="1502" t="s">
        <v>8</v>
      </c>
      <c r="W27" s="1503">
        <f>J27</f>
        <v>100</v>
      </c>
      <c r="X27" s="1504"/>
      <c r="Y27" s="3522"/>
      <c r="Z27" s="1133" t="str">
        <f>Q27</f>
        <v>人流量</v>
      </c>
      <c r="AA27" s="1510">
        <f>D27/F27</f>
        <v>1</v>
      </c>
      <c r="AB27" s="1510">
        <f>D27/H27</f>
        <v>1</v>
      </c>
      <c r="AC27" s="1510">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2"/>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2"/>
      <c r="Q29" s="1506">
        <f t="shared" si="11"/>
        <v>111</v>
      </c>
      <c r="R29" s="1507" t="s">
        <v>8</v>
      </c>
      <c r="S29" s="1508">
        <f t="shared" si="12"/>
        <v>100</v>
      </c>
      <c r="T29" s="1507" t="s">
        <v>8</v>
      </c>
      <c r="U29" s="1508">
        <f t="shared" si="13"/>
        <v>100</v>
      </c>
      <c r="V29" s="1507" t="s">
        <v>8</v>
      </c>
      <c r="W29" s="1508">
        <f t="shared" si="14"/>
        <v>100</v>
      </c>
      <c r="X29" s="1501"/>
      <c r="Y29" s="352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
      <c r="A32" s="2624" t="s">
        <v>2733</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3" t="s">
        <v>543</v>
      </c>
      <c r="Q32" s="1506" t="str">
        <f t="shared" si="11"/>
        <v>商业类型</v>
      </c>
      <c r="R32" s="1507" t="s">
        <v>8</v>
      </c>
      <c r="S32" s="1508">
        <f t="shared" si="12"/>
        <v>100</v>
      </c>
      <c r="T32" s="1507" t="s">
        <v>8</v>
      </c>
      <c r="U32" s="1508">
        <f t="shared" si="13"/>
        <v>100</v>
      </c>
      <c r="V32" s="1507" t="s">
        <v>8</v>
      </c>
      <c r="W32" s="1508">
        <f t="shared" si="14"/>
        <v>100</v>
      </c>
      <c r="X32" s="1501"/>
      <c r="Y32" s="3524" t="s">
        <v>543</v>
      </c>
      <c r="Z32" s="1509" t="str">
        <f t="shared" si="15"/>
        <v>商业类型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4"/>
      <c r="Q33" s="1535" t="str">
        <f t="shared" si="11"/>
        <v>项目建筑规模</v>
      </c>
      <c r="R33" s="1511" t="s">
        <v>8</v>
      </c>
      <c r="S33" s="1512" t="e">
        <f t="shared" si="12"/>
        <v>#N/A</v>
      </c>
      <c r="T33" s="1511" t="s">
        <v>8</v>
      </c>
      <c r="U33" s="1512" t="e">
        <f t="shared" si="13"/>
        <v>#N/A</v>
      </c>
      <c r="V33" s="1511" t="s">
        <v>8</v>
      </c>
      <c r="W33" s="1512" t="e">
        <f t="shared" si="14"/>
        <v>#N/A</v>
      </c>
      <c r="X33" s="1513"/>
      <c r="Y33" s="3524"/>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4"/>
      <c r="Q34" s="1506" t="str">
        <f t="shared" si="11"/>
        <v>建筑结构</v>
      </c>
      <c r="R34" s="1507" t="s">
        <v>8</v>
      </c>
      <c r="S34" s="1508">
        <f t="shared" si="12"/>
        <v>100</v>
      </c>
      <c r="T34" s="1507" t="s">
        <v>8</v>
      </c>
      <c r="U34" s="1508">
        <f t="shared" si="13"/>
        <v>100</v>
      </c>
      <c r="V34" s="1507" t="s">
        <v>8</v>
      </c>
      <c r="W34" s="1508">
        <f t="shared" si="14"/>
        <v>100</v>
      </c>
      <c r="X34" s="1501"/>
      <c r="Y34" s="3524"/>
      <c r="Z34" s="1509" t="str">
        <f t="shared" si="15"/>
        <v>建筑结构</v>
      </c>
      <c r="AA34" s="1510">
        <f t="shared" si="3"/>
        <v>1</v>
      </c>
      <c r="AB34" s="1510">
        <f t="shared" si="4"/>
        <v>1</v>
      </c>
      <c r="AC34" s="1510">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4"/>
      <c r="Q35" s="1506" t="str">
        <f t="shared" si="11"/>
        <v>公共部分装修</v>
      </c>
      <c r="R35" s="1507" t="s">
        <v>8</v>
      </c>
      <c r="S35" s="1508">
        <f t="shared" si="12"/>
        <v>100</v>
      </c>
      <c r="T35" s="1507" t="s">
        <v>8</v>
      </c>
      <c r="U35" s="1508">
        <f t="shared" si="13"/>
        <v>100</v>
      </c>
      <c r="V35" s="1507" t="s">
        <v>8</v>
      </c>
      <c r="W35" s="1508">
        <f t="shared" si="14"/>
        <v>100</v>
      </c>
      <c r="X35" s="1501"/>
      <c r="Y35" s="3524"/>
      <c r="Z35" s="1509" t="str">
        <f t="shared" si="15"/>
        <v>公共部分装修</v>
      </c>
      <c r="AA35" s="1510">
        <f t="shared" si="3"/>
        <v>1</v>
      </c>
      <c r="AB35" s="1510">
        <f t="shared" si="4"/>
        <v>1</v>
      </c>
      <c r="AC35" s="1510">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4"/>
      <c r="Q36" s="1506" t="str">
        <f t="shared" si="11"/>
        <v>成新度</v>
      </c>
      <c r="R36" s="1507" t="s">
        <v>8</v>
      </c>
      <c r="S36" s="1508" t="e">
        <f t="shared" si="12"/>
        <v>#N/A</v>
      </c>
      <c r="T36" s="1507" t="s">
        <v>8</v>
      </c>
      <c r="U36" s="1508" t="e">
        <f t="shared" si="13"/>
        <v>#N/A</v>
      </c>
      <c r="V36" s="1507" t="s">
        <v>8</v>
      </c>
      <c r="W36" s="1508" t="e">
        <f t="shared" si="14"/>
        <v>#N/A</v>
      </c>
      <c r="X36" s="1501"/>
      <c r="Y36" s="3524"/>
      <c r="Z36" s="1509" t="str">
        <f t="shared" si="15"/>
        <v>成新度</v>
      </c>
      <c r="AA36" s="1510" t="e">
        <f t="shared" si="3"/>
        <v>#N/A</v>
      </c>
      <c r="AB36" s="1510" t="e">
        <f t="shared" si="4"/>
        <v>#N/A</v>
      </c>
      <c r="AC36" s="1510" t="e">
        <f t="shared" si="5"/>
        <v>#N/A</v>
      </c>
    </row>
    <row r="37" spans="1:29" s="1203"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4"/>
      <c r="Q37" s="1134" t="str">
        <f t="shared" si="11"/>
        <v>市政基础设施</v>
      </c>
      <c r="R37" s="1502" t="s">
        <v>8</v>
      </c>
      <c r="S37" s="1503">
        <f t="shared" si="12"/>
        <v>100</v>
      </c>
      <c r="T37" s="1502" t="s">
        <v>8</v>
      </c>
      <c r="U37" s="1503">
        <f t="shared" si="13"/>
        <v>100</v>
      </c>
      <c r="V37" s="1502" t="s">
        <v>8</v>
      </c>
      <c r="W37" s="1503">
        <f t="shared" si="14"/>
        <v>100</v>
      </c>
      <c r="X37" s="1504"/>
      <c r="Y37" s="3524"/>
      <c r="Z37" s="1133" t="str">
        <f t="shared" si="15"/>
        <v>市政基础设施</v>
      </c>
      <c r="AA37" s="1505">
        <f t="shared" si="3"/>
        <v>1</v>
      </c>
      <c r="AB37" s="1505">
        <f t="shared" si="4"/>
        <v>1</v>
      </c>
      <c r="AC37" s="1505">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4" t="s">
        <v>759</v>
      </c>
      <c r="Q38" s="1506" t="str">
        <f t="shared" si="11"/>
        <v>业态</v>
      </c>
      <c r="R38" s="1507" t="s">
        <v>8</v>
      </c>
      <c r="S38" s="1508">
        <f t="shared" si="12"/>
        <v>100</v>
      </c>
      <c r="T38" s="1507" t="s">
        <v>8</v>
      </c>
      <c r="U38" s="1508">
        <f t="shared" si="13"/>
        <v>100</v>
      </c>
      <c r="V38" s="1507" t="s">
        <v>8</v>
      </c>
      <c r="W38" s="1508">
        <f t="shared" si="14"/>
        <v>100</v>
      </c>
      <c r="X38" s="1501"/>
      <c r="Y38" s="3524" t="s">
        <v>759</v>
      </c>
      <c r="Z38" s="1509" t="str">
        <f t="shared" si="15"/>
        <v>业态</v>
      </c>
      <c r="AA38" s="1510">
        <f t="shared" si="3"/>
        <v>1</v>
      </c>
      <c r="AB38" s="1510">
        <f t="shared" si="4"/>
        <v>1</v>
      </c>
      <c r="AC38" s="1510">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c r="Q39" s="1506" t="str">
        <f t="shared" si="11"/>
        <v>层高</v>
      </c>
      <c r="R39" s="1507" t="s">
        <v>8</v>
      </c>
      <c r="S39" s="1508">
        <f t="shared" si="12"/>
        <v>100</v>
      </c>
      <c r="T39" s="1507" t="s">
        <v>8</v>
      </c>
      <c r="U39" s="1508">
        <f t="shared" si="13"/>
        <v>100</v>
      </c>
      <c r="V39" s="1507" t="s">
        <v>8</v>
      </c>
      <c r="W39" s="1508">
        <f t="shared" si="14"/>
        <v>100</v>
      </c>
      <c r="X39" s="1501"/>
      <c r="Y39" s="3524"/>
      <c r="Z39" s="1509" t="str">
        <f t="shared" si="15"/>
        <v>层高</v>
      </c>
      <c r="AA39" s="1510">
        <f t="shared" si="3"/>
        <v>1</v>
      </c>
      <c r="AB39" s="1510">
        <f t="shared" si="4"/>
        <v>1</v>
      </c>
      <c r="AC39" s="1510">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4"/>
      <c r="Q40" s="1506" t="str">
        <f t="shared" si="11"/>
        <v>单套建筑面积</v>
      </c>
      <c r="R40" s="1507" t="s">
        <v>8</v>
      </c>
      <c r="S40" s="1508">
        <f t="shared" si="12"/>
        <v>100</v>
      </c>
      <c r="T40" s="1507" t="s">
        <v>8</v>
      </c>
      <c r="U40" s="1508">
        <f t="shared" si="13"/>
        <v>100</v>
      </c>
      <c r="V40" s="1507" t="s">
        <v>8</v>
      </c>
      <c r="W40" s="1508">
        <f t="shared" si="14"/>
        <v>100</v>
      </c>
      <c r="X40" s="1501"/>
      <c r="Y40" s="3524"/>
      <c r="Z40" s="1509" t="str">
        <f t="shared" si="15"/>
        <v>单套建筑面积</v>
      </c>
      <c r="AA40" s="1510">
        <f t="shared" si="3"/>
        <v>1</v>
      </c>
      <c r="AB40" s="1510">
        <f t="shared" si="4"/>
        <v>1</v>
      </c>
      <c r="AC40" s="1510">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4"/>
      <c r="Q41" s="1535" t="str">
        <f t="shared" si="11"/>
        <v>进深比</v>
      </c>
      <c r="R41" s="1511" t="s">
        <v>8</v>
      </c>
      <c r="S41" s="1512">
        <f t="shared" si="12"/>
        <v>100</v>
      </c>
      <c r="T41" s="1511" t="s">
        <v>8</v>
      </c>
      <c r="U41" s="1512">
        <f t="shared" si="13"/>
        <v>100</v>
      </c>
      <c r="V41" s="1511" t="s">
        <v>8</v>
      </c>
      <c r="W41" s="1512">
        <f t="shared" si="14"/>
        <v>100</v>
      </c>
      <c r="X41" s="1513"/>
      <c r="Y41" s="3524"/>
      <c r="Z41" s="1514" t="str">
        <f t="shared" si="15"/>
        <v>进深比</v>
      </c>
      <c r="AA41" s="1510">
        <f t="shared" si="3"/>
        <v>1</v>
      </c>
      <c r="AB41" s="1510">
        <f t="shared" si="4"/>
        <v>1</v>
      </c>
      <c r="AC41" s="1510">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4"/>
      <c r="Q42" s="1506" t="str">
        <f t="shared" si="11"/>
        <v>内部装修</v>
      </c>
      <c r="R42" s="1507" t="s">
        <v>8</v>
      </c>
      <c r="S42" s="1508">
        <f t="shared" si="12"/>
        <v>100</v>
      </c>
      <c r="T42" s="1507" t="s">
        <v>8</v>
      </c>
      <c r="U42" s="1508">
        <f t="shared" si="13"/>
        <v>100</v>
      </c>
      <c r="V42" s="1507" t="s">
        <v>8</v>
      </c>
      <c r="W42" s="1508">
        <f t="shared" si="14"/>
        <v>100</v>
      </c>
      <c r="X42" s="1501"/>
      <c r="Y42" s="3524"/>
      <c r="Z42" s="1509" t="str">
        <f t="shared" si="15"/>
        <v>内部装修</v>
      </c>
      <c r="AA42" s="1510">
        <f t="shared" si="3"/>
        <v>1</v>
      </c>
      <c r="AB42" s="1510">
        <f t="shared" si="4"/>
        <v>1</v>
      </c>
      <c r="AC42" s="1510">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4"/>
      <c r="Q43" s="1506" t="str">
        <f t="shared" si="11"/>
        <v>内部装修维护情况</v>
      </c>
      <c r="R43" s="1507" t="s">
        <v>8</v>
      </c>
      <c r="S43" s="1508">
        <f t="shared" si="12"/>
        <v>100</v>
      </c>
      <c r="T43" s="1507" t="s">
        <v>8</v>
      </c>
      <c r="U43" s="1508">
        <f t="shared" si="13"/>
        <v>100</v>
      </c>
      <c r="V43" s="1507" t="s">
        <v>8</v>
      </c>
      <c r="W43" s="1508">
        <f t="shared" si="14"/>
        <v>100</v>
      </c>
      <c r="X43" s="1501"/>
      <c r="Y43" s="3524"/>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4"/>
      <c r="Q44" s="1134">
        <f t="shared" si="11"/>
        <v>111</v>
      </c>
      <c r="R44" s="1502" t="s">
        <v>8</v>
      </c>
      <c r="S44" s="1503">
        <f t="shared" si="12"/>
        <v>100</v>
      </c>
      <c r="T44" s="1502" t="s">
        <v>8</v>
      </c>
      <c r="U44" s="1503">
        <f t="shared" si="13"/>
        <v>100</v>
      </c>
      <c r="V44" s="1502" t="s">
        <v>8</v>
      </c>
      <c r="W44" s="1503">
        <f t="shared" si="14"/>
        <v>100</v>
      </c>
      <c r="X44" s="1504"/>
      <c r="Y44" s="3524"/>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4"/>
      <c r="Q45" s="1506">
        <f t="shared" si="11"/>
        <v>111</v>
      </c>
      <c r="R45" s="1507" t="s">
        <v>8</v>
      </c>
      <c r="S45" s="1508">
        <f t="shared" si="12"/>
        <v>100</v>
      </c>
      <c r="T45" s="1507" t="s">
        <v>8</v>
      </c>
      <c r="U45" s="1508">
        <f t="shared" si="13"/>
        <v>100</v>
      </c>
      <c r="V45" s="1507" t="s">
        <v>8</v>
      </c>
      <c r="W45" s="1508">
        <f t="shared" si="14"/>
        <v>100</v>
      </c>
      <c r="X45" s="1501"/>
      <c r="Y45" s="3524"/>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6"/>
      <c r="Q46" s="1506">
        <f t="shared" si="11"/>
        <v>111</v>
      </c>
      <c r="R46" s="1507" t="s">
        <v>8</v>
      </c>
      <c r="S46" s="1508">
        <f t="shared" si="12"/>
        <v>100</v>
      </c>
      <c r="T46" s="1507" t="s">
        <v>8</v>
      </c>
      <c r="U46" s="1508">
        <f t="shared" si="13"/>
        <v>100</v>
      </c>
      <c r="V46" s="1507" t="s">
        <v>8</v>
      </c>
      <c r="W46" s="1508">
        <f t="shared" si="14"/>
        <v>100</v>
      </c>
      <c r="X46" s="1501"/>
      <c r="Y46" s="3606"/>
      <c r="Z46" s="1509">
        <f t="shared" si="15"/>
        <v>111</v>
      </c>
      <c r="AA46" s="1510">
        <f t="shared" si="3"/>
        <v>1</v>
      </c>
      <c r="AB46" s="1510">
        <f t="shared" si="4"/>
        <v>1</v>
      </c>
      <c r="AC46" s="1510">
        <f t="shared" si="5"/>
        <v>1</v>
      </c>
    </row>
    <row r="47" spans="1:29" ht="15">
      <c r="A47" s="601" t="s">
        <v>729</v>
      </c>
      <c r="B47" s="876"/>
      <c r="C47" s="2470" t="s">
        <v>1</v>
      </c>
      <c r="D47" s="2471"/>
      <c r="E47" s="2472"/>
      <c r="F47" s="2473"/>
      <c r="G47" s="2474"/>
      <c r="H47" s="2475"/>
      <c r="I47" s="2472"/>
      <c r="J47" s="2475"/>
      <c r="K47" s="1540"/>
      <c r="L47" s="2026"/>
      <c r="M47" s="2027"/>
      <c r="N47" s="2016"/>
      <c r="O47" s="2027"/>
      <c r="P47" s="3486" t="str">
        <f>A47</f>
        <v>成交单价（元/平方米）</v>
      </c>
      <c r="Q47" s="3486"/>
      <c r="R47" s="3605">
        <f>E47</f>
        <v>0</v>
      </c>
      <c r="S47" s="3605"/>
      <c r="T47" s="3605">
        <f>G47</f>
        <v>0</v>
      </c>
      <c r="U47" s="3605"/>
      <c r="V47" s="3605">
        <f>I47</f>
        <v>0</v>
      </c>
      <c r="W47" s="3605"/>
      <c r="X47" s="1496"/>
      <c r="Y47" s="1515"/>
      <c r="Z47" s="1496"/>
      <c r="AA47" s="1496"/>
      <c r="AB47" s="1496"/>
      <c r="AC47" s="1496"/>
    </row>
    <row r="48" spans="1:29" ht="15.75" thickBot="1">
      <c r="A48" s="609" t="s">
        <v>2738</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86" t="str">
        <f>A48</f>
        <v>比较价格（元/平方米）</v>
      </c>
      <c r="Q48" s="3486"/>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1496"/>
      <c r="Y48" s="1496"/>
      <c r="Z48" s="1496"/>
      <c r="AA48" s="1496"/>
      <c r="AB48" s="1496"/>
      <c r="AC48" s="1496"/>
    </row>
    <row r="49" spans="1:29" ht="15.75" thickBot="1">
      <c r="A49" s="613" t="s">
        <v>2900</v>
      </c>
      <c r="B49" s="614"/>
      <c r="C49" s="2478" t="e">
        <f>R49</f>
        <v>#DIV/0!</v>
      </c>
      <c r="D49" s="2478"/>
      <c r="E49" s="2478"/>
      <c r="F49" s="2478"/>
      <c r="G49" s="2478"/>
      <c r="H49" s="2478"/>
      <c r="I49" s="2478"/>
      <c r="J49" s="2478"/>
      <c r="K49" s="1541"/>
      <c r="L49" s="2026"/>
      <c r="M49" s="2027"/>
      <c r="N49" s="2016"/>
      <c r="O49" s="2027"/>
      <c r="P49" s="3483" t="str">
        <f>A49</f>
        <v>估价对象XX用房的比较价格（楼面单价，元/平方米）</v>
      </c>
      <c r="Q49" s="3484"/>
      <c r="R49" s="3604" t="e">
        <f>IF(F1="售价",ROUND(IF(D48="简单平均",AVERAGE(R48:V48),R48*F48+T48*H48+V48*J48),0),ROUND(IF(D48="简单平均",AVERAGE(R48:V48),R48*F48+T48*H48+V48*J48),1))</f>
        <v>#DIV/0!</v>
      </c>
      <c r="S49" s="3604"/>
      <c r="T49" s="3604"/>
      <c r="U49" s="3604"/>
      <c r="V49" s="3604"/>
      <c r="W49" s="360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1" t="s">
        <v>714</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514</v>
      </c>
      <c r="B4" s="507"/>
      <c r="C4" s="3492" t="s">
        <v>515</v>
      </c>
      <c r="D4" s="3493"/>
      <c r="E4" s="3527" t="s">
        <v>516</v>
      </c>
      <c r="F4" s="3528"/>
      <c r="G4" s="3492" t="s">
        <v>517</v>
      </c>
      <c r="H4" s="3493"/>
      <c r="I4" s="3492" t="s">
        <v>518</v>
      </c>
      <c r="J4" s="3493"/>
      <c r="K4" s="508" t="s">
        <v>519</v>
      </c>
      <c r="L4" s="2015"/>
      <c r="M4" s="2016"/>
      <c r="N4" s="2016"/>
      <c r="O4" s="2016"/>
      <c r="P4" s="3610" t="s">
        <v>520</v>
      </c>
      <c r="Q4" s="3495"/>
      <c r="R4" s="3500" t="s">
        <v>516</v>
      </c>
      <c r="S4" s="3501"/>
      <c r="T4" s="3500" t="s">
        <v>517</v>
      </c>
      <c r="U4" s="3501"/>
      <c r="V4" s="3487" t="s">
        <v>518</v>
      </c>
      <c r="W4" s="3487"/>
      <c r="X4" s="1501"/>
      <c r="Y4" s="3500" t="s">
        <v>520</v>
      </c>
      <c r="Z4" s="3501"/>
      <c r="AA4" s="3489" t="s">
        <v>516</v>
      </c>
      <c r="AB4" s="3489" t="s">
        <v>517</v>
      </c>
      <c r="AC4" s="3489" t="s">
        <v>518</v>
      </c>
    </row>
    <row r="5" spans="1:29" ht="15">
      <c r="A5" s="509"/>
      <c r="B5" s="510"/>
      <c r="C5" s="3508" t="s">
        <v>2894</v>
      </c>
      <c r="D5" s="3509"/>
      <c r="E5" s="3529" t="s">
        <v>2895</v>
      </c>
      <c r="F5" s="3530"/>
      <c r="G5" s="3508" t="s">
        <v>2896</v>
      </c>
      <c r="H5" s="3509"/>
      <c r="I5" s="3508" t="s">
        <v>2897</v>
      </c>
      <c r="J5" s="3509"/>
      <c r="K5" s="508"/>
      <c r="L5" s="2015"/>
      <c r="M5" s="2016"/>
      <c r="N5" s="2016"/>
      <c r="O5" s="2016"/>
      <c r="P5" s="3611"/>
      <c r="Q5" s="3497"/>
      <c r="R5" s="3502"/>
      <c r="S5" s="3503"/>
      <c r="T5" s="3502"/>
      <c r="U5" s="3503"/>
      <c r="V5" s="3487"/>
      <c r="W5" s="3487"/>
      <c r="X5" s="1501"/>
      <c r="Y5" s="3502"/>
      <c r="Z5" s="3503"/>
      <c r="AA5" s="3490"/>
      <c r="AB5" s="3490"/>
      <c r="AC5" s="3490"/>
    </row>
    <row r="6" spans="1:29" ht="15.75" thickBot="1">
      <c r="A6" s="511"/>
      <c r="B6" s="512"/>
      <c r="C6" s="3506" t="s">
        <v>2898</v>
      </c>
      <c r="D6" s="3507"/>
      <c r="E6" s="3525" t="s">
        <v>2898</v>
      </c>
      <c r="F6" s="3526"/>
      <c r="G6" s="3506" t="s">
        <v>2898</v>
      </c>
      <c r="H6" s="3507"/>
      <c r="I6" s="3506" t="s">
        <v>2898</v>
      </c>
      <c r="J6" s="3507"/>
      <c r="K6" s="508" t="s">
        <v>521</v>
      </c>
      <c r="L6" s="2015"/>
      <c r="M6" s="2016"/>
      <c r="N6" s="2016"/>
      <c r="O6" s="2016"/>
      <c r="P6" s="3612"/>
      <c r="Q6" s="3499"/>
      <c r="R6" s="3502"/>
      <c r="S6" s="3503"/>
      <c r="T6" s="3504"/>
      <c r="U6" s="3505"/>
      <c r="V6" s="3487"/>
      <c r="W6" s="3487"/>
      <c r="X6" s="1501"/>
      <c r="Y6" s="3504"/>
      <c r="Z6" s="3505"/>
      <c r="AA6" s="3491"/>
      <c r="AB6" s="3491"/>
      <c r="AC6" s="3491"/>
    </row>
    <row r="7" spans="1:29" s="1203" customFormat="1" ht="15.75" thickBot="1">
      <c r="A7" s="2629"/>
      <c r="B7" s="2636" t="s">
        <v>522</v>
      </c>
      <c r="C7" s="513">
        <f>'数据-取费表'!B2</f>
        <v>44300</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0" t="s">
        <v>523</v>
      </c>
      <c r="Q7" s="3520"/>
      <c r="R7" s="1502" t="s">
        <v>8</v>
      </c>
      <c r="S7" s="1503">
        <f t="shared" ref="S7:S15" si="0">F7</f>
        <v>0</v>
      </c>
      <c r="T7" s="1502" t="s">
        <v>8</v>
      </c>
      <c r="U7" s="1503">
        <f t="shared" ref="U7:U15" si="1">H7</f>
        <v>0</v>
      </c>
      <c r="V7" s="1502" t="s">
        <v>8</v>
      </c>
      <c r="W7" s="1503">
        <f t="shared" ref="W7:W15" si="2">J7</f>
        <v>0</v>
      </c>
      <c r="X7" s="1504"/>
      <c r="Y7" s="3518" t="s">
        <v>523</v>
      </c>
      <c r="Z7" s="3519"/>
      <c r="AA7" s="1505" t="e">
        <f>D7/F7</f>
        <v>#DIV/0!</v>
      </c>
      <c r="AB7" s="1505" t="e">
        <f>D7/H7</f>
        <v>#DIV/0!</v>
      </c>
      <c r="AC7" s="1505"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0" t="s">
        <v>526</v>
      </c>
      <c r="Q8" s="3519"/>
      <c r="R8" s="1502" t="s">
        <v>8</v>
      </c>
      <c r="S8" s="1503">
        <f t="shared" si="0"/>
        <v>0</v>
      </c>
      <c r="T8" s="1502" t="s">
        <v>8</v>
      </c>
      <c r="U8" s="1503">
        <f t="shared" si="1"/>
        <v>0</v>
      </c>
      <c r="V8" s="1502" t="s">
        <v>8</v>
      </c>
      <c r="W8" s="1503">
        <f t="shared" si="2"/>
        <v>0</v>
      </c>
      <c r="X8" s="1504"/>
      <c r="Y8" s="3518" t="s">
        <v>526</v>
      </c>
      <c r="Z8" s="3519"/>
      <c r="AA8" s="1505" t="e">
        <f t="shared" ref="AA8:AA47" si="3">D8/F8</f>
        <v>#DIV/0!</v>
      </c>
      <c r="AB8" s="1505" t="e">
        <f t="shared" ref="AB8:AB47" si="4">D8/H8</f>
        <v>#DIV/0!</v>
      </c>
      <c r="AC8" s="1505" t="e">
        <f t="shared" ref="AC8:AC47" si="5">D8/J8</f>
        <v>#DIV/0!</v>
      </c>
    </row>
    <row r="9" spans="1:29" s="1203" customFormat="1" ht="15">
      <c r="A9" s="2631"/>
      <c r="B9" s="2638"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6" t="s">
        <v>528</v>
      </c>
      <c r="Q9" s="1134" t="str">
        <f t="shared" ref="Q9:Q15" si="6">B9</f>
        <v>用途</v>
      </c>
      <c r="R9" s="1502" t="s">
        <v>8</v>
      </c>
      <c r="S9" s="1503">
        <f t="shared" si="0"/>
        <v>100</v>
      </c>
      <c r="T9" s="1502" t="s">
        <v>8</v>
      </c>
      <c r="U9" s="1503">
        <f t="shared" si="1"/>
        <v>100</v>
      </c>
      <c r="V9" s="1502" t="s">
        <v>8</v>
      </c>
      <c r="W9" s="1503">
        <f t="shared" si="2"/>
        <v>100</v>
      </c>
      <c r="X9" s="1504"/>
      <c r="Y9" s="3432"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6"/>
      <c r="Q11" s="1134" t="str">
        <f t="shared" si="6"/>
        <v>容积率</v>
      </c>
      <c r="R11" s="1502" t="s">
        <v>8</v>
      </c>
      <c r="S11" s="1503" t="e">
        <f t="shared" si="0"/>
        <v>#N/A</v>
      </c>
      <c r="T11" s="1502" t="s">
        <v>8</v>
      </c>
      <c r="U11" s="1503" t="e">
        <f t="shared" si="1"/>
        <v>#N/A</v>
      </c>
      <c r="V11" s="1502" t="s">
        <v>8</v>
      </c>
      <c r="W11" s="1503" t="e">
        <f t="shared" si="2"/>
        <v>#N/A</v>
      </c>
      <c r="X11" s="1504"/>
      <c r="Y11" s="343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6"/>
      <c r="Q12" s="1134">
        <f t="shared" si="6"/>
        <v>111</v>
      </c>
      <c r="R12" s="1502" t="s">
        <v>8</v>
      </c>
      <c r="S12" s="1503">
        <f t="shared" si="0"/>
        <v>100</v>
      </c>
      <c r="T12" s="1502" t="s">
        <v>8</v>
      </c>
      <c r="U12" s="1503">
        <f t="shared" si="1"/>
        <v>100</v>
      </c>
      <c r="V12" s="1502" t="s">
        <v>8</v>
      </c>
      <c r="W12" s="1503">
        <f t="shared" si="2"/>
        <v>100</v>
      </c>
      <c r="X12" s="1504"/>
      <c r="Y12" s="3432"/>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6"/>
      <c r="Q13" s="1134">
        <f t="shared" si="6"/>
        <v>111</v>
      </c>
      <c r="R13" s="1502" t="s">
        <v>8</v>
      </c>
      <c r="S13" s="1503">
        <f t="shared" si="0"/>
        <v>100</v>
      </c>
      <c r="T13" s="1502" t="s">
        <v>8</v>
      </c>
      <c r="U13" s="1503">
        <f t="shared" si="1"/>
        <v>100</v>
      </c>
      <c r="V13" s="1502" t="s">
        <v>8</v>
      </c>
      <c r="W13" s="1503">
        <f t="shared" si="2"/>
        <v>100</v>
      </c>
      <c r="X13" s="1504"/>
      <c r="Y13" s="3432"/>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6"/>
      <c r="Q14" s="1134">
        <f t="shared" si="6"/>
        <v>111</v>
      </c>
      <c r="R14" s="1502" t="s">
        <v>8</v>
      </c>
      <c r="S14" s="1503">
        <f t="shared" si="0"/>
        <v>100</v>
      </c>
      <c r="T14" s="1502" t="s">
        <v>8</v>
      </c>
      <c r="U14" s="1503">
        <f t="shared" si="1"/>
        <v>100</v>
      </c>
      <c r="V14" s="1502" t="s">
        <v>8</v>
      </c>
      <c r="W14" s="1503">
        <f t="shared" si="2"/>
        <v>100</v>
      </c>
      <c r="X14" s="1504"/>
      <c r="Y14" s="3432"/>
      <c r="Z14" s="1133">
        <f t="shared" si="7"/>
        <v>111</v>
      </c>
      <c r="AA14" s="1505">
        <f t="shared" si="3"/>
        <v>1</v>
      </c>
      <c r="AB14" s="1505">
        <f t="shared" si="4"/>
        <v>1</v>
      </c>
      <c r="AC14" s="1505">
        <f t="shared" si="5"/>
        <v>1</v>
      </c>
    </row>
    <row r="15" spans="1:29" ht="71.25">
      <c r="A15" s="2627" t="s">
        <v>2732</v>
      </c>
      <c r="B15" s="541" t="s">
        <v>535</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21" t="s">
        <v>533</v>
      </c>
      <c r="Q15" s="1506" t="str">
        <f t="shared" si="6"/>
        <v>办公集聚程度</v>
      </c>
      <c r="R15" s="1507" t="s">
        <v>8</v>
      </c>
      <c r="S15" s="1508">
        <f t="shared" si="0"/>
        <v>100</v>
      </c>
      <c r="T15" s="1507" t="s">
        <v>8</v>
      </c>
      <c r="U15" s="1508">
        <f t="shared" si="1"/>
        <v>100</v>
      </c>
      <c r="V15" s="1507" t="s">
        <v>8</v>
      </c>
      <c r="W15" s="1508">
        <f t="shared" si="2"/>
        <v>100</v>
      </c>
      <c r="X15" s="1501"/>
      <c r="Y15" s="3521" t="s">
        <v>533</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22"/>
      <c r="Q16" s="1506"/>
      <c r="R16" s="1507"/>
      <c r="S16" s="1508"/>
      <c r="T16" s="1507"/>
      <c r="U16" s="1508"/>
      <c r="V16" s="1507"/>
      <c r="W16" s="1508"/>
      <c r="X16" s="1501"/>
      <c r="Y16" s="3522"/>
      <c r="Z16" s="1509"/>
      <c r="AA16" s="1510">
        <v>1</v>
      </c>
      <c r="AB16" s="1510">
        <v>1</v>
      </c>
      <c r="AC16" s="1510">
        <v>1</v>
      </c>
    </row>
    <row r="17" spans="1:29" ht="85.5">
      <c r="A17" s="526"/>
      <c r="B17" s="554" t="s">
        <v>295</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22"/>
      <c r="Q18" s="1506"/>
      <c r="R18" s="1507"/>
      <c r="S18" s="1508"/>
      <c r="T18" s="1507"/>
      <c r="U18" s="1508"/>
      <c r="V18" s="1507"/>
      <c r="W18" s="1508"/>
      <c r="X18" s="1501"/>
      <c r="Y18" s="3522"/>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22"/>
      <c r="Q20" s="1506"/>
      <c r="R20" s="1507"/>
      <c r="S20" s="1508"/>
      <c r="T20" s="1507"/>
      <c r="U20" s="1508"/>
      <c r="V20" s="1507"/>
      <c r="W20" s="1508"/>
      <c r="X20" s="1501"/>
      <c r="Y20" s="3522"/>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22"/>
      <c r="Q22" s="2429"/>
      <c r="R22" s="1507"/>
      <c r="S22" s="1508"/>
      <c r="T22" s="1507"/>
      <c r="U22" s="1508"/>
      <c r="V22" s="1507"/>
      <c r="W22" s="1508"/>
      <c r="X22" s="2431"/>
      <c r="Y22" s="3522"/>
      <c r="Z22" s="2430"/>
      <c r="AA22" s="1510">
        <v>1</v>
      </c>
      <c r="AB22" s="1510">
        <v>1</v>
      </c>
      <c r="AC22" s="1510">
        <v>1</v>
      </c>
    </row>
    <row r="23" spans="1:29" ht="57">
      <c r="A23" s="526"/>
      <c r="B23" s="554" t="s">
        <v>771</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22"/>
      <c r="Q24" s="1506"/>
      <c r="R24" s="1507"/>
      <c r="S24" s="1508"/>
      <c r="T24" s="1507"/>
      <c r="U24" s="1508"/>
      <c r="V24" s="1507"/>
      <c r="W24" s="1508"/>
      <c r="X24" s="1501"/>
      <c r="Y24" s="3522"/>
      <c r="Z24" s="1509"/>
      <c r="AA24" s="1510">
        <v>1</v>
      </c>
      <c r="AB24" s="1510">
        <v>1</v>
      </c>
      <c r="AC24" s="1510">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2"/>
      <c r="Q25" s="1506" t="str">
        <f>B25</f>
        <v>毗邻道路的类型与等级</v>
      </c>
      <c r="R25" s="1507" t="s">
        <v>8</v>
      </c>
      <c r="S25" s="1508">
        <f>F25</f>
        <v>100</v>
      </c>
      <c r="T25" s="1507" t="s">
        <v>8</v>
      </c>
      <c r="U25" s="1508">
        <f>H25</f>
        <v>100</v>
      </c>
      <c r="V25" s="1507" t="s">
        <v>8</v>
      </c>
      <c r="W25" s="1508">
        <f>J25</f>
        <v>100</v>
      </c>
      <c r="X25" s="1501"/>
      <c r="Y25" s="3522"/>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22"/>
      <c r="Q26" s="1506"/>
      <c r="R26" s="1507"/>
      <c r="S26" s="1508"/>
      <c r="T26" s="1507"/>
      <c r="U26" s="1508"/>
      <c r="V26" s="1507"/>
      <c r="W26" s="1508"/>
      <c r="X26" s="1501"/>
      <c r="Y26" s="3522"/>
      <c r="Z26" s="1509"/>
      <c r="AA26" s="1510">
        <v>1</v>
      </c>
      <c r="AB26" s="1510">
        <v>1</v>
      </c>
      <c r="AC26" s="1510">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2"/>
      <c r="Q27" s="1506" t="str">
        <f t="shared" ref="Q27:Q47" si="11">B27</f>
        <v>楼层</v>
      </c>
      <c r="R27" s="1507" t="s">
        <v>8</v>
      </c>
      <c r="S27" s="1508">
        <f>F27</f>
        <v>100</v>
      </c>
      <c r="T27" s="1507" t="s">
        <v>8</v>
      </c>
      <c r="U27" s="1508">
        <f>H27</f>
        <v>100</v>
      </c>
      <c r="V27" s="1507" t="s">
        <v>8</v>
      </c>
      <c r="W27" s="1508">
        <f>J27</f>
        <v>100</v>
      </c>
      <c r="X27" s="1501"/>
      <c r="Y27" s="3522"/>
      <c r="Z27" s="1509" t="str">
        <f>Q27</f>
        <v>楼层</v>
      </c>
      <c r="AA27" s="1510">
        <f t="shared" si="3"/>
        <v>1</v>
      </c>
      <c r="AB27" s="1510">
        <f t="shared" si="4"/>
        <v>1</v>
      </c>
      <c r="AC27" s="1510">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2"/>
      <c r="Q28" s="1134" t="str">
        <f t="shared" si="11"/>
        <v>朝向</v>
      </c>
      <c r="R28" s="1502" t="s">
        <v>8</v>
      </c>
      <c r="S28" s="1503">
        <f>F28</f>
        <v>100</v>
      </c>
      <c r="T28" s="1502" t="s">
        <v>8</v>
      </c>
      <c r="U28" s="1503">
        <f>H28</f>
        <v>100</v>
      </c>
      <c r="V28" s="1502" t="s">
        <v>8</v>
      </c>
      <c r="W28" s="1503">
        <f>J28</f>
        <v>100</v>
      </c>
      <c r="X28" s="1504"/>
      <c r="Y28" s="3522"/>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2"/>
      <c r="Q29" s="1506">
        <f t="shared" si="11"/>
        <v>111</v>
      </c>
      <c r="R29" s="1507" t="s">
        <v>8</v>
      </c>
      <c r="S29" s="1508">
        <f t="shared" ref="S29:S47" si="12">F29</f>
        <v>100</v>
      </c>
      <c r="T29" s="1507" t="s">
        <v>8</v>
      </c>
      <c r="U29" s="1508">
        <f t="shared" ref="U29:U47" si="13">H29</f>
        <v>100</v>
      </c>
      <c r="V29" s="1507" t="s">
        <v>8</v>
      </c>
      <c r="W29" s="1508">
        <f t="shared" ref="W29:W47" si="14">J29</f>
        <v>100</v>
      </c>
      <c r="X29" s="1501"/>
      <c r="Y29" s="3522"/>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2"/>
      <c r="Q32" s="1506">
        <f t="shared" si="11"/>
        <v>111</v>
      </c>
      <c r="R32" s="1507" t="s">
        <v>8</v>
      </c>
      <c r="S32" s="1508">
        <f t="shared" si="12"/>
        <v>100</v>
      </c>
      <c r="T32" s="1507" t="s">
        <v>8</v>
      </c>
      <c r="U32" s="1508">
        <f t="shared" si="13"/>
        <v>100</v>
      </c>
      <c r="V32" s="1507" t="s">
        <v>8</v>
      </c>
      <c r="W32" s="1508">
        <f t="shared" si="14"/>
        <v>100</v>
      </c>
      <c r="X32" s="1501"/>
      <c r="Y32" s="3522"/>
      <c r="Z32" s="1509">
        <f t="shared" si="15"/>
        <v>111</v>
      </c>
      <c r="AA32" s="1510">
        <f t="shared" si="3"/>
        <v>1</v>
      </c>
      <c r="AB32" s="1510">
        <f t="shared" si="4"/>
        <v>1</v>
      </c>
      <c r="AC32" s="1510">
        <f t="shared" si="5"/>
        <v>1</v>
      </c>
    </row>
    <row r="33" spans="1:29" ht="15">
      <c r="A33" s="2624" t="s">
        <v>2733</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3" t="s">
        <v>543</v>
      </c>
      <c r="Q33" s="1506" t="str">
        <f t="shared" si="11"/>
        <v>建筑类型</v>
      </c>
      <c r="R33" s="1507" t="s">
        <v>8</v>
      </c>
      <c r="S33" s="1508">
        <f t="shared" si="12"/>
        <v>100</v>
      </c>
      <c r="T33" s="1507" t="s">
        <v>8</v>
      </c>
      <c r="U33" s="1508">
        <f t="shared" si="13"/>
        <v>100</v>
      </c>
      <c r="V33" s="1507" t="s">
        <v>8</v>
      </c>
      <c r="W33" s="1508">
        <f t="shared" si="14"/>
        <v>100</v>
      </c>
      <c r="X33" s="1501"/>
      <c r="Y33" s="3524" t="s">
        <v>543</v>
      </c>
      <c r="Z33" s="1509" t="str">
        <f t="shared" si="15"/>
        <v>建筑类型</v>
      </c>
      <c r="AA33" s="1510">
        <f t="shared" si="3"/>
        <v>1</v>
      </c>
      <c r="AB33" s="1510">
        <f t="shared" si="4"/>
        <v>1</v>
      </c>
      <c r="AC33" s="1510">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4"/>
      <c r="Q34" s="1535" t="str">
        <f t="shared" si="11"/>
        <v>项目建筑规模</v>
      </c>
      <c r="R34" s="1511" t="s">
        <v>8</v>
      </c>
      <c r="S34" s="1512" t="e">
        <f t="shared" si="12"/>
        <v>#N/A</v>
      </c>
      <c r="T34" s="1511" t="s">
        <v>8</v>
      </c>
      <c r="U34" s="1512" t="e">
        <f t="shared" si="13"/>
        <v>#N/A</v>
      </c>
      <c r="V34" s="1511" t="s">
        <v>8</v>
      </c>
      <c r="W34" s="1512" t="e">
        <f t="shared" si="14"/>
        <v>#N/A</v>
      </c>
      <c r="X34" s="1513"/>
      <c r="Y34" s="3524"/>
      <c r="Z34" s="1514" t="str">
        <f t="shared" si="15"/>
        <v>项目建筑规模</v>
      </c>
      <c r="AA34" s="1510" t="e">
        <f t="shared" si="3"/>
        <v>#N/A</v>
      </c>
      <c r="AB34" s="1510" t="e">
        <f t="shared" si="4"/>
        <v>#N/A</v>
      </c>
      <c r="AC34" s="1510"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4"/>
      <c r="Q35" s="1506" t="str">
        <f t="shared" si="11"/>
        <v>建筑结构</v>
      </c>
      <c r="R35" s="1507" t="s">
        <v>8</v>
      </c>
      <c r="S35" s="1508">
        <f t="shared" si="12"/>
        <v>100</v>
      </c>
      <c r="T35" s="1507" t="s">
        <v>8</v>
      </c>
      <c r="U35" s="1508">
        <f t="shared" si="13"/>
        <v>100</v>
      </c>
      <c r="V35" s="1507" t="s">
        <v>8</v>
      </c>
      <c r="W35" s="1508">
        <f t="shared" si="14"/>
        <v>100</v>
      </c>
      <c r="X35" s="1501"/>
      <c r="Y35" s="3524"/>
      <c r="Z35" s="1509" t="str">
        <f t="shared" si="15"/>
        <v>建筑结构</v>
      </c>
      <c r="AA35" s="1510">
        <f t="shared" si="3"/>
        <v>1</v>
      </c>
      <c r="AB35" s="1510">
        <f t="shared" si="4"/>
        <v>1</v>
      </c>
      <c r="AC35" s="1510">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4"/>
      <c r="Q36" s="1506" t="str">
        <f t="shared" si="11"/>
        <v>公共部分装修</v>
      </c>
      <c r="R36" s="1507" t="s">
        <v>8</v>
      </c>
      <c r="S36" s="1508">
        <f t="shared" si="12"/>
        <v>100</v>
      </c>
      <c r="T36" s="1507" t="s">
        <v>8</v>
      </c>
      <c r="U36" s="1508">
        <f t="shared" si="13"/>
        <v>100</v>
      </c>
      <c r="V36" s="1507" t="s">
        <v>8</v>
      </c>
      <c r="W36" s="1508">
        <f t="shared" si="14"/>
        <v>100</v>
      </c>
      <c r="X36" s="1501"/>
      <c r="Y36" s="3524"/>
      <c r="Z36" s="1509" t="str">
        <f t="shared" si="15"/>
        <v>公共部分装修</v>
      </c>
      <c r="AA36" s="1510">
        <f t="shared" si="3"/>
        <v>1</v>
      </c>
      <c r="AB36" s="1510">
        <f t="shared" si="4"/>
        <v>1</v>
      </c>
      <c r="AC36" s="1510">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4"/>
      <c r="Q37" s="1506" t="str">
        <f t="shared" si="11"/>
        <v>成新度</v>
      </c>
      <c r="R37" s="1507" t="s">
        <v>8</v>
      </c>
      <c r="S37" s="1508" t="e">
        <f t="shared" si="12"/>
        <v>#N/A</v>
      </c>
      <c r="T37" s="1507" t="s">
        <v>8</v>
      </c>
      <c r="U37" s="1508" t="e">
        <f t="shared" si="13"/>
        <v>#N/A</v>
      </c>
      <c r="V37" s="1507" t="s">
        <v>8</v>
      </c>
      <c r="W37" s="1508" t="e">
        <f t="shared" si="14"/>
        <v>#N/A</v>
      </c>
      <c r="X37" s="1501"/>
      <c r="Y37" s="3524"/>
      <c r="Z37" s="1509" t="str">
        <f t="shared" si="15"/>
        <v>成新度</v>
      </c>
      <c r="AA37" s="1510" t="e">
        <f t="shared" si="3"/>
        <v>#N/A</v>
      </c>
      <c r="AB37" s="1510" t="e">
        <f t="shared" si="4"/>
        <v>#N/A</v>
      </c>
      <c r="AC37" s="1510"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4"/>
      <c r="Q38" s="1134" t="str">
        <f t="shared" si="11"/>
        <v>写字楼等级</v>
      </c>
      <c r="R38" s="1502" t="s">
        <v>8</v>
      </c>
      <c r="S38" s="1503">
        <f t="shared" si="12"/>
        <v>100</v>
      </c>
      <c r="T38" s="1502" t="s">
        <v>8</v>
      </c>
      <c r="U38" s="1503">
        <f t="shared" si="13"/>
        <v>100</v>
      </c>
      <c r="V38" s="1502" t="s">
        <v>8</v>
      </c>
      <c r="W38" s="1503">
        <f t="shared" si="14"/>
        <v>100</v>
      </c>
      <c r="X38" s="1504"/>
      <c r="Y38" s="3524"/>
      <c r="Z38" s="1133" t="str">
        <f t="shared" si="15"/>
        <v>写字楼等级</v>
      </c>
      <c r="AA38" s="1505">
        <f t="shared" si="3"/>
        <v>1</v>
      </c>
      <c r="AB38" s="1505">
        <f t="shared" si="4"/>
        <v>1</v>
      </c>
      <c r="AC38" s="1505">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4" t="s">
        <v>543</v>
      </c>
      <c r="Q39" s="1506" t="str">
        <f t="shared" si="11"/>
        <v>物业管理</v>
      </c>
      <c r="R39" s="1507" t="s">
        <v>8</v>
      </c>
      <c r="S39" s="1508">
        <f t="shared" si="12"/>
        <v>100</v>
      </c>
      <c r="T39" s="1507" t="s">
        <v>8</v>
      </c>
      <c r="U39" s="1508">
        <f t="shared" si="13"/>
        <v>100</v>
      </c>
      <c r="V39" s="1507" t="s">
        <v>8</v>
      </c>
      <c r="W39" s="1508">
        <f t="shared" si="14"/>
        <v>100</v>
      </c>
      <c r="X39" s="1501"/>
      <c r="Y39" s="3524" t="s">
        <v>543</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4"/>
      <c r="Q40" s="1506" t="str">
        <f t="shared" si="11"/>
        <v>市政基础设施</v>
      </c>
      <c r="R40" s="1507" t="s">
        <v>8</v>
      </c>
      <c r="S40" s="1508">
        <f t="shared" si="12"/>
        <v>100</v>
      </c>
      <c r="T40" s="1507" t="s">
        <v>8</v>
      </c>
      <c r="U40" s="1508">
        <f t="shared" si="13"/>
        <v>100</v>
      </c>
      <c r="V40" s="1507" t="s">
        <v>8</v>
      </c>
      <c r="W40" s="1508">
        <f t="shared" si="14"/>
        <v>100</v>
      </c>
      <c r="X40" s="1501"/>
      <c r="Y40" s="3524"/>
      <c r="Z40" s="1509" t="str">
        <f t="shared" si="15"/>
        <v>市政基础设施</v>
      </c>
      <c r="AA40" s="1510">
        <f t="shared" si="3"/>
        <v>1</v>
      </c>
      <c r="AB40" s="1510">
        <f t="shared" si="4"/>
        <v>1</v>
      </c>
      <c r="AC40" s="1510">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4"/>
      <c r="Q41" s="1506" t="str">
        <f t="shared" si="11"/>
        <v>层高</v>
      </c>
      <c r="R41" s="1507" t="s">
        <v>8</v>
      </c>
      <c r="S41" s="1508">
        <f t="shared" si="12"/>
        <v>100</v>
      </c>
      <c r="T41" s="1507" t="s">
        <v>8</v>
      </c>
      <c r="U41" s="1508">
        <f t="shared" si="13"/>
        <v>100</v>
      </c>
      <c r="V41" s="1507" t="s">
        <v>8</v>
      </c>
      <c r="W41" s="1508">
        <f t="shared" si="14"/>
        <v>100</v>
      </c>
      <c r="X41" s="1501"/>
      <c r="Y41" s="3524"/>
      <c r="Z41" s="1509" t="str">
        <f t="shared" si="15"/>
        <v>层高</v>
      </c>
      <c r="AA41" s="1510">
        <f t="shared" si="3"/>
        <v>1</v>
      </c>
      <c r="AB41" s="1510">
        <f t="shared" si="4"/>
        <v>1</v>
      </c>
      <c r="AC41" s="1510">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4"/>
      <c r="Q42" s="1535" t="str">
        <f t="shared" si="11"/>
        <v>单套建筑面积</v>
      </c>
      <c r="R42" s="1511" t="s">
        <v>8</v>
      </c>
      <c r="S42" s="1512">
        <f t="shared" si="12"/>
        <v>100</v>
      </c>
      <c r="T42" s="1511" t="s">
        <v>8</v>
      </c>
      <c r="U42" s="1512">
        <f t="shared" si="13"/>
        <v>100</v>
      </c>
      <c r="V42" s="1511" t="s">
        <v>8</v>
      </c>
      <c r="W42" s="1512">
        <f t="shared" si="14"/>
        <v>100</v>
      </c>
      <c r="X42" s="1513"/>
      <c r="Y42" s="3524"/>
      <c r="Z42" s="1514" t="str">
        <f t="shared" si="15"/>
        <v>单套建筑面积</v>
      </c>
      <c r="AA42" s="1510">
        <f t="shared" si="3"/>
        <v>1</v>
      </c>
      <c r="AB42" s="1510">
        <f t="shared" si="4"/>
        <v>1</v>
      </c>
      <c r="AC42" s="1510">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4"/>
      <c r="Q43" s="1506" t="str">
        <f t="shared" si="11"/>
        <v>内部装修</v>
      </c>
      <c r="R43" s="1507" t="s">
        <v>8</v>
      </c>
      <c r="S43" s="1508">
        <f t="shared" si="12"/>
        <v>100</v>
      </c>
      <c r="T43" s="1507" t="s">
        <v>8</v>
      </c>
      <c r="U43" s="1508">
        <f t="shared" si="13"/>
        <v>100</v>
      </c>
      <c r="V43" s="1507" t="s">
        <v>8</v>
      </c>
      <c r="W43" s="1508">
        <f t="shared" si="14"/>
        <v>100</v>
      </c>
      <c r="X43" s="1501"/>
      <c r="Y43" s="3524"/>
      <c r="Z43" s="1509" t="str">
        <f t="shared" si="15"/>
        <v>内部装修</v>
      </c>
      <c r="AA43" s="1510">
        <f t="shared" si="3"/>
        <v>1</v>
      </c>
      <c r="AB43" s="1510">
        <f t="shared" si="4"/>
        <v>1</v>
      </c>
      <c r="AC43" s="1510">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4"/>
      <c r="Q44" s="1506" t="str">
        <f t="shared" si="11"/>
        <v>内部装修维护情况</v>
      </c>
      <c r="R44" s="1507" t="s">
        <v>8</v>
      </c>
      <c r="S44" s="1508">
        <f t="shared" si="12"/>
        <v>100</v>
      </c>
      <c r="T44" s="1507" t="s">
        <v>8</v>
      </c>
      <c r="U44" s="1508">
        <f t="shared" si="13"/>
        <v>100</v>
      </c>
      <c r="V44" s="1507" t="s">
        <v>8</v>
      </c>
      <c r="W44" s="1508">
        <f t="shared" si="14"/>
        <v>100</v>
      </c>
      <c r="X44" s="1501"/>
      <c r="Y44" s="3524"/>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4"/>
      <c r="Q45" s="1134">
        <f t="shared" si="11"/>
        <v>111</v>
      </c>
      <c r="R45" s="1502" t="s">
        <v>8</v>
      </c>
      <c r="S45" s="1503">
        <f t="shared" si="12"/>
        <v>100</v>
      </c>
      <c r="T45" s="1502" t="s">
        <v>8</v>
      </c>
      <c r="U45" s="1503">
        <f t="shared" si="13"/>
        <v>100</v>
      </c>
      <c r="V45" s="1502" t="s">
        <v>8</v>
      </c>
      <c r="W45" s="1503">
        <f t="shared" si="14"/>
        <v>100</v>
      </c>
      <c r="X45" s="1504"/>
      <c r="Y45" s="3524"/>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4"/>
      <c r="Q46" s="1506">
        <f t="shared" si="11"/>
        <v>111</v>
      </c>
      <c r="R46" s="1507" t="s">
        <v>8</v>
      </c>
      <c r="S46" s="1508">
        <f t="shared" si="12"/>
        <v>100</v>
      </c>
      <c r="T46" s="1507" t="s">
        <v>8</v>
      </c>
      <c r="U46" s="1508">
        <f t="shared" si="13"/>
        <v>100</v>
      </c>
      <c r="V46" s="1507" t="s">
        <v>8</v>
      </c>
      <c r="W46" s="1508">
        <f t="shared" si="14"/>
        <v>100</v>
      </c>
      <c r="X46" s="1501"/>
      <c r="Y46" s="3524"/>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6"/>
      <c r="Q47" s="1506">
        <f t="shared" si="11"/>
        <v>111</v>
      </c>
      <c r="R47" s="1507" t="s">
        <v>8</v>
      </c>
      <c r="S47" s="1508">
        <f t="shared" si="12"/>
        <v>100</v>
      </c>
      <c r="T47" s="1507" t="s">
        <v>8</v>
      </c>
      <c r="U47" s="1508">
        <f t="shared" si="13"/>
        <v>100</v>
      </c>
      <c r="V47" s="1507" t="s">
        <v>8</v>
      </c>
      <c r="W47" s="1508">
        <f t="shared" si="14"/>
        <v>100</v>
      </c>
      <c r="X47" s="1501"/>
      <c r="Y47" s="3606"/>
      <c r="Z47" s="1509">
        <f t="shared" si="15"/>
        <v>111</v>
      </c>
      <c r="AA47" s="1510">
        <f t="shared" si="3"/>
        <v>1</v>
      </c>
      <c r="AB47" s="1510">
        <f t="shared" si="4"/>
        <v>1</v>
      </c>
      <c r="AC47" s="1510">
        <f t="shared" si="5"/>
        <v>1</v>
      </c>
    </row>
    <row r="48" spans="1:29" ht="15">
      <c r="A48" s="601" t="s">
        <v>729</v>
      </c>
      <c r="B48" s="876"/>
      <c r="C48" s="2470" t="s">
        <v>1</v>
      </c>
      <c r="D48" s="2471"/>
      <c r="E48" s="2472"/>
      <c r="F48" s="2473"/>
      <c r="G48" s="2474"/>
      <c r="H48" s="2475"/>
      <c r="I48" s="2472"/>
      <c r="J48" s="2475"/>
      <c r="K48" s="1540"/>
      <c r="L48" s="2026"/>
      <c r="M48" s="2016"/>
      <c r="N48" s="2016"/>
      <c r="O48" s="2016"/>
      <c r="P48" s="3484" t="str">
        <f>A48</f>
        <v>成交单价（元/平方米）</v>
      </c>
      <c r="Q48" s="3486"/>
      <c r="R48" s="3605">
        <f>E48</f>
        <v>0</v>
      </c>
      <c r="S48" s="3605"/>
      <c r="T48" s="3605">
        <f>G48</f>
        <v>0</v>
      </c>
      <c r="U48" s="3605"/>
      <c r="V48" s="3605">
        <f>I48</f>
        <v>0</v>
      </c>
      <c r="W48" s="3605"/>
      <c r="X48" s="1496"/>
      <c r="Y48" s="1515"/>
      <c r="Z48" s="1496"/>
      <c r="AA48" s="1496"/>
      <c r="AB48" s="1496"/>
      <c r="AC48" s="1496"/>
    </row>
    <row r="49" spans="1:29" ht="15.75" thickBot="1">
      <c r="A49" s="609" t="s">
        <v>2738</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84" t="str">
        <f>A49</f>
        <v>比较价格（元/平方米）</v>
      </c>
      <c r="Q49" s="3486"/>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1496"/>
      <c r="Y49" s="1496"/>
      <c r="Z49" s="1496"/>
      <c r="AA49" s="1496"/>
      <c r="AB49" s="1496"/>
      <c r="AC49" s="1496"/>
    </row>
    <row r="50" spans="1:29" ht="15.75" thickBot="1">
      <c r="A50" s="613" t="s">
        <v>2900</v>
      </c>
      <c r="B50" s="614"/>
      <c r="C50" s="2478" t="e">
        <f>R50</f>
        <v>#DIV/0!</v>
      </c>
      <c r="D50" s="2478"/>
      <c r="E50" s="2478"/>
      <c r="F50" s="2478"/>
      <c r="G50" s="2478"/>
      <c r="H50" s="2478"/>
      <c r="I50" s="2478"/>
      <c r="J50" s="2478"/>
      <c r="K50" s="1541"/>
      <c r="L50" s="2026"/>
      <c r="M50" s="2016"/>
      <c r="N50" s="2016"/>
      <c r="O50" s="2016"/>
      <c r="P50" s="3609" t="str">
        <f>A50</f>
        <v>估价对象XX用房的比较价格（楼面单价，元/平方米）</v>
      </c>
      <c r="Q50" s="3484"/>
      <c r="R50" s="3604" t="e">
        <f>IF(F1="售价",ROUND(IF(D49="简单平均",AVERAGE(R49:V49),R49*F49+T49*H49+V49*J49),0),ROUND(IF(D49="简单平均",AVERAGE(R49:V49),R49*F49+T49*H49+V49*J49),1))</f>
        <v>#DIV/0!</v>
      </c>
      <c r="S50" s="3604"/>
      <c r="T50" s="3604"/>
      <c r="U50" s="3604"/>
      <c r="V50" s="3604"/>
      <c r="W50" s="3604"/>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567</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2021-4</v>
      </c>
      <c r="D59" s="2521">
        <f>EDATE(C59,-1)</f>
        <v>44256</v>
      </c>
      <c r="E59" s="2521">
        <f t="shared" ref="E59:O59" si="16">EDATE(D59,-1)</f>
        <v>44228</v>
      </c>
      <c r="F59" s="2521">
        <f t="shared" si="16"/>
        <v>44197</v>
      </c>
      <c r="G59" s="2521">
        <f t="shared" si="16"/>
        <v>44166</v>
      </c>
      <c r="H59" s="2521">
        <f t="shared" si="16"/>
        <v>44136</v>
      </c>
      <c r="I59" s="2521">
        <f t="shared" si="16"/>
        <v>44105</v>
      </c>
      <c r="J59" s="2521">
        <f t="shared" si="16"/>
        <v>44075</v>
      </c>
      <c r="K59" s="2521">
        <f t="shared" si="16"/>
        <v>44044</v>
      </c>
      <c r="L59" s="2521">
        <f t="shared" si="16"/>
        <v>44013</v>
      </c>
      <c r="M59" s="2521">
        <f t="shared" si="16"/>
        <v>43983</v>
      </c>
      <c r="N59" s="2521">
        <f t="shared" si="16"/>
        <v>43952</v>
      </c>
      <c r="O59" s="2521">
        <f t="shared" si="16"/>
        <v>43922</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1" t="s">
        <v>714</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514</v>
      </c>
      <c r="B4" s="507"/>
      <c r="C4" s="3492" t="s">
        <v>515</v>
      </c>
      <c r="D4" s="3493"/>
      <c r="E4" s="3527" t="s">
        <v>516</v>
      </c>
      <c r="F4" s="3528"/>
      <c r="G4" s="3492" t="s">
        <v>517</v>
      </c>
      <c r="H4" s="3493"/>
      <c r="I4" s="3492" t="s">
        <v>518</v>
      </c>
      <c r="J4" s="3493"/>
      <c r="K4" s="508" t="s">
        <v>519</v>
      </c>
      <c r="L4" s="2015"/>
      <c r="M4" s="2016"/>
      <c r="N4" s="2016"/>
      <c r="O4" s="2016"/>
      <c r="P4" s="3494" t="s">
        <v>520</v>
      </c>
      <c r="Q4" s="3495"/>
      <c r="R4" s="3500" t="s">
        <v>516</v>
      </c>
      <c r="S4" s="3501"/>
      <c r="T4" s="3500" t="s">
        <v>517</v>
      </c>
      <c r="U4" s="3501"/>
      <c r="V4" s="3487" t="s">
        <v>518</v>
      </c>
      <c r="W4" s="3487"/>
      <c r="X4" s="1501"/>
      <c r="Y4" s="3500" t="s">
        <v>520</v>
      </c>
      <c r="Z4" s="3501"/>
      <c r="AA4" s="3489" t="s">
        <v>516</v>
      </c>
      <c r="AB4" s="3490" t="s">
        <v>517</v>
      </c>
      <c r="AC4" s="3489" t="s">
        <v>518</v>
      </c>
    </row>
    <row r="5" spans="1:29" ht="15">
      <c r="A5" s="509"/>
      <c r="B5" s="510"/>
      <c r="C5" s="3508" t="s">
        <v>2894</v>
      </c>
      <c r="D5" s="3509"/>
      <c r="E5" s="3529" t="s">
        <v>2895</v>
      </c>
      <c r="F5" s="3530"/>
      <c r="G5" s="3508" t="s">
        <v>2896</v>
      </c>
      <c r="H5" s="3509"/>
      <c r="I5" s="3508" t="s">
        <v>2897</v>
      </c>
      <c r="J5" s="3509"/>
      <c r="K5" s="508"/>
      <c r="L5" s="2015"/>
      <c r="M5" s="2016"/>
      <c r="N5" s="2016"/>
      <c r="O5" s="2016"/>
      <c r="P5" s="3496"/>
      <c r="Q5" s="3497"/>
      <c r="R5" s="3502"/>
      <c r="S5" s="3503"/>
      <c r="T5" s="3502"/>
      <c r="U5" s="3503"/>
      <c r="V5" s="3487"/>
      <c r="W5" s="3487"/>
      <c r="X5" s="1501"/>
      <c r="Y5" s="3502"/>
      <c r="Z5" s="3503"/>
      <c r="AA5" s="3490"/>
      <c r="AB5" s="3490"/>
      <c r="AC5" s="3490"/>
    </row>
    <row r="6" spans="1:29" ht="15.75" thickBot="1">
      <c r="A6" s="511"/>
      <c r="B6" s="512"/>
      <c r="C6" s="3506" t="s">
        <v>2898</v>
      </c>
      <c r="D6" s="3507"/>
      <c r="E6" s="3525" t="s">
        <v>2898</v>
      </c>
      <c r="F6" s="3526"/>
      <c r="G6" s="3506" t="s">
        <v>2898</v>
      </c>
      <c r="H6" s="3507"/>
      <c r="I6" s="3506" t="s">
        <v>2898</v>
      </c>
      <c r="J6" s="3507"/>
      <c r="K6" s="508" t="s">
        <v>521</v>
      </c>
      <c r="L6" s="2015"/>
      <c r="M6" s="2016"/>
      <c r="N6" s="2016"/>
      <c r="O6" s="2016"/>
      <c r="P6" s="3498"/>
      <c r="Q6" s="3499"/>
      <c r="R6" s="3502"/>
      <c r="S6" s="3503"/>
      <c r="T6" s="3504"/>
      <c r="U6" s="3505"/>
      <c r="V6" s="3487"/>
      <c r="W6" s="3487"/>
      <c r="X6" s="1501"/>
      <c r="Y6" s="3504"/>
      <c r="Z6" s="3505"/>
      <c r="AA6" s="3491"/>
      <c r="AB6" s="3491"/>
      <c r="AC6" s="3491"/>
    </row>
    <row r="7" spans="1:29" s="1203" customFormat="1" ht="15.75" thickBot="1">
      <c r="A7" s="2629"/>
      <c r="B7" s="2636" t="s">
        <v>522</v>
      </c>
      <c r="C7" s="513">
        <f>'数据-取费表'!B2</f>
        <v>44300</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8" t="s">
        <v>523</v>
      </c>
      <c r="Q7" s="3520"/>
      <c r="R7" s="1502" t="s">
        <v>8</v>
      </c>
      <c r="S7" s="1503">
        <f t="shared" ref="S7:S15" si="0">F7</f>
        <v>0</v>
      </c>
      <c r="T7" s="1502" t="s">
        <v>8</v>
      </c>
      <c r="U7" s="1503">
        <f t="shared" ref="U7:U15" si="1">H7</f>
        <v>0</v>
      </c>
      <c r="V7" s="1502" t="s">
        <v>8</v>
      </c>
      <c r="W7" s="1503">
        <f t="shared" ref="W7:W15" si="2">J7</f>
        <v>0</v>
      </c>
      <c r="X7" s="1504"/>
      <c r="Y7" s="3518" t="s">
        <v>523</v>
      </c>
      <c r="Z7" s="3519"/>
      <c r="AA7" s="1505" t="e">
        <f>D7/F7</f>
        <v>#DIV/0!</v>
      </c>
      <c r="AB7" s="1505" t="e">
        <f>D7/H7</f>
        <v>#DIV/0!</v>
      </c>
      <c r="AC7" s="1505"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8" t="s">
        <v>526</v>
      </c>
      <c r="Q8" s="3519"/>
      <c r="R8" s="1502" t="s">
        <v>8</v>
      </c>
      <c r="S8" s="1503">
        <f t="shared" si="0"/>
        <v>0</v>
      </c>
      <c r="T8" s="1502" t="s">
        <v>8</v>
      </c>
      <c r="U8" s="1503">
        <f t="shared" si="1"/>
        <v>0</v>
      </c>
      <c r="V8" s="1502" t="s">
        <v>8</v>
      </c>
      <c r="W8" s="1503">
        <f t="shared" si="2"/>
        <v>0</v>
      </c>
      <c r="X8" s="1504"/>
      <c r="Y8" s="3518" t="s">
        <v>526</v>
      </c>
      <c r="Z8" s="3519"/>
      <c r="AA8" s="1505" t="e">
        <f t="shared" ref="AA8:AA40" si="3">D8/F8</f>
        <v>#DIV/0!</v>
      </c>
      <c r="AB8" s="1505" t="e">
        <f t="shared" ref="AB8:AB40" si="4">D8/H8</f>
        <v>#DIV/0!</v>
      </c>
      <c r="AC8" s="1505" t="e">
        <f t="shared" ref="AC8:AC40" si="5">D8/J8</f>
        <v>#DIV/0!</v>
      </c>
    </row>
    <row r="9" spans="1:29" s="1203" customFormat="1" ht="15">
      <c r="A9" s="2631"/>
      <c r="B9" s="2638"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6" t="s">
        <v>528</v>
      </c>
      <c r="Q9" s="1134" t="str">
        <f t="shared" ref="Q9:Q15" si="6">B9</f>
        <v>用途</v>
      </c>
      <c r="R9" s="1502" t="s">
        <v>8</v>
      </c>
      <c r="S9" s="1503">
        <f t="shared" si="0"/>
        <v>100</v>
      </c>
      <c r="T9" s="1502" t="s">
        <v>8</v>
      </c>
      <c r="U9" s="1503">
        <f t="shared" si="1"/>
        <v>100</v>
      </c>
      <c r="V9" s="1502" t="s">
        <v>8</v>
      </c>
      <c r="W9" s="1503">
        <f t="shared" si="2"/>
        <v>100</v>
      </c>
      <c r="X9" s="1504"/>
      <c r="Y9" s="3432"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6"/>
      <c r="Q11" s="1134" t="str">
        <f t="shared" si="6"/>
        <v>容积率</v>
      </c>
      <c r="R11" s="1502" t="s">
        <v>8</v>
      </c>
      <c r="S11" s="1503" t="e">
        <f t="shared" si="0"/>
        <v>#N/A</v>
      </c>
      <c r="T11" s="1502" t="s">
        <v>8</v>
      </c>
      <c r="U11" s="1503" t="e">
        <f t="shared" si="1"/>
        <v>#N/A</v>
      </c>
      <c r="V11" s="1502" t="s">
        <v>8</v>
      </c>
      <c r="W11" s="1503" t="e">
        <f t="shared" si="2"/>
        <v>#N/A</v>
      </c>
      <c r="X11" s="1504"/>
      <c r="Y11" s="343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2"/>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2"/>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6"/>
      <c r="Q14" s="1134">
        <f t="shared" si="6"/>
        <v>111</v>
      </c>
      <c r="R14" s="1502" t="s">
        <v>8</v>
      </c>
      <c r="S14" s="1503">
        <f t="shared" si="0"/>
        <v>100</v>
      </c>
      <c r="T14" s="1502" t="s">
        <v>8</v>
      </c>
      <c r="U14" s="1503">
        <f t="shared" si="1"/>
        <v>100</v>
      </c>
      <c r="V14" s="1502" t="s">
        <v>8</v>
      </c>
      <c r="W14" s="1503">
        <f t="shared" si="2"/>
        <v>100</v>
      </c>
      <c r="X14" s="1504"/>
      <c r="Y14" s="3432"/>
      <c r="Z14" s="1133">
        <f t="shared" si="7"/>
        <v>111</v>
      </c>
      <c r="AA14" s="1505">
        <f t="shared" si="3"/>
        <v>1</v>
      </c>
      <c r="AB14" s="1505">
        <f t="shared" si="4"/>
        <v>1</v>
      </c>
      <c r="AC14" s="1505">
        <f t="shared" si="5"/>
        <v>1</v>
      </c>
    </row>
    <row r="15" spans="1:29" ht="57">
      <c r="A15" s="2627" t="s">
        <v>2732</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21" t="s">
        <v>533</v>
      </c>
      <c r="Q15" s="1506" t="str">
        <f t="shared" si="6"/>
        <v>产业集聚程度</v>
      </c>
      <c r="R15" s="1507" t="s">
        <v>8</v>
      </c>
      <c r="S15" s="1508">
        <f t="shared" si="0"/>
        <v>100</v>
      </c>
      <c r="T15" s="1507" t="s">
        <v>8</v>
      </c>
      <c r="U15" s="1508">
        <f t="shared" si="1"/>
        <v>100</v>
      </c>
      <c r="V15" s="1507" t="s">
        <v>8</v>
      </c>
      <c r="W15" s="1508">
        <f t="shared" si="2"/>
        <v>100</v>
      </c>
      <c r="X15" s="1501"/>
      <c r="Y15" s="3521" t="s">
        <v>533</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22"/>
      <c r="Q16" s="1506"/>
      <c r="R16" s="1507"/>
      <c r="S16" s="1508"/>
      <c r="T16" s="1507"/>
      <c r="U16" s="1508"/>
      <c r="V16" s="1507"/>
      <c r="W16" s="1508"/>
      <c r="X16" s="1501"/>
      <c r="Y16" s="3522"/>
      <c r="Z16" s="1509"/>
      <c r="AA16" s="1510">
        <v>1</v>
      </c>
      <c r="AB16" s="1510">
        <v>1</v>
      </c>
      <c r="AC16" s="1510">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2"/>
      <c r="Q25" s="1506">
        <f>B25</f>
        <v>111</v>
      </c>
      <c r="R25" s="1507" t="s">
        <v>8</v>
      </c>
      <c r="S25" s="1508">
        <f>F25</f>
        <v>100</v>
      </c>
      <c r="T25" s="1507" t="s">
        <v>8</v>
      </c>
      <c r="U25" s="1508">
        <f>H25</f>
        <v>100</v>
      </c>
      <c r="V25" s="1507" t="s">
        <v>8</v>
      </c>
      <c r="W25" s="1508">
        <f>J25</f>
        <v>100</v>
      </c>
      <c r="X25" s="1501"/>
      <c r="Y25" s="3522"/>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2"/>
      <c r="Q26" s="1506">
        <f t="shared" ref="Q26:Q40" si="11">B26</f>
        <v>111</v>
      </c>
      <c r="R26" s="1507" t="s">
        <v>8</v>
      </c>
      <c r="S26" s="1508">
        <f>F26</f>
        <v>100</v>
      </c>
      <c r="T26" s="1507" t="s">
        <v>8</v>
      </c>
      <c r="U26" s="1508">
        <f>H26</f>
        <v>100</v>
      </c>
      <c r="V26" s="1507" t="s">
        <v>8</v>
      </c>
      <c r="W26" s="1508">
        <f>J26</f>
        <v>100</v>
      </c>
      <c r="X26" s="1501"/>
      <c r="Y26" s="3522"/>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2"/>
      <c r="Q27" s="1134">
        <f t="shared" si="11"/>
        <v>111</v>
      </c>
      <c r="R27" s="1502" t="s">
        <v>8</v>
      </c>
      <c r="S27" s="1503">
        <f>F27</f>
        <v>100</v>
      </c>
      <c r="T27" s="1502" t="s">
        <v>8</v>
      </c>
      <c r="U27" s="1503">
        <f>H27</f>
        <v>100</v>
      </c>
      <c r="V27" s="1502" t="s">
        <v>8</v>
      </c>
      <c r="W27" s="1503">
        <f>J27</f>
        <v>100</v>
      </c>
      <c r="X27" s="1504"/>
      <c r="Y27" s="3522"/>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2"/>
      <c r="Q28" s="1506">
        <f t="shared" si="11"/>
        <v>111</v>
      </c>
      <c r="R28" s="1507" t="s">
        <v>8</v>
      </c>
      <c r="S28" s="1508">
        <f t="shared" ref="S28:S40" si="12">F28</f>
        <v>100</v>
      </c>
      <c r="T28" s="1507" t="s">
        <v>8</v>
      </c>
      <c r="U28" s="1508">
        <f t="shared" ref="U28:U40" si="13">H28</f>
        <v>100</v>
      </c>
      <c r="V28" s="1507" t="s">
        <v>8</v>
      </c>
      <c r="W28" s="1508">
        <f t="shared" ref="W28:W40" si="14">J28</f>
        <v>100</v>
      </c>
      <c r="X28" s="1501"/>
      <c r="Y28" s="3522"/>
      <c r="Z28" s="1509">
        <f t="shared" ref="Z28:Z40" si="15">Q28</f>
        <v>111</v>
      </c>
      <c r="AA28" s="1510">
        <f t="shared" si="3"/>
        <v>1</v>
      </c>
      <c r="AB28" s="1510">
        <f t="shared" si="4"/>
        <v>1</v>
      </c>
      <c r="AC28" s="1510">
        <f t="shared" si="5"/>
        <v>1</v>
      </c>
    </row>
    <row r="29" spans="1:29" ht="15">
      <c r="A29" s="2624" t="s">
        <v>2733</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3" t="s">
        <v>543</v>
      </c>
      <c r="Q29" s="1506" t="str">
        <f t="shared" si="11"/>
        <v>建筑类型</v>
      </c>
      <c r="R29" s="1507" t="s">
        <v>8</v>
      </c>
      <c r="S29" s="1508">
        <f t="shared" si="12"/>
        <v>100</v>
      </c>
      <c r="T29" s="1507" t="s">
        <v>8</v>
      </c>
      <c r="U29" s="1508">
        <f t="shared" si="13"/>
        <v>100</v>
      </c>
      <c r="V29" s="1507" t="s">
        <v>8</v>
      </c>
      <c r="W29" s="1508">
        <f t="shared" si="14"/>
        <v>100</v>
      </c>
      <c r="X29" s="1501"/>
      <c r="Y29" s="3524" t="s">
        <v>543</v>
      </c>
      <c r="Z29" s="1509" t="str">
        <f t="shared" si="15"/>
        <v>建筑类型</v>
      </c>
      <c r="AA29" s="1510">
        <f t="shared" si="3"/>
        <v>1</v>
      </c>
      <c r="AB29" s="1510">
        <f t="shared" si="4"/>
        <v>1</v>
      </c>
      <c r="AC29" s="1510">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4"/>
      <c r="Q30" s="1535" t="str">
        <f t="shared" si="11"/>
        <v>项目建筑规模</v>
      </c>
      <c r="R30" s="1511" t="s">
        <v>8</v>
      </c>
      <c r="S30" s="1512" t="e">
        <f t="shared" si="12"/>
        <v>#N/A</v>
      </c>
      <c r="T30" s="1511" t="s">
        <v>8</v>
      </c>
      <c r="U30" s="1512" t="e">
        <f t="shared" si="13"/>
        <v>#N/A</v>
      </c>
      <c r="V30" s="1511" t="s">
        <v>8</v>
      </c>
      <c r="W30" s="1512" t="e">
        <f t="shared" si="14"/>
        <v>#N/A</v>
      </c>
      <c r="X30" s="1513"/>
      <c r="Y30" s="3524"/>
      <c r="Z30" s="1514" t="str">
        <f t="shared" si="15"/>
        <v>项目建筑规模</v>
      </c>
      <c r="AA30" s="1510" t="e">
        <f t="shared" si="3"/>
        <v>#N/A</v>
      </c>
      <c r="AB30" s="1510" t="e">
        <f t="shared" si="4"/>
        <v>#N/A</v>
      </c>
      <c r="AC30" s="1510"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4"/>
      <c r="Q31" s="1506" t="str">
        <f t="shared" si="11"/>
        <v>建筑结构</v>
      </c>
      <c r="R31" s="1507" t="s">
        <v>8</v>
      </c>
      <c r="S31" s="1508">
        <f t="shared" si="12"/>
        <v>100</v>
      </c>
      <c r="T31" s="1507" t="s">
        <v>8</v>
      </c>
      <c r="U31" s="1508">
        <f t="shared" si="13"/>
        <v>100</v>
      </c>
      <c r="V31" s="1507" t="s">
        <v>8</v>
      </c>
      <c r="W31" s="1508">
        <f t="shared" si="14"/>
        <v>100</v>
      </c>
      <c r="X31" s="1501"/>
      <c r="Y31" s="3524"/>
      <c r="Z31" s="1509" t="str">
        <f t="shared" si="15"/>
        <v>建筑结构</v>
      </c>
      <c r="AA31" s="1510">
        <f t="shared" si="3"/>
        <v>1</v>
      </c>
      <c r="AB31" s="1510">
        <f t="shared" si="4"/>
        <v>1</v>
      </c>
      <c r="AC31" s="1510">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4"/>
      <c r="Q32" s="1506" t="str">
        <f t="shared" si="11"/>
        <v>公共部分装修</v>
      </c>
      <c r="R32" s="1507" t="s">
        <v>8</v>
      </c>
      <c r="S32" s="1508">
        <f t="shared" si="12"/>
        <v>100</v>
      </c>
      <c r="T32" s="1507" t="s">
        <v>8</v>
      </c>
      <c r="U32" s="1508">
        <f t="shared" si="13"/>
        <v>100</v>
      </c>
      <c r="V32" s="1507" t="s">
        <v>8</v>
      </c>
      <c r="W32" s="1508">
        <f t="shared" si="14"/>
        <v>100</v>
      </c>
      <c r="X32" s="1501"/>
      <c r="Y32" s="3524"/>
      <c r="Z32" s="1509" t="str">
        <f t="shared" si="15"/>
        <v>公共部分装修</v>
      </c>
      <c r="AA32" s="1510">
        <f t="shared" si="3"/>
        <v>1</v>
      </c>
      <c r="AB32" s="1510">
        <f t="shared" si="4"/>
        <v>1</v>
      </c>
      <c r="AC32" s="1510">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4"/>
      <c r="Q33" s="1506" t="str">
        <f t="shared" si="11"/>
        <v>成新度</v>
      </c>
      <c r="R33" s="1507" t="s">
        <v>8</v>
      </c>
      <c r="S33" s="1508" t="e">
        <f t="shared" si="12"/>
        <v>#N/A</v>
      </c>
      <c r="T33" s="1507" t="s">
        <v>8</v>
      </c>
      <c r="U33" s="1508" t="e">
        <f t="shared" si="13"/>
        <v>#N/A</v>
      </c>
      <c r="V33" s="1507" t="s">
        <v>8</v>
      </c>
      <c r="W33" s="1508" t="e">
        <f t="shared" si="14"/>
        <v>#N/A</v>
      </c>
      <c r="X33" s="1501"/>
      <c r="Y33" s="3524"/>
      <c r="Z33" s="1509" t="str">
        <f t="shared" si="15"/>
        <v>成新度</v>
      </c>
      <c r="AA33" s="1510" t="e">
        <f t="shared" si="3"/>
        <v>#N/A</v>
      </c>
      <c r="AB33" s="1510" t="e">
        <f t="shared" si="4"/>
        <v>#N/A</v>
      </c>
      <c r="AC33" s="1510"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4"/>
      <c r="Q34" s="1134" t="str">
        <f t="shared" si="11"/>
        <v>物业管理</v>
      </c>
      <c r="R34" s="1502" t="s">
        <v>8</v>
      </c>
      <c r="S34" s="1503">
        <f t="shared" si="12"/>
        <v>100</v>
      </c>
      <c r="T34" s="1502" t="s">
        <v>8</v>
      </c>
      <c r="U34" s="1503">
        <f t="shared" si="13"/>
        <v>100</v>
      </c>
      <c r="V34" s="1502" t="s">
        <v>8</v>
      </c>
      <c r="W34" s="1503">
        <f t="shared" si="14"/>
        <v>100</v>
      </c>
      <c r="X34" s="1504"/>
      <c r="Y34" s="3524"/>
      <c r="Z34" s="1133"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4" t="s">
        <v>543</v>
      </c>
      <c r="Q35" s="1506" t="str">
        <f t="shared" si="11"/>
        <v>市政基础设施</v>
      </c>
      <c r="R35" s="1507" t="s">
        <v>8</v>
      </c>
      <c r="S35" s="1508">
        <f t="shared" si="12"/>
        <v>100</v>
      </c>
      <c r="T35" s="1507" t="s">
        <v>8</v>
      </c>
      <c r="U35" s="1508">
        <f t="shared" si="13"/>
        <v>100</v>
      </c>
      <c r="V35" s="1507" t="s">
        <v>8</v>
      </c>
      <c r="W35" s="1508">
        <f t="shared" si="14"/>
        <v>100</v>
      </c>
      <c r="X35" s="1501"/>
      <c r="Y35" s="3524" t="s">
        <v>543</v>
      </c>
      <c r="Z35" s="1509" t="str">
        <f t="shared" si="15"/>
        <v>市政基础设施</v>
      </c>
      <c r="AA35" s="1510">
        <f t="shared" si="3"/>
        <v>1</v>
      </c>
      <c r="AB35" s="1510">
        <f t="shared" si="4"/>
        <v>1</v>
      </c>
      <c r="AC35" s="1510">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4"/>
      <c r="Q36" s="1506" t="str">
        <f t="shared" si="11"/>
        <v>内部装修</v>
      </c>
      <c r="R36" s="1507" t="s">
        <v>8</v>
      </c>
      <c r="S36" s="1508">
        <f t="shared" si="12"/>
        <v>100</v>
      </c>
      <c r="T36" s="1507" t="s">
        <v>8</v>
      </c>
      <c r="U36" s="1508">
        <f t="shared" si="13"/>
        <v>100</v>
      </c>
      <c r="V36" s="1507" t="s">
        <v>8</v>
      </c>
      <c r="W36" s="1508">
        <f t="shared" si="14"/>
        <v>100</v>
      </c>
      <c r="X36" s="1501"/>
      <c r="Y36" s="3524"/>
      <c r="Z36" s="1509" t="str">
        <f t="shared" si="15"/>
        <v>内部装修</v>
      </c>
      <c r="AA36" s="1510">
        <f t="shared" si="3"/>
        <v>1</v>
      </c>
      <c r="AB36" s="1510">
        <f t="shared" si="4"/>
        <v>1</v>
      </c>
      <c r="AC36" s="1510">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4"/>
      <c r="Q37" s="1506" t="str">
        <f t="shared" si="11"/>
        <v>内部装修状况</v>
      </c>
      <c r="R37" s="1507" t="s">
        <v>8</v>
      </c>
      <c r="S37" s="1508">
        <f t="shared" si="12"/>
        <v>100</v>
      </c>
      <c r="T37" s="1507" t="s">
        <v>8</v>
      </c>
      <c r="U37" s="1508">
        <f t="shared" si="13"/>
        <v>100</v>
      </c>
      <c r="V37" s="1507" t="s">
        <v>8</v>
      </c>
      <c r="W37" s="1508">
        <f t="shared" si="14"/>
        <v>100</v>
      </c>
      <c r="X37" s="1501"/>
      <c r="Y37" s="3524"/>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4"/>
      <c r="Q38" s="1535">
        <f t="shared" si="11"/>
        <v>111</v>
      </c>
      <c r="R38" s="1511" t="s">
        <v>8</v>
      </c>
      <c r="S38" s="1512">
        <f t="shared" si="12"/>
        <v>100</v>
      </c>
      <c r="T38" s="1511" t="s">
        <v>8</v>
      </c>
      <c r="U38" s="1512">
        <f t="shared" si="13"/>
        <v>100</v>
      </c>
      <c r="V38" s="1511" t="s">
        <v>8</v>
      </c>
      <c r="W38" s="1512">
        <f t="shared" si="14"/>
        <v>100</v>
      </c>
      <c r="X38" s="1513"/>
      <c r="Y38" s="3524"/>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4"/>
      <c r="Q39" s="1506">
        <f t="shared" si="11"/>
        <v>111</v>
      </c>
      <c r="R39" s="1507" t="s">
        <v>8</v>
      </c>
      <c r="S39" s="1508">
        <f t="shared" si="12"/>
        <v>100</v>
      </c>
      <c r="T39" s="1507" t="s">
        <v>8</v>
      </c>
      <c r="U39" s="1508">
        <f t="shared" si="13"/>
        <v>100</v>
      </c>
      <c r="V39" s="1507" t="s">
        <v>8</v>
      </c>
      <c r="W39" s="1508">
        <f t="shared" si="14"/>
        <v>100</v>
      </c>
      <c r="X39" s="1501"/>
      <c r="Y39" s="3524"/>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06"/>
      <c r="Q40" s="1506">
        <f t="shared" si="11"/>
        <v>111</v>
      </c>
      <c r="R40" s="1507" t="s">
        <v>8</v>
      </c>
      <c r="S40" s="1508">
        <f t="shared" si="12"/>
        <v>100</v>
      </c>
      <c r="T40" s="1507" t="s">
        <v>8</v>
      </c>
      <c r="U40" s="1508">
        <f t="shared" si="13"/>
        <v>100</v>
      </c>
      <c r="V40" s="1507" t="s">
        <v>8</v>
      </c>
      <c r="W40" s="1508">
        <f t="shared" si="14"/>
        <v>100</v>
      </c>
      <c r="X40" s="1501"/>
      <c r="Y40" s="3606"/>
      <c r="Z40" s="1509">
        <f t="shared" si="15"/>
        <v>111</v>
      </c>
      <c r="AA40" s="1510">
        <f t="shared" si="3"/>
        <v>1</v>
      </c>
      <c r="AB40" s="1510">
        <f t="shared" si="4"/>
        <v>1</v>
      </c>
      <c r="AC40" s="1510">
        <f t="shared" si="5"/>
        <v>1</v>
      </c>
    </row>
    <row r="41" spans="1:29" ht="15">
      <c r="A41" s="601" t="s">
        <v>729</v>
      </c>
      <c r="B41" s="876"/>
      <c r="C41" s="2470" t="s">
        <v>1</v>
      </c>
      <c r="D41" s="2471"/>
      <c r="E41" s="2472"/>
      <c r="F41" s="2473"/>
      <c r="G41" s="2474"/>
      <c r="H41" s="2475"/>
      <c r="I41" s="2472"/>
      <c r="J41" s="2475"/>
      <c r="K41" s="1540"/>
      <c r="L41" s="2026"/>
      <c r="M41" s="2027"/>
      <c r="N41" s="2016"/>
      <c r="O41" s="2027"/>
      <c r="P41" s="3486" t="str">
        <f>A41</f>
        <v>成交单价（元/平方米）</v>
      </c>
      <c r="Q41" s="3486"/>
      <c r="R41" s="3605">
        <f>E41</f>
        <v>0</v>
      </c>
      <c r="S41" s="3605"/>
      <c r="T41" s="3605">
        <f>G41</f>
        <v>0</v>
      </c>
      <c r="U41" s="3605"/>
      <c r="V41" s="3605">
        <f>I41</f>
        <v>0</v>
      </c>
      <c r="W41" s="3605"/>
      <c r="X41" s="1496"/>
      <c r="Y41" s="1515"/>
      <c r="Z41" s="1496"/>
      <c r="AA41" s="1496"/>
      <c r="AB41" s="1496"/>
      <c r="AC41" s="1496"/>
    </row>
    <row r="42" spans="1:29" ht="15.75" thickBot="1">
      <c r="A42" s="609" t="s">
        <v>2738</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86" t="str">
        <f>A42</f>
        <v>比较价格（元/平方米）</v>
      </c>
      <c r="Q42" s="3486"/>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1496"/>
      <c r="Y42" s="1496"/>
      <c r="Z42" s="1496"/>
      <c r="AA42" s="1496"/>
      <c r="AB42" s="1496"/>
      <c r="AC42" s="1496"/>
    </row>
    <row r="43" spans="1:29" ht="15.75" thickBot="1">
      <c r="A43" s="613" t="s">
        <v>2900</v>
      </c>
      <c r="B43" s="614"/>
      <c r="C43" s="2478" t="e">
        <f>R43</f>
        <v>#DIV/0!</v>
      </c>
      <c r="D43" s="2478"/>
      <c r="E43" s="2478"/>
      <c r="F43" s="2478"/>
      <c r="G43" s="2478"/>
      <c r="H43" s="2478"/>
      <c r="I43" s="2478"/>
      <c r="J43" s="2478"/>
      <c r="K43" s="1541"/>
      <c r="L43" s="2026"/>
      <c r="M43" s="2027"/>
      <c r="N43" s="2027"/>
      <c r="O43" s="2027"/>
      <c r="P43" s="3483" t="str">
        <f>A43</f>
        <v>估价对象XX用房的比较价格（楼面单价，元/平方米）</v>
      </c>
      <c r="Q43" s="3484"/>
      <c r="R43" s="3604" t="e">
        <f>IF(F1="售价",ROUND(IF(D42="简单平均",AVERAGE(R42:V42),R42*F42+T42*H42+V42*J42),0),ROUND(IF(D42="简单平均",AVERAGE(R42:V42),R42*F42+T42*H42+V42*J42),1))</f>
        <v>#DIV/0!</v>
      </c>
      <c r="S43" s="3604"/>
      <c r="T43" s="3604"/>
      <c r="U43" s="3604"/>
      <c r="V43" s="3604"/>
      <c r="W43" s="3604"/>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567</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2021-4</v>
      </c>
      <c r="D52" s="2521">
        <f>EDATE(C52,-1)</f>
        <v>44256</v>
      </c>
      <c r="E52" s="2521">
        <f t="shared" ref="E52:O52" si="16">EDATE(D52,-1)</f>
        <v>44228</v>
      </c>
      <c r="F52" s="2521">
        <f t="shared" si="16"/>
        <v>44197</v>
      </c>
      <c r="G52" s="2521">
        <f t="shared" si="16"/>
        <v>44166</v>
      </c>
      <c r="H52" s="2521">
        <f t="shared" si="16"/>
        <v>44136</v>
      </c>
      <c r="I52" s="2521">
        <f t="shared" si="16"/>
        <v>44105</v>
      </c>
      <c r="J52" s="2521">
        <f t="shared" si="16"/>
        <v>44075</v>
      </c>
      <c r="K52" s="2521">
        <f t="shared" si="16"/>
        <v>44044</v>
      </c>
      <c r="L52" s="2521">
        <f t="shared" si="16"/>
        <v>44013</v>
      </c>
      <c r="M52" s="2521">
        <f t="shared" si="16"/>
        <v>43983</v>
      </c>
      <c r="N52" s="2521">
        <f t="shared" si="16"/>
        <v>43952</v>
      </c>
      <c r="O52" s="2521">
        <f t="shared" si="16"/>
        <v>43922</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5" sqref="I5:J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t="s">
        <v>913</v>
      </c>
      <c r="C1" s="498" t="s">
        <v>785</v>
      </c>
      <c r="D1" s="838" t="s">
        <v>35</v>
      </c>
      <c r="E1" s="500"/>
      <c r="F1" s="2524" t="s">
        <v>3536</v>
      </c>
      <c r="G1" s="1531" t="s">
        <v>786</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787</v>
      </c>
      <c r="B2" s="839">
        <f>IF(B37="元/平方米",ROUND(B3*D3/10000,0),ROUND(F3*C39/10000,0))</f>
        <v>23033</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788</v>
      </c>
      <c r="B3" s="504">
        <f>IF(B37="元/平方米",C39,ROUND(B2*10000/D3,0))</f>
        <v>12006</v>
      </c>
      <c r="C3" s="841" t="s">
        <v>789</v>
      </c>
      <c r="D3" s="840">
        <f>SUMIF('数据-汇总表'!$C19:$C33,D1,'数据-汇总表'!$E19:$E33)</f>
        <v>19183.87</v>
      </c>
      <c r="E3" s="1762" t="s">
        <v>2064</v>
      </c>
      <c r="F3" s="840">
        <f>SUMIF('数据-取费表'!A5:A15,D1,'数据-取费表'!AH5:AH15)</f>
        <v>672</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790</v>
      </c>
      <c r="B4" s="507"/>
      <c r="C4" s="3492" t="s">
        <v>791</v>
      </c>
      <c r="D4" s="3493"/>
      <c r="E4" s="3492" t="s">
        <v>792</v>
      </c>
      <c r="F4" s="3493"/>
      <c r="G4" s="3492" t="s">
        <v>793</v>
      </c>
      <c r="H4" s="3493"/>
      <c r="I4" s="3492" t="s">
        <v>794</v>
      </c>
      <c r="J4" s="3493"/>
      <c r="K4" s="508" t="s">
        <v>795</v>
      </c>
      <c r="L4" s="2015"/>
      <c r="M4" s="2016"/>
      <c r="N4" s="2016"/>
      <c r="O4" s="2016"/>
      <c r="P4" s="3494" t="s">
        <v>796</v>
      </c>
      <c r="Q4" s="3495"/>
      <c r="R4" s="3500" t="s">
        <v>792</v>
      </c>
      <c r="S4" s="3501"/>
      <c r="T4" s="3500" t="s">
        <v>793</v>
      </c>
      <c r="U4" s="3501"/>
      <c r="V4" s="3487" t="s">
        <v>794</v>
      </c>
      <c r="W4" s="3487"/>
      <c r="X4" s="1501"/>
      <c r="Y4" s="3500" t="s">
        <v>796</v>
      </c>
      <c r="Z4" s="3501"/>
      <c r="AA4" s="3489" t="s">
        <v>792</v>
      </c>
      <c r="AB4" s="3490" t="s">
        <v>793</v>
      </c>
      <c r="AC4" s="3489" t="s">
        <v>794</v>
      </c>
    </row>
    <row r="5" spans="1:29" ht="15">
      <c r="A5" s="509"/>
      <c r="B5" s="510"/>
      <c r="C5" s="3508" t="s">
        <v>2894</v>
      </c>
      <c r="D5" s="3509"/>
      <c r="E5" s="3613" t="s">
        <v>3585</v>
      </c>
      <c r="F5" s="3509"/>
      <c r="G5" s="3508" t="str">
        <f>'不动产比较法-住宅'!G5:H5</f>
        <v>和光尘樾</v>
      </c>
      <c r="H5" s="3509"/>
      <c r="I5" s="3508" t="str">
        <f>'不动产比较法-住宅'!I5:J5</f>
        <v>华樾北京</v>
      </c>
      <c r="J5" s="3509"/>
      <c r="K5" s="508"/>
      <c r="L5" s="2015"/>
      <c r="M5" s="2016"/>
      <c r="N5" s="2016"/>
      <c r="O5" s="2016"/>
      <c r="P5" s="3496"/>
      <c r="Q5" s="3497"/>
      <c r="R5" s="3502"/>
      <c r="S5" s="3503"/>
      <c r="T5" s="3502"/>
      <c r="U5" s="3503"/>
      <c r="V5" s="3487"/>
      <c r="W5" s="3487"/>
      <c r="X5" s="1501"/>
      <c r="Y5" s="3502"/>
      <c r="Z5" s="3503"/>
      <c r="AA5" s="3490"/>
      <c r="AB5" s="3490"/>
      <c r="AC5" s="3490"/>
    </row>
    <row r="6" spans="1:29" ht="15.75" thickBot="1">
      <c r="A6" s="511"/>
      <c r="B6" s="512"/>
      <c r="C6" s="3506" t="s">
        <v>2898</v>
      </c>
      <c r="D6" s="3507"/>
      <c r="E6" s="3511" t="s">
        <v>2898</v>
      </c>
      <c r="F6" s="3512"/>
      <c r="G6" s="3506" t="s">
        <v>2898</v>
      </c>
      <c r="H6" s="3507"/>
      <c r="I6" s="3506" t="s">
        <v>2898</v>
      </c>
      <c r="J6" s="3507"/>
      <c r="K6" s="508" t="s">
        <v>521</v>
      </c>
      <c r="L6" s="2015"/>
      <c r="M6" s="2016"/>
      <c r="N6" s="2016"/>
      <c r="O6" s="2016"/>
      <c r="P6" s="3498"/>
      <c r="Q6" s="3499"/>
      <c r="R6" s="3502"/>
      <c r="S6" s="3503"/>
      <c r="T6" s="3504"/>
      <c r="U6" s="3505"/>
      <c r="V6" s="3487"/>
      <c r="W6" s="3487"/>
      <c r="X6" s="1501"/>
      <c r="Y6" s="3504"/>
      <c r="Z6" s="3505"/>
      <c r="AA6" s="3491"/>
      <c r="AB6" s="3491"/>
      <c r="AC6" s="3491"/>
    </row>
    <row r="7" spans="1:29" s="1203" customFormat="1" ht="15.75" thickBot="1">
      <c r="A7" s="2629"/>
      <c r="B7" s="2636" t="s">
        <v>522</v>
      </c>
      <c r="C7" s="513">
        <f>'数据-取费表'!B2</f>
        <v>44300</v>
      </c>
      <c r="D7" s="514">
        <v>100</v>
      </c>
      <c r="E7" s="515">
        <v>44256</v>
      </c>
      <c r="F7" s="516">
        <f>SUMIF(48:48,YEAR(E7)&amp;"-"&amp;MONTH(E7),49:49)</f>
        <v>100</v>
      </c>
      <c r="G7" s="517">
        <v>44256</v>
      </c>
      <c r="H7" s="514">
        <f>SUMIF(48:48,YEAR(G7)&amp;"-"&amp;MONTH(G7),49:49)</f>
        <v>100</v>
      </c>
      <c r="I7" s="517">
        <v>44256</v>
      </c>
      <c r="J7" s="514">
        <f>SUMIF(48:48,YEAR(I7)&amp;"-"&amp;MONTH(I7),49:49)</f>
        <v>100</v>
      </c>
      <c r="K7" s="518"/>
      <c r="L7" s="2017"/>
      <c r="M7" s="2018"/>
      <c r="N7" s="2018"/>
      <c r="O7" s="2018"/>
      <c r="P7" s="3518" t="s">
        <v>523</v>
      </c>
      <c r="Q7" s="3520"/>
      <c r="R7" s="1502" t="s">
        <v>8</v>
      </c>
      <c r="S7" s="1503">
        <f t="shared" ref="S7:S14" si="0">F7</f>
        <v>100</v>
      </c>
      <c r="T7" s="1502" t="s">
        <v>8</v>
      </c>
      <c r="U7" s="1503">
        <f t="shared" ref="U7:U14" si="1">H7</f>
        <v>100</v>
      </c>
      <c r="V7" s="1502" t="s">
        <v>8</v>
      </c>
      <c r="W7" s="1503">
        <f t="shared" ref="W7:W14" si="2">J7</f>
        <v>100</v>
      </c>
      <c r="X7" s="1504"/>
      <c r="Y7" s="3518" t="s">
        <v>523</v>
      </c>
      <c r="Z7" s="3519"/>
      <c r="AA7" s="1505">
        <f>D7/F7</f>
        <v>1</v>
      </c>
      <c r="AB7" s="1505">
        <f>D7/H7</f>
        <v>1</v>
      </c>
      <c r="AC7" s="1505">
        <f>D7/J7</f>
        <v>1</v>
      </c>
    </row>
    <row r="8" spans="1:29" s="1203" customFormat="1" ht="15.75" thickBot="1">
      <c r="A8" s="2630"/>
      <c r="B8" s="2637" t="s">
        <v>524</v>
      </c>
      <c r="C8" s="519" t="s">
        <v>569</v>
      </c>
      <c r="D8" s="514">
        <v>100</v>
      </c>
      <c r="E8" s="519" t="s">
        <v>3541</v>
      </c>
      <c r="F8" s="516">
        <f>SUMIF(51:51,E8,52:52)-SUMIF(51:51,C8,52:52)+100</f>
        <v>100</v>
      </c>
      <c r="G8" s="519" t="s">
        <v>3541</v>
      </c>
      <c r="H8" s="514">
        <f>SUMIF(51:51,G8,52:52)-SUMIF(51:51,C8,52:52)+100</f>
        <v>100</v>
      </c>
      <c r="I8" s="519" t="s">
        <v>3541</v>
      </c>
      <c r="J8" s="514">
        <f>SUMIF(51:51,I8,52:52)-SUMIF(51:51,C8,52:52)+100</f>
        <v>100</v>
      </c>
      <c r="K8" s="518"/>
      <c r="L8" s="2017"/>
      <c r="M8" s="2018"/>
      <c r="N8" s="2018"/>
      <c r="O8" s="2018"/>
      <c r="P8" s="3518" t="s">
        <v>526</v>
      </c>
      <c r="Q8" s="3519"/>
      <c r="R8" s="1502" t="s">
        <v>8</v>
      </c>
      <c r="S8" s="1503">
        <f t="shared" si="0"/>
        <v>100</v>
      </c>
      <c r="T8" s="1502" t="s">
        <v>8</v>
      </c>
      <c r="U8" s="1503">
        <f t="shared" si="1"/>
        <v>100</v>
      </c>
      <c r="V8" s="1502" t="s">
        <v>8</v>
      </c>
      <c r="W8" s="1503">
        <f t="shared" si="2"/>
        <v>100</v>
      </c>
      <c r="X8" s="1504"/>
      <c r="Y8" s="3518" t="s">
        <v>526</v>
      </c>
      <c r="Z8" s="3519"/>
      <c r="AA8" s="1505">
        <f t="shared" ref="AA8:AA36" si="3">D8/F8</f>
        <v>1</v>
      </c>
      <c r="AB8" s="1505">
        <f t="shared" ref="AB8:AB36" si="4">D8/H8</f>
        <v>1</v>
      </c>
      <c r="AC8" s="1505">
        <f t="shared" ref="AC8:AC36" si="5">D8/J8</f>
        <v>1</v>
      </c>
    </row>
    <row r="9" spans="1:29" s="1203" customFormat="1" ht="15">
      <c r="A9" s="2631"/>
      <c r="B9" s="2638" t="s">
        <v>2734</v>
      </c>
      <c r="C9" s="3301" t="s">
        <v>3571</v>
      </c>
      <c r="D9" s="252">
        <v>100</v>
      </c>
      <c r="E9" s="849" t="s">
        <v>3007</v>
      </c>
      <c r="F9" s="252">
        <f>SUMIF(53:53,E9,54:54)-SUMIF(53:53,C9,54:54)+100</f>
        <v>100</v>
      </c>
      <c r="G9" s="849" t="s">
        <v>3007</v>
      </c>
      <c r="H9" s="252">
        <f>SUMIF(53:53,G9,54:54)-SUMIF(53:53,C9,54:54)+100</f>
        <v>100</v>
      </c>
      <c r="I9" s="849" t="s">
        <v>3007</v>
      </c>
      <c r="J9" s="252">
        <f>SUMIF(53:53,I9,54:54)-SUMIF(53:53,C9,54:54)+100</f>
        <v>100</v>
      </c>
      <c r="K9" s="518"/>
      <c r="L9" s="2017"/>
      <c r="M9" s="2018"/>
      <c r="N9" s="2018"/>
      <c r="O9" s="2019"/>
      <c r="P9" s="3486" t="s">
        <v>528</v>
      </c>
      <c r="Q9" s="1134" t="str">
        <f t="shared" ref="Q9:Q14" si="6">B9</f>
        <v>用途</v>
      </c>
      <c r="R9" s="1502" t="s">
        <v>8</v>
      </c>
      <c r="S9" s="1503">
        <f t="shared" si="0"/>
        <v>100</v>
      </c>
      <c r="T9" s="1502" t="s">
        <v>8</v>
      </c>
      <c r="U9" s="1503">
        <f t="shared" si="1"/>
        <v>100</v>
      </c>
      <c r="V9" s="1502" t="s">
        <v>8</v>
      </c>
      <c r="W9" s="1503">
        <f t="shared" si="2"/>
        <v>100</v>
      </c>
      <c r="X9" s="1504"/>
      <c r="Y9" s="3432" t="s">
        <v>529</v>
      </c>
      <c r="Z9" s="1133" t="str">
        <f t="shared" ref="Z9:Z14" si="7">Q9</f>
        <v>用途</v>
      </c>
      <c r="AA9" s="1505">
        <f t="shared" si="3"/>
        <v>1</v>
      </c>
      <c r="AB9" s="1505">
        <f t="shared" si="4"/>
        <v>1</v>
      </c>
      <c r="AC9" s="1505">
        <f t="shared" si="5"/>
        <v>1</v>
      </c>
    </row>
    <row r="10" spans="1:29" s="1292" customFormat="1" ht="27">
      <c r="A10" s="2632"/>
      <c r="B10" s="2637" t="s">
        <v>2735</v>
      </c>
      <c r="C10" s="850" t="s">
        <v>3573</v>
      </c>
      <c r="D10" s="253">
        <v>100</v>
      </c>
      <c r="E10" s="850" t="s">
        <v>3573</v>
      </c>
      <c r="F10" s="253">
        <f>SUMIF(55:55,E10,56:56)-SUMIF(55:55,C10,56:56)+100</f>
        <v>100</v>
      </c>
      <c r="G10" s="850" t="s">
        <v>3573</v>
      </c>
      <c r="H10" s="253">
        <f>SUMIF(55:55,G10,56:56)-SUMIF(55:55,C10,56:56)+100</f>
        <v>100</v>
      </c>
      <c r="I10" s="850" t="s">
        <v>3573</v>
      </c>
      <c r="J10" s="253">
        <f>SUMIF(55:55,I10,56:56)-SUMIF(55:55,C10,56:56)+100</f>
        <v>100</v>
      </c>
      <c r="K10" s="578">
        <v>1</v>
      </c>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6"/>
      <c r="Q11" s="1134">
        <f t="shared" si="6"/>
        <v>111</v>
      </c>
      <c r="R11" s="1502" t="s">
        <v>8</v>
      </c>
      <c r="S11" s="1503">
        <f t="shared" si="0"/>
        <v>100</v>
      </c>
      <c r="T11" s="1502" t="s">
        <v>8</v>
      </c>
      <c r="U11" s="1503">
        <f t="shared" si="1"/>
        <v>100</v>
      </c>
      <c r="V11" s="1502" t="s">
        <v>8</v>
      </c>
      <c r="W11" s="1503">
        <f t="shared" si="2"/>
        <v>100</v>
      </c>
      <c r="X11" s="1504"/>
      <c r="Y11" s="3432"/>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2"/>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2"/>
      <c r="Z13" s="1133">
        <f t="shared" si="7"/>
        <v>111</v>
      </c>
      <c r="AA13" s="1505">
        <f t="shared" si="3"/>
        <v>1</v>
      </c>
      <c r="AB13" s="1505">
        <f t="shared" si="4"/>
        <v>1</v>
      </c>
      <c r="AC13" s="1505">
        <f t="shared" si="5"/>
        <v>1</v>
      </c>
    </row>
    <row r="14" spans="1:29" ht="85.5">
      <c r="A14" s="2627" t="s">
        <v>2732</v>
      </c>
      <c r="B14" s="541" t="s">
        <v>536</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103</v>
      </c>
      <c r="K14" s="887">
        <f>'不动产比较法-住宅'!K17</f>
        <v>3</v>
      </c>
      <c r="L14" s="2024"/>
      <c r="M14" s="2016"/>
      <c r="N14" s="2016"/>
      <c r="O14" s="2023"/>
      <c r="P14" s="3521" t="s">
        <v>533</v>
      </c>
      <c r="Q14" s="1506" t="str">
        <f t="shared" si="6"/>
        <v>交通便捷度</v>
      </c>
      <c r="R14" s="1507" t="s">
        <v>8</v>
      </c>
      <c r="S14" s="1508">
        <f t="shared" si="0"/>
        <v>100</v>
      </c>
      <c r="T14" s="1507" t="s">
        <v>8</v>
      </c>
      <c r="U14" s="1508">
        <f t="shared" si="1"/>
        <v>100</v>
      </c>
      <c r="V14" s="1507" t="s">
        <v>8</v>
      </c>
      <c r="W14" s="1508">
        <f t="shared" si="2"/>
        <v>103</v>
      </c>
      <c r="X14" s="1501"/>
      <c r="Y14" s="3521" t="s">
        <v>533</v>
      </c>
      <c r="Z14" s="1509" t="str">
        <f t="shared" si="7"/>
        <v>交通便捷度</v>
      </c>
      <c r="AA14" s="1510">
        <f t="shared" si="3"/>
        <v>1</v>
      </c>
      <c r="AB14" s="1510">
        <f t="shared" si="4"/>
        <v>1</v>
      </c>
      <c r="AC14" s="1510">
        <f t="shared" si="5"/>
        <v>0.970873786407767</v>
      </c>
    </row>
    <row r="15" spans="1:29" ht="15">
      <c r="A15" s="509"/>
      <c r="B15" s="913"/>
      <c r="C15" s="570" t="s">
        <v>3510</v>
      </c>
      <c r="D15" s="549"/>
      <c r="E15" s="570" t="s">
        <v>3510</v>
      </c>
      <c r="F15" s="551"/>
      <c r="G15" s="570" t="s">
        <v>3510</v>
      </c>
      <c r="H15" s="553"/>
      <c r="I15" s="570" t="s">
        <v>3511</v>
      </c>
      <c r="J15" s="549"/>
      <c r="K15" s="888"/>
      <c r="L15" s="2024"/>
      <c r="M15" s="2016"/>
      <c r="N15" s="2016"/>
      <c r="O15" s="2023"/>
      <c r="P15" s="3522"/>
      <c r="Q15" s="1506"/>
      <c r="R15" s="1507"/>
      <c r="S15" s="1508"/>
      <c r="T15" s="1507"/>
      <c r="U15" s="1508"/>
      <c r="V15" s="1507"/>
      <c r="W15" s="1508"/>
      <c r="X15" s="1501"/>
      <c r="Y15" s="3522"/>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102</v>
      </c>
      <c r="I16" s="564"/>
      <c r="J16" s="559">
        <f>SUMIF(65:65,I17,66:66)-SUMIF(65:65,C17,66:66)+100</f>
        <v>100</v>
      </c>
      <c r="K16" s="887">
        <f>'不动产比较法-住宅'!K19</f>
        <v>2</v>
      </c>
      <c r="L16" s="2024"/>
      <c r="M16" s="2016"/>
      <c r="N16" s="2016"/>
      <c r="O16" s="2023"/>
      <c r="P16" s="3522"/>
      <c r="Q16" s="1506" t="str">
        <f>B16</f>
        <v>公共配套设施</v>
      </c>
      <c r="R16" s="1507" t="s">
        <v>8</v>
      </c>
      <c r="S16" s="1508">
        <f>F16</f>
        <v>100</v>
      </c>
      <c r="T16" s="1507" t="s">
        <v>8</v>
      </c>
      <c r="U16" s="1508">
        <f>H16</f>
        <v>102</v>
      </c>
      <c r="V16" s="1507" t="s">
        <v>8</v>
      </c>
      <c r="W16" s="1508">
        <f>J16</f>
        <v>100</v>
      </c>
      <c r="X16" s="1501"/>
      <c r="Y16" s="3522"/>
      <c r="Z16" s="1509" t="str">
        <f>Q16</f>
        <v>公共配套设施</v>
      </c>
      <c r="AA16" s="1510">
        <f t="shared" si="3"/>
        <v>1</v>
      </c>
      <c r="AB16" s="1510">
        <f t="shared" si="4"/>
        <v>0.98039215686274506</v>
      </c>
      <c r="AC16" s="1510">
        <f t="shared" si="5"/>
        <v>1</v>
      </c>
    </row>
    <row r="17" spans="1:29" ht="15">
      <c r="A17" s="509"/>
      <c r="B17" s="560"/>
      <c r="C17" s="862" t="s">
        <v>3510</v>
      </c>
      <c r="D17" s="549"/>
      <c r="E17" s="570" t="s">
        <v>3510</v>
      </c>
      <c r="F17" s="551"/>
      <c r="G17" s="570" t="s">
        <v>3511</v>
      </c>
      <c r="H17" s="549"/>
      <c r="I17" s="570" t="s">
        <v>3510</v>
      </c>
      <c r="J17" s="549"/>
      <c r="K17" s="888"/>
      <c r="L17" s="2024"/>
      <c r="M17" s="2016"/>
      <c r="N17" s="2016"/>
      <c r="O17" s="2023"/>
      <c r="P17" s="3522"/>
      <c r="Q17" s="1506"/>
      <c r="R17" s="1507"/>
      <c r="S17" s="1508"/>
      <c r="T17" s="1507"/>
      <c r="U17" s="1508"/>
      <c r="V17" s="1507"/>
      <c r="W17" s="1508"/>
      <c r="X17" s="1501"/>
      <c r="Y17" s="3522"/>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v>1</v>
      </c>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09"/>
      <c r="B19" s="572"/>
      <c r="C19" s="862" t="s">
        <v>3512</v>
      </c>
      <c r="D19" s="553"/>
      <c r="E19" s="862" t="s">
        <v>3512</v>
      </c>
      <c r="F19" s="551"/>
      <c r="G19" s="862" t="s">
        <v>3512</v>
      </c>
      <c r="H19" s="549"/>
      <c r="I19" s="862" t="s">
        <v>3512</v>
      </c>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57">
      <c r="A20" s="509"/>
      <c r="B20" s="554" t="s">
        <v>797</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v>2</v>
      </c>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09"/>
      <c r="B21" s="560"/>
      <c r="C21" s="570" t="s">
        <v>3510</v>
      </c>
      <c r="D21" s="549"/>
      <c r="E21" s="570" t="s">
        <v>3510</v>
      </c>
      <c r="F21" s="551"/>
      <c r="G21" s="570" t="s">
        <v>3510</v>
      </c>
      <c r="H21" s="549"/>
      <c r="I21" s="570" t="s">
        <v>3510</v>
      </c>
      <c r="J21" s="549"/>
      <c r="K21" s="888"/>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2"/>
      <c r="Q24" s="1506">
        <f t="shared" ref="Q24:Q36"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2"/>
      <c r="Q25" s="1134">
        <f t="shared" si="11"/>
        <v>111</v>
      </c>
      <c r="R25" s="1502" t="s">
        <v>8</v>
      </c>
      <c r="S25" s="1503">
        <f>F25</f>
        <v>100</v>
      </c>
      <c r="T25" s="1502" t="s">
        <v>8</v>
      </c>
      <c r="U25" s="1503">
        <f>H25</f>
        <v>100</v>
      </c>
      <c r="V25" s="1502" t="s">
        <v>8</v>
      </c>
      <c r="W25" s="1503">
        <f>J25</f>
        <v>100</v>
      </c>
      <c r="X25" s="1504"/>
      <c r="Y25" s="3522"/>
      <c r="Z25" s="1133">
        <f>Q25</f>
        <v>111</v>
      </c>
      <c r="AA25" s="1510">
        <f>D25/F25</f>
        <v>1</v>
      </c>
      <c r="AB25" s="1510">
        <f>D25/H25</f>
        <v>1</v>
      </c>
      <c r="AC25" s="1510">
        <f>D25/J25</f>
        <v>1</v>
      </c>
    </row>
    <row r="26" spans="1:29" ht="15">
      <c r="A26" s="2624" t="s">
        <v>2733</v>
      </c>
      <c r="B26" s="168" t="s">
        <v>799</v>
      </c>
      <c r="C26" s="917" t="str">
        <f>B1</f>
        <v>住宅</v>
      </c>
      <c r="D26" s="549">
        <v>100</v>
      </c>
      <c r="E26" s="570" t="s">
        <v>913</v>
      </c>
      <c r="F26" s="551">
        <f>SUMIF(79:79,E26,80:80)-SUMIF(79:79,C26,80:80)+100</f>
        <v>100</v>
      </c>
      <c r="G26" s="570" t="s">
        <v>913</v>
      </c>
      <c r="H26" s="549">
        <f>SUMIF(79:79,G26,80:80)-SUMIF(79:79,C26,80:80)+100</f>
        <v>100</v>
      </c>
      <c r="I26" s="570" t="s">
        <v>913</v>
      </c>
      <c r="J26" s="549">
        <f>SUMIF(79:79,I26,80:80)-SUMIF(79:79,C26,80:80)+100</f>
        <v>100</v>
      </c>
      <c r="K26" s="578">
        <v>1</v>
      </c>
      <c r="L26" s="2024"/>
      <c r="M26" s="2016"/>
      <c r="N26" s="2016"/>
      <c r="O26" s="2023"/>
      <c r="P26" s="3523" t="s">
        <v>543</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4" t="s">
        <v>543</v>
      </c>
      <c r="Z26" s="1509" t="str">
        <f t="shared" ref="Z26:Z36" si="15">Q26</f>
        <v>配套类型</v>
      </c>
      <c r="AA26" s="1510">
        <f t="shared" si="3"/>
        <v>1</v>
      </c>
      <c r="AB26" s="1510">
        <f t="shared" si="4"/>
        <v>1</v>
      </c>
      <c r="AC26" s="1510">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4"/>
      <c r="Q27" s="1535" t="str">
        <f t="shared" si="11"/>
        <v>项目停车位配比</v>
      </c>
      <c r="R27" s="1511" t="s">
        <v>8</v>
      </c>
      <c r="S27" s="1512">
        <f t="shared" si="12"/>
        <v>100</v>
      </c>
      <c r="T27" s="1511" t="s">
        <v>8</v>
      </c>
      <c r="U27" s="1512">
        <f t="shared" si="13"/>
        <v>100</v>
      </c>
      <c r="V27" s="1511" t="s">
        <v>8</v>
      </c>
      <c r="W27" s="1512">
        <f t="shared" si="14"/>
        <v>100</v>
      </c>
      <c r="X27" s="1513"/>
      <c r="Y27" s="3524"/>
      <c r="Z27" s="1514" t="str">
        <f t="shared" si="15"/>
        <v>项目停车位配比</v>
      </c>
      <c r="AA27" s="1510">
        <f t="shared" si="3"/>
        <v>1</v>
      </c>
      <c r="AB27" s="1510">
        <f t="shared" si="4"/>
        <v>1</v>
      </c>
      <c r="AC27" s="1510">
        <f t="shared" si="5"/>
        <v>1</v>
      </c>
    </row>
    <row r="28" spans="1:29" ht="15">
      <c r="A28" s="920"/>
      <c r="B28" s="576" t="s">
        <v>801</v>
      </c>
      <c r="C28" s="568" t="s">
        <v>3579</v>
      </c>
      <c r="D28" s="534">
        <v>100</v>
      </c>
      <c r="E28" s="568" t="s">
        <v>3579</v>
      </c>
      <c r="F28" s="569">
        <f>SUMIF(83:83,E28,84:84)-SUMIF(83:83,C28,84:84)+100</f>
        <v>100</v>
      </c>
      <c r="G28" s="568" t="s">
        <v>3579</v>
      </c>
      <c r="H28" s="534">
        <f>SUMIF(83:83,G28,84:84)-SUMIF(83:83,C28,84:84)+100</f>
        <v>100</v>
      </c>
      <c r="I28" s="568" t="s">
        <v>3579</v>
      </c>
      <c r="J28" s="534">
        <f>SUMIF(83:83,I28,84:84)-SUMIF(83:83,C28,84:84)+100</f>
        <v>100</v>
      </c>
      <c r="K28" s="578">
        <v>1</v>
      </c>
      <c r="L28" s="2024"/>
      <c r="M28" s="2016"/>
      <c r="N28" s="2016"/>
      <c r="O28" s="2023"/>
      <c r="P28" s="3524"/>
      <c r="Q28" s="1506" t="str">
        <f t="shared" si="11"/>
        <v>公共部分装修</v>
      </c>
      <c r="R28" s="1507" t="s">
        <v>8</v>
      </c>
      <c r="S28" s="1508">
        <f t="shared" si="12"/>
        <v>100</v>
      </c>
      <c r="T28" s="1507" t="s">
        <v>8</v>
      </c>
      <c r="U28" s="1508">
        <f t="shared" si="13"/>
        <v>100</v>
      </c>
      <c r="V28" s="1507" t="s">
        <v>8</v>
      </c>
      <c r="W28" s="1508">
        <f t="shared" si="14"/>
        <v>100</v>
      </c>
      <c r="X28" s="1501"/>
      <c r="Y28" s="3524"/>
      <c r="Z28" s="1509" t="str">
        <f t="shared" si="15"/>
        <v>公共部分装修</v>
      </c>
      <c r="AA28" s="1510">
        <f t="shared" si="3"/>
        <v>1</v>
      </c>
      <c r="AB28" s="1510">
        <f t="shared" si="4"/>
        <v>1</v>
      </c>
      <c r="AC28" s="1510">
        <f t="shared" si="5"/>
        <v>1</v>
      </c>
    </row>
    <row r="29" spans="1:29" ht="15">
      <c r="A29" s="920"/>
      <c r="B29" s="576" t="s">
        <v>802</v>
      </c>
      <c r="C29" s="872">
        <v>1</v>
      </c>
      <c r="D29" s="534">
        <v>100</v>
      </c>
      <c r="E29" s="872">
        <v>1</v>
      </c>
      <c r="F29" s="569">
        <f>LOOKUP(E29,86:86,87:87)-LOOKUP(C29,86:86,87:87)+100</f>
        <v>100</v>
      </c>
      <c r="G29" s="872">
        <v>1</v>
      </c>
      <c r="H29" s="569">
        <f>LOOKUP(G29,86:86,87:87)-LOOKUP(C29,86:86,87:87)+100</f>
        <v>100</v>
      </c>
      <c r="I29" s="872">
        <v>1</v>
      </c>
      <c r="J29" s="534">
        <f>LOOKUP(I29,86:86,87:87)-LOOKUP(C29,86:86,87:87)+100</f>
        <v>100</v>
      </c>
      <c r="K29" s="578">
        <v>1</v>
      </c>
      <c r="L29" s="2024"/>
      <c r="M29" s="2016"/>
      <c r="N29" s="2016"/>
      <c r="O29" s="2023"/>
      <c r="P29" s="3524"/>
      <c r="Q29" s="1506" t="str">
        <f t="shared" si="11"/>
        <v>成新率</v>
      </c>
      <c r="R29" s="1507" t="s">
        <v>8</v>
      </c>
      <c r="S29" s="1508">
        <f t="shared" si="12"/>
        <v>100</v>
      </c>
      <c r="T29" s="1507" t="s">
        <v>8</v>
      </c>
      <c r="U29" s="1508">
        <f t="shared" si="13"/>
        <v>100</v>
      </c>
      <c r="V29" s="1507" t="s">
        <v>8</v>
      </c>
      <c r="W29" s="1508">
        <f t="shared" si="14"/>
        <v>100</v>
      </c>
      <c r="X29" s="1501"/>
      <c r="Y29" s="3524"/>
      <c r="Z29" s="1509" t="str">
        <f t="shared" si="15"/>
        <v>成新率</v>
      </c>
      <c r="AA29" s="1510">
        <f t="shared" si="3"/>
        <v>1</v>
      </c>
      <c r="AB29" s="1510">
        <f t="shared" si="4"/>
        <v>1</v>
      </c>
      <c r="AC29" s="1510">
        <f t="shared" si="5"/>
        <v>1</v>
      </c>
    </row>
    <row r="30" spans="1:29" ht="15">
      <c r="A30" s="920"/>
      <c r="B30" s="576" t="s">
        <v>803</v>
      </c>
      <c r="C30" s="921" t="s">
        <v>3511</v>
      </c>
      <c r="D30" s="534">
        <v>100</v>
      </c>
      <c r="E30" s="921" t="s">
        <v>3511</v>
      </c>
      <c r="F30" s="569">
        <f>SUMIF(88:88,E30,89:89)-SUMIF(88:88,C30,89:89)+100</f>
        <v>100</v>
      </c>
      <c r="G30" s="921" t="s">
        <v>3511</v>
      </c>
      <c r="H30" s="534">
        <f>SUMIF(88:88,E30,89:89)-SUMIF(88:88,C30,89:89)+100</f>
        <v>100</v>
      </c>
      <c r="I30" s="921" t="s">
        <v>3511</v>
      </c>
      <c r="J30" s="534">
        <f>SUMIF(88:88,E30,89:89)-SUMIF(88:88,C30,89:89)+100</f>
        <v>100</v>
      </c>
      <c r="K30" s="578">
        <v>1</v>
      </c>
      <c r="L30" s="2024"/>
      <c r="M30" s="2016"/>
      <c r="N30" s="2016"/>
      <c r="O30" s="2023"/>
      <c r="P30" s="3524"/>
      <c r="Q30" s="1506" t="str">
        <f t="shared" si="11"/>
        <v>物业等级</v>
      </c>
      <c r="R30" s="1507" t="s">
        <v>8</v>
      </c>
      <c r="S30" s="1508">
        <f t="shared" si="12"/>
        <v>100</v>
      </c>
      <c r="T30" s="1507" t="s">
        <v>8</v>
      </c>
      <c r="U30" s="1508">
        <f t="shared" si="13"/>
        <v>100</v>
      </c>
      <c r="V30" s="1507" t="s">
        <v>8</v>
      </c>
      <c r="W30" s="1508">
        <f t="shared" si="14"/>
        <v>100</v>
      </c>
      <c r="X30" s="1501"/>
      <c r="Y30" s="3524"/>
      <c r="Z30" s="1509" t="str">
        <f t="shared" si="15"/>
        <v>物业等级</v>
      </c>
      <c r="AA30" s="1510">
        <f t="shared" si="3"/>
        <v>1</v>
      </c>
      <c r="AB30" s="1510">
        <f t="shared" si="4"/>
        <v>1</v>
      </c>
      <c r="AC30" s="1510">
        <f t="shared" si="5"/>
        <v>1</v>
      </c>
    </row>
    <row r="31" spans="1:29" s="1203" customFormat="1" ht="15">
      <c r="A31" s="922"/>
      <c r="B31" s="576" t="s">
        <v>804</v>
      </c>
      <c r="C31" s="869">
        <v>28.5</v>
      </c>
      <c r="D31" s="253">
        <v>100</v>
      </c>
      <c r="E31" s="869">
        <v>27.8</v>
      </c>
      <c r="F31" s="569">
        <f>LOOKUP(E31,91:91,92:92)-LOOKUP(C31,91:91,92:92)+100</f>
        <v>100</v>
      </c>
      <c r="G31" s="869">
        <v>38.799999999999997</v>
      </c>
      <c r="H31" s="534">
        <f>LOOKUP(G31,91:91,92:92)-LOOKUP(C31,91:91,92:92)+100</f>
        <v>102</v>
      </c>
      <c r="I31" s="869">
        <v>35</v>
      </c>
      <c r="J31" s="534">
        <f>LOOKUP(I31,91:91,92:92)-LOOKUP(C31,91:91,92:92)+100</f>
        <v>102</v>
      </c>
      <c r="K31" s="578">
        <v>2</v>
      </c>
      <c r="L31" s="2017"/>
      <c r="M31" s="2018"/>
      <c r="N31" s="2018"/>
      <c r="O31" s="2019"/>
      <c r="P31" s="3524"/>
      <c r="Q31" s="1134" t="str">
        <f t="shared" si="11"/>
        <v>停车位面积</v>
      </c>
      <c r="R31" s="1502" t="s">
        <v>8</v>
      </c>
      <c r="S31" s="1503">
        <f t="shared" si="12"/>
        <v>100</v>
      </c>
      <c r="T31" s="1502" t="s">
        <v>8</v>
      </c>
      <c r="U31" s="1503">
        <f t="shared" si="13"/>
        <v>102</v>
      </c>
      <c r="V31" s="1502" t="s">
        <v>8</v>
      </c>
      <c r="W31" s="1503">
        <f t="shared" si="14"/>
        <v>102</v>
      </c>
      <c r="X31" s="1504"/>
      <c r="Y31" s="3524"/>
      <c r="Z31" s="1133" t="str">
        <f t="shared" si="15"/>
        <v>停车位面积</v>
      </c>
      <c r="AA31" s="1505">
        <f t="shared" si="3"/>
        <v>1</v>
      </c>
      <c r="AB31" s="1505">
        <f t="shared" si="4"/>
        <v>0.98039215686274506</v>
      </c>
      <c r="AC31" s="1505">
        <f t="shared" si="5"/>
        <v>0.98039215686274506</v>
      </c>
    </row>
    <row r="32" spans="1:29" ht="15">
      <c r="A32" s="920"/>
      <c r="B32" s="576" t="s">
        <v>805</v>
      </c>
      <c r="C32" s="568" t="s">
        <v>3582</v>
      </c>
      <c r="D32" s="534">
        <v>100</v>
      </c>
      <c r="E32" s="568" t="s">
        <v>3582</v>
      </c>
      <c r="F32" s="569">
        <f>SUMIF(93:93,E32,94:94)-SUMIF(93:93,C32,94:94)+100</f>
        <v>100</v>
      </c>
      <c r="G32" s="568" t="s">
        <v>3582</v>
      </c>
      <c r="H32" s="534">
        <f>SUMIF(93:93,G32,94:94)-SUMIF(93:93,C32,94:94)+100</f>
        <v>100</v>
      </c>
      <c r="I32" s="568" t="s">
        <v>3582</v>
      </c>
      <c r="J32" s="534">
        <f>SUMIF(93:93,I32,94:94)-SUMIF(93:93,C32,94:94)+100</f>
        <v>100</v>
      </c>
      <c r="K32" s="578">
        <v>1</v>
      </c>
      <c r="L32" s="2024"/>
      <c r="M32" s="2016"/>
      <c r="N32" s="2016"/>
      <c r="O32" s="2023"/>
      <c r="P32" s="3524" t="s">
        <v>543</v>
      </c>
      <c r="Q32" s="1506" t="str">
        <f t="shared" si="11"/>
        <v>车位类型</v>
      </c>
      <c r="R32" s="1507" t="s">
        <v>8</v>
      </c>
      <c r="S32" s="1508">
        <f t="shared" si="12"/>
        <v>100</v>
      </c>
      <c r="T32" s="1507" t="s">
        <v>8</v>
      </c>
      <c r="U32" s="1508">
        <f t="shared" si="13"/>
        <v>100</v>
      </c>
      <c r="V32" s="1507" t="s">
        <v>8</v>
      </c>
      <c r="W32" s="1508">
        <f t="shared" si="14"/>
        <v>100</v>
      </c>
      <c r="X32" s="1501"/>
      <c r="Y32" s="3524" t="s">
        <v>543</v>
      </c>
      <c r="Z32" s="1509" t="str">
        <f t="shared" si="15"/>
        <v>车位类型</v>
      </c>
      <c r="AA32" s="1510">
        <f t="shared" si="3"/>
        <v>1</v>
      </c>
      <c r="AB32" s="1510">
        <f t="shared" si="4"/>
        <v>1</v>
      </c>
      <c r="AC32" s="1510">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4"/>
      <c r="Q33" s="1506" t="str">
        <f t="shared" si="11"/>
        <v>是否直接入户</v>
      </c>
      <c r="R33" s="1507" t="s">
        <v>8</v>
      </c>
      <c r="S33" s="1508">
        <f t="shared" si="12"/>
        <v>100</v>
      </c>
      <c r="T33" s="1507" t="s">
        <v>8</v>
      </c>
      <c r="U33" s="1508">
        <f t="shared" si="13"/>
        <v>100</v>
      </c>
      <c r="V33" s="1507" t="s">
        <v>8</v>
      </c>
      <c r="W33" s="1508">
        <f t="shared" si="14"/>
        <v>100</v>
      </c>
      <c r="X33" s="1501"/>
      <c r="Y33" s="3524"/>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4"/>
      <c r="Q35" s="1535">
        <f t="shared" si="11"/>
        <v>111</v>
      </c>
      <c r="R35" s="1511" t="s">
        <v>8</v>
      </c>
      <c r="S35" s="1512">
        <f t="shared" si="12"/>
        <v>100</v>
      </c>
      <c r="T35" s="1511" t="s">
        <v>8</v>
      </c>
      <c r="U35" s="1512">
        <f t="shared" si="13"/>
        <v>100</v>
      </c>
      <c r="V35" s="1511" t="s">
        <v>8</v>
      </c>
      <c r="W35" s="1512">
        <f t="shared" si="14"/>
        <v>100</v>
      </c>
      <c r="X35" s="1513"/>
      <c r="Y35" s="3524"/>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4"/>
      <c r="Q36" s="1506">
        <f t="shared" si="11"/>
        <v>111</v>
      </c>
      <c r="R36" s="1507" t="s">
        <v>8</v>
      </c>
      <c r="S36" s="1508">
        <f t="shared" si="12"/>
        <v>100</v>
      </c>
      <c r="T36" s="1507" t="s">
        <v>8</v>
      </c>
      <c r="U36" s="1508">
        <f t="shared" si="13"/>
        <v>100</v>
      </c>
      <c r="V36" s="1507" t="s">
        <v>8</v>
      </c>
      <c r="W36" s="1508">
        <f t="shared" si="14"/>
        <v>100</v>
      </c>
      <c r="X36" s="1501"/>
      <c r="Y36" s="3524"/>
      <c r="Z36" s="1509">
        <f t="shared" si="15"/>
        <v>111</v>
      </c>
      <c r="AA36" s="1510">
        <f t="shared" si="3"/>
        <v>1</v>
      </c>
      <c r="AB36" s="1510">
        <f t="shared" si="4"/>
        <v>1</v>
      </c>
      <c r="AC36" s="1510">
        <f t="shared" si="5"/>
        <v>1</v>
      </c>
    </row>
    <row r="37" spans="1:29" ht="15">
      <c r="A37" s="1760" t="s">
        <v>2065</v>
      </c>
      <c r="B37" s="1761" t="s">
        <v>3572</v>
      </c>
      <c r="C37" s="2470" t="s">
        <v>1</v>
      </c>
      <c r="D37" s="2471"/>
      <c r="E37" s="2472">
        <v>312000</v>
      </c>
      <c r="F37" s="2473"/>
      <c r="G37" s="2474">
        <v>349090</v>
      </c>
      <c r="H37" s="2475"/>
      <c r="I37" s="2472">
        <v>400000</v>
      </c>
      <c r="J37" s="2475"/>
      <c r="K37" s="1540"/>
      <c r="L37" s="2026"/>
      <c r="M37" s="2027"/>
      <c r="N37" s="2016"/>
      <c r="O37" s="2027"/>
      <c r="P37" s="3486" t="str">
        <f>A37</f>
        <v>成交单价</v>
      </c>
      <c r="Q37" s="3486"/>
      <c r="R37" s="3605">
        <f>E37</f>
        <v>312000</v>
      </c>
      <c r="S37" s="3605"/>
      <c r="T37" s="3605">
        <f>G37</f>
        <v>349090</v>
      </c>
      <c r="U37" s="3605"/>
      <c r="V37" s="3605">
        <f>I37</f>
        <v>400000</v>
      </c>
      <c r="W37" s="3605"/>
      <c r="X37" s="1496"/>
      <c r="Y37" s="1515"/>
      <c r="Z37" s="1496"/>
      <c r="AA37" s="1496"/>
      <c r="AB37" s="1496"/>
      <c r="AC37" s="1496"/>
    </row>
    <row r="38" spans="1:29" ht="15.75" thickBot="1">
      <c r="A38" s="609" t="s">
        <v>2738</v>
      </c>
      <c r="B38" s="877"/>
      <c r="C38" s="2476">
        <f>R39</f>
        <v>342756</v>
      </c>
      <c r="D38" s="3014" t="s">
        <v>2968</v>
      </c>
      <c r="E38" s="2477">
        <f>R38</f>
        <v>312000</v>
      </c>
      <c r="F38" s="3015"/>
      <c r="G38" s="2476">
        <f>T38</f>
        <v>335534</v>
      </c>
      <c r="H38" s="3015"/>
      <c r="I38" s="2477">
        <f>V38</f>
        <v>380735</v>
      </c>
      <c r="J38" s="3015"/>
      <c r="K38" s="3023">
        <f>F38+H38+J38</f>
        <v>0</v>
      </c>
      <c r="L38" s="2026"/>
      <c r="M38" s="2027"/>
      <c r="N38" s="2027"/>
      <c r="O38" s="2027"/>
      <c r="P38" s="3486" t="str">
        <f>A38</f>
        <v>比较价格（元/平方米）</v>
      </c>
      <c r="Q38" s="3486"/>
      <c r="R38" s="3605">
        <f>IF(F1="售价",ROUND(PRODUCT(R37,AA7:AA36),0),ROUND(PRODUCT(R37,AA7:AA36),1))</f>
        <v>312000</v>
      </c>
      <c r="S38" s="3605"/>
      <c r="T38" s="3605">
        <f>IF(F1="售价",ROUND(PRODUCT(T37,AB7:AB36),0),ROUND(PRODUCT(T37,AB7:AB36),1))</f>
        <v>335534</v>
      </c>
      <c r="U38" s="3605"/>
      <c r="V38" s="3605">
        <f>IF(F1="售价",ROUND(PRODUCT(V37,AC7:AC36),0),ROUND(PRODUCT(V37,AC7:AC36),1))</f>
        <v>380735</v>
      </c>
      <c r="W38" s="3605"/>
      <c r="X38" s="1496"/>
      <c r="Y38" s="1496"/>
      <c r="Z38" s="1496"/>
      <c r="AA38" s="1496"/>
      <c r="AB38" s="1496"/>
      <c r="AC38" s="1496"/>
    </row>
    <row r="39" spans="1:29" ht="15.75" thickBot="1">
      <c r="A39" s="613" t="s">
        <v>2900</v>
      </c>
      <c r="B39" s="614"/>
      <c r="C39" s="2478">
        <f>R39</f>
        <v>342756</v>
      </c>
      <c r="D39" s="2478"/>
      <c r="E39" s="2478"/>
      <c r="F39" s="2478"/>
      <c r="G39" s="2478"/>
      <c r="H39" s="2478"/>
      <c r="I39" s="2478"/>
      <c r="J39" s="2478"/>
      <c r="K39" s="1541"/>
      <c r="L39" s="2026"/>
      <c r="M39" s="2027"/>
      <c r="N39" s="2027"/>
      <c r="O39" s="2027"/>
      <c r="P39" s="3483" t="str">
        <f>A39</f>
        <v>估价对象XX用房的比较价格（楼面单价，元/平方米）</v>
      </c>
      <c r="Q39" s="3484"/>
      <c r="R39" s="3604">
        <f>IF(F1="售价",ROUND(IF(D38="简单平均",AVERAGE(R38:W38),R38*F38+T38*H38+V38*J38),0),ROUND(IF(D38="简单平均",AVERAGE(R38:V38),R38*F38+T38*H38+V38*J38),1))</f>
        <v>342756</v>
      </c>
      <c r="S39" s="3604"/>
      <c r="T39" s="3604"/>
      <c r="U39" s="3604"/>
      <c r="V39" s="3604"/>
      <c r="W39" s="3604"/>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550</v>
      </c>
      <c r="D42" s="617"/>
      <c r="E42" s="618">
        <f>IF(E37&lt;E38,E38/E37-1,E37/E38-1)</f>
        <v>0</v>
      </c>
      <c r="F42" s="619" t="str">
        <f>IF(OR(E42&gt;=0.3,E42&lt;=-0.3),"超过30%","")</f>
        <v/>
      </c>
      <c r="G42" s="618">
        <f>IF(G37&lt;G38,G38/G37-1,G37/G38-1)</f>
        <v>4.0401270810111578E-2</v>
      </c>
      <c r="H42" s="619" t="str">
        <f>IF(OR(G42&gt;=0.3,G42&lt;=-0.3),"超过30%","")</f>
        <v/>
      </c>
      <c r="I42" s="618">
        <f>IF(I37&lt;I38,I38/I37-1,I37/I38-1)</f>
        <v>5.0599498338739446E-2</v>
      </c>
      <c r="J42" s="619" t="str">
        <f>IF(OR(I42&gt;=0.3,I42&lt;=-0.3),"超过30%","")</f>
        <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551</v>
      </c>
      <c r="D43" s="620"/>
      <c r="E43" s="618">
        <f>IF(E38&lt;G38,G38/E38-1,E38/G38-1)</f>
        <v>7.5429487179487165E-2</v>
      </c>
      <c r="F43" s="619" t="str">
        <f>IF(OR(E43&gt;=0.2,E43&lt;=-0.2),"超过20%","")</f>
        <v/>
      </c>
      <c r="G43" s="618">
        <f>IF(G38&lt;I38,I38/G38-1,G38/I38-1)</f>
        <v>0.13471362067629511</v>
      </c>
      <c r="H43" s="619" t="str">
        <f>IF(OR(G43&gt;=0.2,G43&lt;=-0.2),"超过20%","")</f>
        <v/>
      </c>
      <c r="I43" s="618">
        <f>IF(I38&lt;E38,E38/I38-1,I38/E38-1)</f>
        <v>0.22030448717948725</v>
      </c>
      <c r="J43" s="619" t="str">
        <f>IF(OR(I43&gt;=0.2,I43&lt;=-0.2),"超过20%","")</f>
        <v>超过20%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552</v>
      </c>
      <c r="D44" s="620"/>
      <c r="E44" s="618">
        <f>IF(E37&lt;G37,G37/E37-1,E37/G37-1)</f>
        <v>0.11887820512820513</v>
      </c>
      <c r="F44" s="619" t="str">
        <f>IF(OR(E44&gt;=0.3,E44&lt;=-0.3),"超过30%","")</f>
        <v/>
      </c>
      <c r="G44" s="618">
        <f>IF(G37&lt;I37,I37/G37-1,G37/I37-1)</f>
        <v>0.14583631728207624</v>
      </c>
      <c r="H44" s="619" t="str">
        <f>IF(OR(G44&gt;=0.3,G44&lt;=-0.3),"超过30%","")</f>
        <v/>
      </c>
      <c r="I44" s="618">
        <f>IF(I37&lt;E37,E37/I37-1,I37/E37-1)</f>
        <v>0.28205128205128216</v>
      </c>
      <c r="J44" s="619" t="str">
        <f>IF(OR(I44&gt;=0.3,I44&lt;=-0.3),"超过30%","")</f>
        <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567</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2021-4</v>
      </c>
      <c r="D48" s="2521">
        <f>EDATE(C48,-1)</f>
        <v>44256</v>
      </c>
      <c r="E48" s="2521">
        <f t="shared" ref="E48:O48" si="16">EDATE(D48,-1)</f>
        <v>44228</v>
      </c>
      <c r="F48" s="2521">
        <f t="shared" si="16"/>
        <v>44197</v>
      </c>
      <c r="G48" s="2521">
        <f t="shared" si="16"/>
        <v>44166</v>
      </c>
      <c r="H48" s="2521">
        <f t="shared" si="16"/>
        <v>44136</v>
      </c>
      <c r="I48" s="2521">
        <f t="shared" si="16"/>
        <v>44105</v>
      </c>
      <c r="J48" s="2521">
        <f t="shared" si="16"/>
        <v>44075</v>
      </c>
      <c r="K48" s="2521">
        <f t="shared" si="16"/>
        <v>44044</v>
      </c>
      <c r="L48" s="2521">
        <f t="shared" si="16"/>
        <v>44013</v>
      </c>
      <c r="M48" s="2521">
        <f t="shared" si="16"/>
        <v>43983</v>
      </c>
      <c r="N48" s="2521">
        <f t="shared" si="16"/>
        <v>43952</v>
      </c>
      <c r="O48" s="2521">
        <f t="shared" si="16"/>
        <v>43922</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v>100</v>
      </c>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t="str">
        <f>C9</f>
        <v>车库</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99</v>
      </c>
      <c r="G56" s="671">
        <f>F56-$K10</f>
        <v>98</v>
      </c>
      <c r="H56" s="671">
        <f>G56-$K10</f>
        <v>97</v>
      </c>
      <c r="I56" s="671">
        <f>H56-$K10</f>
        <v>96</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97</v>
      </c>
      <c r="E64" s="671">
        <f>D64-$K14</f>
        <v>94</v>
      </c>
      <c r="F64" s="671">
        <f>E64-$K14</f>
        <v>91</v>
      </c>
      <c r="G64" s="671">
        <f>F64-$K14</f>
        <v>88</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98</v>
      </c>
      <c r="E66" s="671">
        <f>D66-$K16</f>
        <v>96</v>
      </c>
      <c r="F66" s="671">
        <f>E66-$K16</f>
        <v>94</v>
      </c>
      <c r="G66" s="671">
        <f>F66-$K16</f>
        <v>92</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99</v>
      </c>
      <c r="E68" s="671">
        <f>D68-$K18</f>
        <v>98</v>
      </c>
      <c r="F68" s="671">
        <f>E68-$K18</f>
        <v>97</v>
      </c>
      <c r="G68" s="671">
        <f>F68-$K18</f>
        <v>96</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98</v>
      </c>
      <c r="E70" s="671">
        <f>D70-$K20</f>
        <v>96</v>
      </c>
      <c r="F70" s="671">
        <f>E70-$K20</f>
        <v>94</v>
      </c>
      <c r="G70" s="671">
        <f>F70-$K20</f>
        <v>92</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t="str">
        <f>C26</f>
        <v>住宅</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99</v>
      </c>
      <c r="E80" s="671">
        <f t="shared" si="17"/>
        <v>98</v>
      </c>
      <c r="F80" s="671">
        <f t="shared" si="17"/>
        <v>97</v>
      </c>
      <c r="G80" s="671">
        <f t="shared" si="17"/>
        <v>96</v>
      </c>
      <c r="H80" s="671">
        <f t="shared" si="17"/>
        <v>95</v>
      </c>
      <c r="I80" s="671">
        <f t="shared" si="17"/>
        <v>94</v>
      </c>
      <c r="J80" s="671">
        <f t="shared" si="17"/>
        <v>93</v>
      </c>
      <c r="K80" s="671">
        <f t="shared" si="17"/>
        <v>92</v>
      </c>
      <c r="L80" s="671">
        <f t="shared" si="17"/>
        <v>91</v>
      </c>
      <c r="M80" s="672">
        <f t="shared" si="17"/>
        <v>90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3300" t="s">
        <v>3580</v>
      </c>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99</v>
      </c>
      <c r="E84" s="671">
        <f t="shared" si="18"/>
        <v>98</v>
      </c>
      <c r="F84" s="671">
        <f t="shared" si="18"/>
        <v>97</v>
      </c>
      <c r="G84" s="671">
        <f t="shared" si="18"/>
        <v>96</v>
      </c>
      <c r="H84" s="671">
        <f t="shared" si="18"/>
        <v>95</v>
      </c>
      <c r="I84" s="671">
        <f t="shared" si="18"/>
        <v>94</v>
      </c>
      <c r="J84" s="671">
        <f t="shared" si="18"/>
        <v>93</v>
      </c>
      <c r="K84" s="671">
        <f t="shared" si="18"/>
        <v>92</v>
      </c>
      <c r="L84" s="671">
        <f t="shared" si="18"/>
        <v>91</v>
      </c>
      <c r="M84" s="672">
        <f t="shared" si="18"/>
        <v>90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101</v>
      </c>
      <c r="E87" s="671">
        <f t="shared" ref="E87:M87" si="19">D87+$K$29</f>
        <v>102</v>
      </c>
      <c r="F87" s="671">
        <f t="shared" si="19"/>
        <v>103</v>
      </c>
      <c r="G87" s="671">
        <f t="shared" si="19"/>
        <v>104</v>
      </c>
      <c r="H87" s="671">
        <f t="shared" si="19"/>
        <v>105</v>
      </c>
      <c r="I87" s="671">
        <f t="shared" si="19"/>
        <v>106</v>
      </c>
      <c r="J87" s="671">
        <f t="shared" si="19"/>
        <v>107</v>
      </c>
      <c r="K87" s="671">
        <f t="shared" si="19"/>
        <v>108</v>
      </c>
      <c r="L87" s="671">
        <f t="shared" si="19"/>
        <v>109</v>
      </c>
      <c r="M87" s="671">
        <f t="shared" si="19"/>
        <v>110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3294" t="s">
        <v>3581</v>
      </c>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101</v>
      </c>
      <c r="E89" s="671">
        <f t="shared" si="20"/>
        <v>102</v>
      </c>
      <c r="F89" s="671">
        <f t="shared" si="20"/>
        <v>103</v>
      </c>
      <c r="G89" s="671">
        <f t="shared" si="20"/>
        <v>104</v>
      </c>
      <c r="H89" s="671">
        <f t="shared" si="20"/>
        <v>105</v>
      </c>
      <c r="I89" s="671">
        <f t="shared" si="20"/>
        <v>106</v>
      </c>
      <c r="J89" s="671">
        <f t="shared" si="20"/>
        <v>107</v>
      </c>
      <c r="K89" s="671">
        <f t="shared" si="20"/>
        <v>108</v>
      </c>
      <c r="L89" s="671">
        <f t="shared" si="20"/>
        <v>109</v>
      </c>
      <c r="M89" s="671">
        <f t="shared" si="20"/>
        <v>110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0(含)-30</v>
      </c>
      <c r="D90" s="700" t="str">
        <f t="shared" ref="D90:L90" si="21">D91&amp;"(含)"&amp;"-"&amp;E91</f>
        <v>30(含)-60</v>
      </c>
      <c r="E90" s="700" t="str">
        <f t="shared" si="21"/>
        <v>60(含)-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v>0</v>
      </c>
      <c r="D91" s="722">
        <v>30</v>
      </c>
      <c r="E91" s="722">
        <v>60</v>
      </c>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v>100</v>
      </c>
      <c r="D92" s="663">
        <f>C92+2</f>
        <v>102</v>
      </c>
      <c r="E92" s="663">
        <f>D92+2</f>
        <v>104</v>
      </c>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3300" t="s">
        <v>3583</v>
      </c>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99</v>
      </c>
      <c r="E94" s="671">
        <f t="shared" si="22"/>
        <v>98</v>
      </c>
      <c r="F94" s="671">
        <f t="shared" si="22"/>
        <v>97</v>
      </c>
      <c r="G94" s="671">
        <f t="shared" si="22"/>
        <v>96</v>
      </c>
      <c r="H94" s="671">
        <f t="shared" si="22"/>
        <v>95</v>
      </c>
      <c r="I94" s="671">
        <f t="shared" si="22"/>
        <v>94</v>
      </c>
      <c r="J94" s="671">
        <f t="shared" si="22"/>
        <v>93</v>
      </c>
      <c r="K94" s="671">
        <f t="shared" si="22"/>
        <v>92</v>
      </c>
      <c r="L94" s="671">
        <f t="shared" si="22"/>
        <v>91</v>
      </c>
      <c r="M94" s="672">
        <f t="shared" si="22"/>
        <v>90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E41" sqref="AE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790</v>
      </c>
      <c r="B4" s="507"/>
      <c r="C4" s="3492" t="s">
        <v>791</v>
      </c>
      <c r="D4" s="3493"/>
      <c r="E4" s="3527" t="s">
        <v>792</v>
      </c>
      <c r="F4" s="3528"/>
      <c r="G4" s="3492" t="s">
        <v>793</v>
      </c>
      <c r="H4" s="3493"/>
      <c r="I4" s="3492" t="s">
        <v>794</v>
      </c>
      <c r="J4" s="3493"/>
      <c r="K4" s="508" t="s">
        <v>795</v>
      </c>
      <c r="L4" s="2015"/>
      <c r="M4" s="2016"/>
      <c r="N4" s="2016"/>
      <c r="O4" s="2016"/>
      <c r="P4" s="3494" t="s">
        <v>796</v>
      </c>
      <c r="Q4" s="3495"/>
      <c r="R4" s="3500" t="s">
        <v>792</v>
      </c>
      <c r="S4" s="3501"/>
      <c r="T4" s="3500" t="s">
        <v>793</v>
      </c>
      <c r="U4" s="3501"/>
      <c r="V4" s="3487" t="s">
        <v>794</v>
      </c>
      <c r="W4" s="3487"/>
      <c r="X4" s="1501"/>
      <c r="Y4" s="3500" t="s">
        <v>796</v>
      </c>
      <c r="Z4" s="3501"/>
      <c r="AA4" s="3489" t="s">
        <v>792</v>
      </c>
      <c r="AB4" s="3490" t="s">
        <v>793</v>
      </c>
      <c r="AC4" s="3489" t="s">
        <v>794</v>
      </c>
    </row>
    <row r="5" spans="1:29" ht="15">
      <c r="A5" s="509"/>
      <c r="B5" s="510"/>
      <c r="C5" s="3508" t="s">
        <v>2894</v>
      </c>
      <c r="D5" s="3509"/>
      <c r="E5" s="3529" t="s">
        <v>2895</v>
      </c>
      <c r="F5" s="3530"/>
      <c r="G5" s="3508" t="s">
        <v>2896</v>
      </c>
      <c r="H5" s="3509"/>
      <c r="I5" s="3508" t="s">
        <v>2897</v>
      </c>
      <c r="J5" s="3509"/>
      <c r="K5" s="508"/>
      <c r="L5" s="2015"/>
      <c r="M5" s="2016"/>
      <c r="N5" s="2016"/>
      <c r="O5" s="2016"/>
      <c r="P5" s="3496"/>
      <c r="Q5" s="3497"/>
      <c r="R5" s="3502"/>
      <c r="S5" s="3503"/>
      <c r="T5" s="3502"/>
      <c r="U5" s="3503"/>
      <c r="V5" s="3487"/>
      <c r="W5" s="3487"/>
      <c r="X5" s="1501"/>
      <c r="Y5" s="3502"/>
      <c r="Z5" s="3503"/>
      <c r="AA5" s="3490"/>
      <c r="AB5" s="3490"/>
      <c r="AC5" s="3490"/>
    </row>
    <row r="6" spans="1:29" ht="15.75" thickBot="1">
      <c r="A6" s="511"/>
      <c r="B6" s="512"/>
      <c r="C6" s="3506" t="s">
        <v>2898</v>
      </c>
      <c r="D6" s="3507"/>
      <c r="E6" s="3525" t="s">
        <v>2898</v>
      </c>
      <c r="F6" s="3526"/>
      <c r="G6" s="3506" t="s">
        <v>2898</v>
      </c>
      <c r="H6" s="3507"/>
      <c r="I6" s="3506" t="s">
        <v>2898</v>
      </c>
      <c r="J6" s="3507"/>
      <c r="K6" s="508" t="s">
        <v>521</v>
      </c>
      <c r="L6" s="2015"/>
      <c r="M6" s="2016"/>
      <c r="N6" s="2016"/>
      <c r="O6" s="2016"/>
      <c r="P6" s="3498"/>
      <c r="Q6" s="3499"/>
      <c r="R6" s="3502"/>
      <c r="S6" s="3503"/>
      <c r="T6" s="3504"/>
      <c r="U6" s="3505"/>
      <c r="V6" s="3487"/>
      <c r="W6" s="3487"/>
      <c r="X6" s="1501"/>
      <c r="Y6" s="3504"/>
      <c r="Z6" s="3505"/>
      <c r="AA6" s="3491"/>
      <c r="AB6" s="3491"/>
      <c r="AC6" s="3491"/>
    </row>
    <row r="7" spans="1:29" s="1203" customFormat="1" ht="15.75" thickBot="1">
      <c r="A7" s="2629"/>
      <c r="B7" s="2636" t="s">
        <v>522</v>
      </c>
      <c r="C7" s="513">
        <f>'数据-取费表'!B2</f>
        <v>44300</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8" t="s">
        <v>523</v>
      </c>
      <c r="Q7" s="3520"/>
      <c r="R7" s="1502" t="s">
        <v>8</v>
      </c>
      <c r="S7" s="1503">
        <f t="shared" ref="S7:S14" si="0">F7</f>
        <v>0</v>
      </c>
      <c r="T7" s="1502" t="s">
        <v>8</v>
      </c>
      <c r="U7" s="1503">
        <f t="shared" ref="U7:U14" si="1">H7</f>
        <v>0</v>
      </c>
      <c r="V7" s="1502" t="s">
        <v>8</v>
      </c>
      <c r="W7" s="1503">
        <f t="shared" ref="W7:W14" si="2">J7</f>
        <v>0</v>
      </c>
      <c r="X7" s="1504"/>
      <c r="Y7" s="3518" t="s">
        <v>523</v>
      </c>
      <c r="Z7" s="3519"/>
      <c r="AA7" s="1505" t="e">
        <f>D7/F7</f>
        <v>#DIV/0!</v>
      </c>
      <c r="AB7" s="1505" t="e">
        <f>D7/H7</f>
        <v>#DIV/0!</v>
      </c>
      <c r="AC7" s="1505"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8" t="s">
        <v>526</v>
      </c>
      <c r="Q8" s="3519"/>
      <c r="R8" s="1502" t="s">
        <v>8</v>
      </c>
      <c r="S8" s="1503">
        <f t="shared" si="0"/>
        <v>0</v>
      </c>
      <c r="T8" s="1502" t="s">
        <v>8</v>
      </c>
      <c r="U8" s="1503">
        <f t="shared" si="1"/>
        <v>0</v>
      </c>
      <c r="V8" s="1502" t="s">
        <v>8</v>
      </c>
      <c r="W8" s="1503">
        <f t="shared" si="2"/>
        <v>0</v>
      </c>
      <c r="X8" s="1504"/>
      <c r="Y8" s="3518" t="s">
        <v>526</v>
      </c>
      <c r="Z8" s="3519"/>
      <c r="AA8" s="1505" t="e">
        <f t="shared" ref="AA8:AA34" si="3">D8/F8</f>
        <v>#DIV/0!</v>
      </c>
      <c r="AB8" s="1505" t="e">
        <f t="shared" ref="AB8:AB34" si="4">D8/H8</f>
        <v>#DIV/0!</v>
      </c>
      <c r="AC8" s="1505" t="e">
        <f t="shared" ref="AC8:AC34" si="5">D8/J8</f>
        <v>#DIV/0!</v>
      </c>
    </row>
    <row r="9" spans="1:29" s="1203" customFormat="1" ht="15">
      <c r="A9" s="2631"/>
      <c r="B9" s="2638"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6" t="s">
        <v>528</v>
      </c>
      <c r="Q9" s="1134" t="str">
        <f t="shared" ref="Q9:Q14" si="6">B9</f>
        <v>用途</v>
      </c>
      <c r="R9" s="1502" t="s">
        <v>8</v>
      </c>
      <c r="S9" s="1503">
        <f t="shared" si="0"/>
        <v>100</v>
      </c>
      <c r="T9" s="1502" t="s">
        <v>8</v>
      </c>
      <c r="U9" s="1503">
        <f t="shared" si="1"/>
        <v>100</v>
      </c>
      <c r="V9" s="1502" t="s">
        <v>8</v>
      </c>
      <c r="W9" s="1503">
        <f t="shared" si="2"/>
        <v>100</v>
      </c>
      <c r="X9" s="1504"/>
      <c r="Y9" s="3432" t="s">
        <v>529</v>
      </c>
      <c r="Z9" s="1133" t="str">
        <f t="shared" ref="Z9:Z14" si="7">Q9</f>
        <v>用途</v>
      </c>
      <c r="AA9" s="1505">
        <f t="shared" si="3"/>
        <v>1</v>
      </c>
      <c r="AB9" s="1505">
        <f t="shared" si="4"/>
        <v>1</v>
      </c>
      <c r="AC9" s="1505">
        <f t="shared" si="5"/>
        <v>1</v>
      </c>
    </row>
    <row r="10" spans="1:29" s="1292" customFormat="1" ht="27">
      <c r="A10" s="2632"/>
      <c r="B10" s="2637"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2"/>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6"/>
      <c r="Q11" s="1134">
        <f t="shared" si="6"/>
        <v>111</v>
      </c>
      <c r="R11" s="1502" t="s">
        <v>8</v>
      </c>
      <c r="S11" s="1503">
        <f t="shared" si="0"/>
        <v>100</v>
      </c>
      <c r="T11" s="1502" t="s">
        <v>8</v>
      </c>
      <c r="U11" s="1503">
        <f t="shared" si="1"/>
        <v>100</v>
      </c>
      <c r="V11" s="1502" t="s">
        <v>8</v>
      </c>
      <c r="W11" s="1503">
        <f t="shared" si="2"/>
        <v>100</v>
      </c>
      <c r="X11" s="1504"/>
      <c r="Y11" s="3432"/>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2"/>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2"/>
      <c r="Z13" s="1133">
        <f t="shared" si="7"/>
        <v>111</v>
      </c>
      <c r="AA13" s="1505">
        <f t="shared" si="3"/>
        <v>1</v>
      </c>
      <c r="AB13" s="1505">
        <f t="shared" si="4"/>
        <v>1</v>
      </c>
      <c r="AC13" s="1505">
        <f t="shared" si="5"/>
        <v>1</v>
      </c>
    </row>
    <row r="14" spans="1:29" ht="85.5">
      <c r="A14" s="2627" t="s">
        <v>2732</v>
      </c>
      <c r="B14" s="164" t="s">
        <v>536</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21" t="s">
        <v>533</v>
      </c>
      <c r="Q14" s="1506" t="str">
        <f t="shared" si="6"/>
        <v>交通便捷度</v>
      </c>
      <c r="R14" s="1507" t="s">
        <v>8</v>
      </c>
      <c r="S14" s="1508">
        <f t="shared" si="0"/>
        <v>100</v>
      </c>
      <c r="T14" s="1507" t="s">
        <v>8</v>
      </c>
      <c r="U14" s="1508">
        <f t="shared" si="1"/>
        <v>100</v>
      </c>
      <c r="V14" s="1507" t="s">
        <v>8</v>
      </c>
      <c r="W14" s="1508">
        <f t="shared" si="2"/>
        <v>100</v>
      </c>
      <c r="X14" s="1501"/>
      <c r="Y14" s="3521" t="s">
        <v>533</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22"/>
      <c r="Q15" s="1506"/>
      <c r="R15" s="1507"/>
      <c r="S15" s="1508"/>
      <c r="T15" s="1507"/>
      <c r="U15" s="1508"/>
      <c r="V15" s="1507"/>
      <c r="W15" s="1508"/>
      <c r="X15" s="1501"/>
      <c r="Y15" s="3522"/>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22"/>
      <c r="Q17" s="1506"/>
      <c r="R17" s="1507"/>
      <c r="S17" s="1508"/>
      <c r="T17" s="1507"/>
      <c r="U17" s="1508"/>
      <c r="V17" s="1507"/>
      <c r="W17" s="1508"/>
      <c r="X17" s="1501"/>
      <c r="Y17" s="3522"/>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57">
      <c r="A20" s="526"/>
      <c r="B20" s="860" t="s">
        <v>797</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2"/>
      <c r="Q24" s="1506">
        <f t="shared" ref="Q24:Q34"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2"/>
      <c r="Q25" s="1134">
        <f t="shared" si="11"/>
        <v>111</v>
      </c>
      <c r="R25" s="1502" t="s">
        <v>8</v>
      </c>
      <c r="S25" s="1503">
        <f>F25</f>
        <v>100</v>
      </c>
      <c r="T25" s="1502" t="s">
        <v>8</v>
      </c>
      <c r="U25" s="1503">
        <f>H25</f>
        <v>100</v>
      </c>
      <c r="V25" s="1502" t="s">
        <v>8</v>
      </c>
      <c r="W25" s="1503">
        <f>J25</f>
        <v>100</v>
      </c>
      <c r="X25" s="1504"/>
      <c r="Y25" s="3522"/>
      <c r="Z25" s="1133">
        <f>Q25</f>
        <v>111</v>
      </c>
      <c r="AA25" s="1510">
        <f>D25/F25</f>
        <v>1</v>
      </c>
      <c r="AB25" s="1510">
        <f>D25/H25</f>
        <v>1</v>
      </c>
      <c r="AC25" s="1510">
        <f>D25/J25</f>
        <v>1</v>
      </c>
    </row>
    <row r="26" spans="1:29" ht="15">
      <c r="A26" s="2624" t="s">
        <v>2733</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3" t="s">
        <v>814</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4" t="s">
        <v>814</v>
      </c>
      <c r="Z26" s="1509" t="str">
        <f t="shared" ref="Z26:Z34" si="15">Q26</f>
        <v>公共部分装修</v>
      </c>
      <c r="AA26" s="1510">
        <f t="shared" si="3"/>
        <v>1</v>
      </c>
      <c r="AB26" s="1510">
        <f t="shared" si="4"/>
        <v>1</v>
      </c>
      <c r="AC26" s="1510">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4"/>
      <c r="Q27" s="1535" t="str">
        <f t="shared" si="11"/>
        <v>成新率</v>
      </c>
      <c r="R27" s="1511" t="s">
        <v>8</v>
      </c>
      <c r="S27" s="1512" t="e">
        <f t="shared" si="12"/>
        <v>#N/A</v>
      </c>
      <c r="T27" s="1511" t="s">
        <v>8</v>
      </c>
      <c r="U27" s="1512" t="e">
        <f t="shared" si="13"/>
        <v>#N/A</v>
      </c>
      <c r="V27" s="1511" t="s">
        <v>8</v>
      </c>
      <c r="W27" s="1512" t="e">
        <f t="shared" si="14"/>
        <v>#N/A</v>
      </c>
      <c r="X27" s="1513"/>
      <c r="Y27" s="3524"/>
      <c r="Z27" s="1514" t="str">
        <f t="shared" si="15"/>
        <v>成新率</v>
      </c>
      <c r="AA27" s="1510" t="e">
        <f t="shared" si="3"/>
        <v>#N/A</v>
      </c>
      <c r="AB27" s="1510" t="e">
        <f t="shared" si="4"/>
        <v>#N/A</v>
      </c>
      <c r="AC27" s="1510"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4"/>
      <c r="Q28" s="1506" t="str">
        <f t="shared" si="11"/>
        <v>物业等级</v>
      </c>
      <c r="R28" s="1507" t="s">
        <v>8</v>
      </c>
      <c r="S28" s="1508">
        <f t="shared" si="12"/>
        <v>100</v>
      </c>
      <c r="T28" s="1507" t="s">
        <v>8</v>
      </c>
      <c r="U28" s="1508">
        <f t="shared" si="13"/>
        <v>100</v>
      </c>
      <c r="V28" s="1507" t="s">
        <v>8</v>
      </c>
      <c r="W28" s="1508">
        <f t="shared" si="14"/>
        <v>100</v>
      </c>
      <c r="X28" s="1501"/>
      <c r="Y28" s="3524"/>
      <c r="Z28" s="1509" t="str">
        <f t="shared" si="15"/>
        <v>物业等级</v>
      </c>
      <c r="AA28" s="1510">
        <f t="shared" si="3"/>
        <v>1</v>
      </c>
      <c r="AB28" s="1510">
        <f t="shared" si="4"/>
        <v>1</v>
      </c>
      <c r="AC28" s="1510">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4"/>
      <c r="Q29" s="1506" t="str">
        <f t="shared" si="11"/>
        <v>有无电梯</v>
      </c>
      <c r="R29" s="1507" t="s">
        <v>8</v>
      </c>
      <c r="S29" s="1508">
        <f t="shared" si="12"/>
        <v>100</v>
      </c>
      <c r="T29" s="1507" t="s">
        <v>8</v>
      </c>
      <c r="U29" s="1508">
        <f t="shared" si="13"/>
        <v>100</v>
      </c>
      <c r="V29" s="1507" t="s">
        <v>8</v>
      </c>
      <c r="W29" s="1508">
        <f t="shared" si="14"/>
        <v>100</v>
      </c>
      <c r="X29" s="1501"/>
      <c r="Y29" s="3524"/>
      <c r="Z29" s="1509" t="str">
        <f t="shared" si="15"/>
        <v>有无电梯</v>
      </c>
      <c r="AA29" s="1510">
        <f t="shared" si="3"/>
        <v>1</v>
      </c>
      <c r="AB29" s="1510">
        <f t="shared" si="4"/>
        <v>1</v>
      </c>
      <c r="AC29" s="1510">
        <f t="shared" si="5"/>
        <v>1</v>
      </c>
    </row>
    <row r="30" spans="1:29" ht="15">
      <c r="A30" s="588"/>
      <c r="B30" s="521" t="s">
        <v>816</v>
      </c>
      <c r="C30" s="869">
        <v>28.5</v>
      </c>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4"/>
      <c r="Q30" s="1506" t="str">
        <f t="shared" si="11"/>
        <v>建筑面积</v>
      </c>
      <c r="R30" s="1507" t="s">
        <v>8</v>
      </c>
      <c r="S30" s="1508" t="e">
        <f t="shared" si="12"/>
        <v>#N/A</v>
      </c>
      <c r="T30" s="1507" t="s">
        <v>8</v>
      </c>
      <c r="U30" s="1508" t="e">
        <f t="shared" si="13"/>
        <v>#N/A</v>
      </c>
      <c r="V30" s="1507" t="s">
        <v>8</v>
      </c>
      <c r="W30" s="1508" t="e">
        <f t="shared" si="14"/>
        <v>#N/A</v>
      </c>
      <c r="X30" s="1501"/>
      <c r="Y30" s="3524"/>
      <c r="Z30" s="1509" t="str">
        <f t="shared" si="15"/>
        <v>建筑面积</v>
      </c>
      <c r="AA30" s="1510" t="e">
        <f t="shared" si="3"/>
        <v>#N/A</v>
      </c>
      <c r="AB30" s="1510" t="e">
        <f t="shared" si="4"/>
        <v>#N/A</v>
      </c>
      <c r="AC30" s="1510"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4"/>
      <c r="Q31" s="1134" t="str">
        <f t="shared" si="11"/>
        <v>是否封闭</v>
      </c>
      <c r="R31" s="1502" t="s">
        <v>8</v>
      </c>
      <c r="S31" s="1503">
        <f t="shared" si="12"/>
        <v>100</v>
      </c>
      <c r="T31" s="1502" t="s">
        <v>8</v>
      </c>
      <c r="U31" s="1503">
        <f t="shared" si="13"/>
        <v>100</v>
      </c>
      <c r="V31" s="1502" t="s">
        <v>8</v>
      </c>
      <c r="W31" s="1503">
        <f t="shared" si="14"/>
        <v>100</v>
      </c>
      <c r="X31" s="1504"/>
      <c r="Y31" s="3524"/>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4" t="s">
        <v>543</v>
      </c>
      <c r="Q32" s="1506">
        <f t="shared" si="11"/>
        <v>111</v>
      </c>
      <c r="R32" s="1507" t="s">
        <v>8</v>
      </c>
      <c r="S32" s="1508">
        <f t="shared" si="12"/>
        <v>100</v>
      </c>
      <c r="T32" s="1507" t="s">
        <v>8</v>
      </c>
      <c r="U32" s="1508">
        <f t="shared" si="13"/>
        <v>100</v>
      </c>
      <c r="V32" s="1507" t="s">
        <v>8</v>
      </c>
      <c r="W32" s="1508">
        <f t="shared" si="14"/>
        <v>100</v>
      </c>
      <c r="X32" s="1501"/>
      <c r="Y32" s="3524" t="s">
        <v>543</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4"/>
      <c r="Q33" s="1506">
        <f t="shared" si="11"/>
        <v>111</v>
      </c>
      <c r="R33" s="1507" t="s">
        <v>8</v>
      </c>
      <c r="S33" s="1508">
        <f t="shared" si="12"/>
        <v>100</v>
      </c>
      <c r="T33" s="1507" t="s">
        <v>8</v>
      </c>
      <c r="U33" s="1508">
        <f t="shared" si="13"/>
        <v>100</v>
      </c>
      <c r="V33" s="1507" t="s">
        <v>8</v>
      </c>
      <c r="W33" s="1508">
        <f t="shared" si="14"/>
        <v>100</v>
      </c>
      <c r="X33" s="1501"/>
      <c r="Y33" s="3524"/>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ht="15">
      <c r="A35" s="601" t="s">
        <v>729</v>
      </c>
      <c r="B35" s="876"/>
      <c r="C35" s="2470" t="s">
        <v>1</v>
      </c>
      <c r="D35" s="2471"/>
      <c r="E35" s="2472"/>
      <c r="F35" s="2473"/>
      <c r="G35" s="2474"/>
      <c r="H35" s="2475"/>
      <c r="I35" s="2472"/>
      <c r="J35" s="2475"/>
      <c r="K35" s="1540"/>
      <c r="L35" s="2026"/>
      <c r="M35" s="2027"/>
      <c r="N35" s="2016"/>
      <c r="O35" s="2027"/>
      <c r="P35" s="3486" t="str">
        <f>A35</f>
        <v>成交单价（元/平方米）</v>
      </c>
      <c r="Q35" s="3486"/>
      <c r="R35" s="3605">
        <f>E35</f>
        <v>0</v>
      </c>
      <c r="S35" s="3605"/>
      <c r="T35" s="3605">
        <f>G35</f>
        <v>0</v>
      </c>
      <c r="U35" s="3605"/>
      <c r="V35" s="3605">
        <f>I35</f>
        <v>0</v>
      </c>
      <c r="W35" s="3605"/>
      <c r="X35" s="1496"/>
      <c r="Y35" s="1515"/>
      <c r="Z35" s="1496"/>
      <c r="AA35" s="1496"/>
      <c r="AB35" s="1496"/>
      <c r="AC35" s="1496"/>
    </row>
    <row r="36" spans="1:29" ht="15.75" thickBot="1">
      <c r="A36" s="609" t="s">
        <v>2738</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86" t="str">
        <f>A36</f>
        <v>比较价格（元/平方米）</v>
      </c>
      <c r="Q36" s="3486"/>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1496"/>
      <c r="Y36" s="1496"/>
      <c r="Z36" s="1496"/>
      <c r="AA36" s="1496"/>
      <c r="AB36" s="1496"/>
      <c r="AC36" s="1496"/>
    </row>
    <row r="37" spans="1:29" ht="15.75" thickBot="1">
      <c r="A37" s="613" t="s">
        <v>2900</v>
      </c>
      <c r="B37" s="614"/>
      <c r="C37" s="2478" t="e">
        <f>R37</f>
        <v>#DIV/0!</v>
      </c>
      <c r="D37" s="2478"/>
      <c r="E37" s="2478"/>
      <c r="F37" s="2478"/>
      <c r="G37" s="2478"/>
      <c r="H37" s="2478"/>
      <c r="I37" s="2478"/>
      <c r="J37" s="2478"/>
      <c r="K37" s="1541"/>
      <c r="L37" s="2026"/>
      <c r="M37" s="2027"/>
      <c r="N37" s="2027"/>
      <c r="O37" s="2027"/>
      <c r="P37" s="3483" t="str">
        <f>A37</f>
        <v>估价对象XX用房的比较价格（楼面单价，元/平方米）</v>
      </c>
      <c r="Q37" s="3484"/>
      <c r="R37" s="3604" t="e">
        <f>IF(F1="售价",ROUND(IF(D36="简单平均",AVERAGE(R36:W36),R36*F36+T36*H36+V36*J36),0),ROUND(IF(D36="简单平均",AVERAGE(R36:V36),R36*F36+T36*H36+V36*J36),1))</f>
        <v>#DIV/0!</v>
      </c>
      <c r="S37" s="3604"/>
      <c r="T37" s="3604"/>
      <c r="U37" s="3604"/>
      <c r="V37" s="3604"/>
      <c r="W37" s="3604"/>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567</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2021-4</v>
      </c>
      <c r="D46" s="2521">
        <f>EDATE(C46,-1)</f>
        <v>44256</v>
      </c>
      <c r="E46" s="2521">
        <f t="shared" ref="E46:O46" si="16">EDATE(D46,-1)</f>
        <v>44228</v>
      </c>
      <c r="F46" s="2521">
        <f t="shared" si="16"/>
        <v>44197</v>
      </c>
      <c r="G46" s="2521">
        <f t="shared" si="16"/>
        <v>44166</v>
      </c>
      <c r="H46" s="2521">
        <f t="shared" si="16"/>
        <v>44136</v>
      </c>
      <c r="I46" s="2521">
        <f t="shared" si="16"/>
        <v>44105</v>
      </c>
      <c r="J46" s="2521">
        <f t="shared" si="16"/>
        <v>44075</v>
      </c>
      <c r="K46" s="2521">
        <f t="shared" si="16"/>
        <v>44044</v>
      </c>
      <c r="L46" s="2521">
        <f t="shared" si="16"/>
        <v>44013</v>
      </c>
      <c r="M46" s="2521">
        <f t="shared" si="16"/>
        <v>43983</v>
      </c>
      <c r="N46" s="2521">
        <f t="shared" si="16"/>
        <v>43952</v>
      </c>
      <c r="O46" s="2521">
        <f t="shared" si="16"/>
        <v>43922</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受贵公司委托，我公司对北京市朝阳区东坝北东南一期土地储备项目1104-611地块出让国有建设用地使用权抵押价格进行了预评估。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7" spans="1:4" ht="93.75">
      <c r="A7" s="2590" t="s">
        <v>2726</v>
      </c>
    </row>
    <row r="8" spans="1:4" ht="18.75">
      <c r="A8" s="1709" t="s">
        <v>1896</v>
      </c>
    </row>
    <row r="9" spans="1:4" ht="75">
      <c r="A9" s="1711" t="str">
        <f>IF(项目基本情况!B8="抵押",IF(项目基本情况!B5=项目基本情况!B6,定义!C51,定义!B51),定义!D51)</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2021年4月14日（评估专业人员勘察现场之日）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根据《国有土地使用证》[]，估价对象（分摊）出让国有建设用地使用权面积为26559.06平方米。根据《建设工程规划许可证》[]、《出让合同》[]，估价对象规划建筑面积为104789.91平方米。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2727</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17" t="s">
        <v>2291</v>
      </c>
      <c r="D1" s="3618"/>
      <c r="E1" s="3618"/>
      <c r="F1" s="3618"/>
      <c r="G1" s="3618"/>
      <c r="H1" s="3618"/>
      <c r="I1" s="3618"/>
      <c r="J1" s="3618"/>
      <c r="K1" s="3618"/>
      <c r="L1" s="3618"/>
      <c r="M1" s="3618"/>
      <c r="N1" s="3618"/>
      <c r="O1" s="3618"/>
      <c r="P1" s="3618"/>
      <c r="Q1" s="3618"/>
      <c r="R1" s="3618"/>
      <c r="S1" s="361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2892</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2891</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614" t="s">
        <v>20</v>
      </c>
      <c r="D22" s="3615"/>
      <c r="E22" s="3615"/>
      <c r="F22" s="3615"/>
      <c r="G22" s="3615"/>
      <c r="H22" s="3615"/>
      <c r="I22" s="3615"/>
      <c r="J22" s="3615"/>
      <c r="K22" s="3615"/>
      <c r="L22" s="3615"/>
      <c r="M22" s="3615"/>
      <c r="N22" s="3615"/>
      <c r="O22" s="3615"/>
      <c r="P22" s="3615"/>
      <c r="Q22" s="3616"/>
      <c r="R22" s="484" t="e">
        <f>ROUND(S22*10000/B22,0)</f>
        <v>#DIV/0!</v>
      </c>
      <c r="S22" s="53">
        <f>SUM(S24:S10000)</f>
        <v>0</v>
      </c>
    </row>
    <row r="23" spans="1:45" s="1542" customFormat="1" ht="24">
      <c r="A23" s="17" t="s">
        <v>823</v>
      </c>
      <c r="B23" s="2861" t="s">
        <v>2912</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3" customFormat="1">
      <c r="A24" s="949" t="s">
        <v>827</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2765</v>
      </c>
      <c r="C1" s="2721">
        <f>项目基本情况!D3</f>
        <v>44300</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2796</v>
      </c>
      <c r="C2" s="2722">
        <f>'数据-取费表'!B22</f>
        <v>2.5</v>
      </c>
      <c r="D2" s="2717" t="s">
        <v>2766</v>
      </c>
      <c r="E2" s="2720">
        <f ca="1">INDIRECT("I"&amp;$I$1)/100</f>
        <v>3.85E-2</v>
      </c>
      <c r="G2" s="2657"/>
      <c r="H2" s="2657"/>
      <c r="I2" s="2657" t="s">
        <v>2767</v>
      </c>
      <c r="K2" s="2657"/>
      <c r="L2" s="2657"/>
      <c r="M2" s="2657"/>
      <c r="N2" s="2657" t="s">
        <v>2768</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2798</v>
      </c>
      <c r="C3" s="2719">
        <f>'数据-取费表'!B19</f>
        <v>0</v>
      </c>
      <c r="D3" s="2717" t="s">
        <v>2766</v>
      </c>
      <c r="E3" s="2720">
        <f ca="1">INDIRECT("J"&amp;$J$1)/100</f>
        <v>0</v>
      </c>
      <c r="G3" s="2659" t="s">
        <v>2769</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2797</v>
      </c>
      <c r="C4" s="2720">
        <f ca="1">N4/100</f>
        <v>1.4999999999999999E-2</v>
      </c>
      <c r="G4" s="2665" t="s">
        <v>2770</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2771</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2772</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2773</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2774</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2775</v>
      </c>
      <c r="C10" s="2684"/>
      <c r="D10" s="2684"/>
      <c r="E10" s="2684"/>
      <c r="F10" s="2684"/>
      <c r="G10" s="2684"/>
      <c r="H10" s="2684"/>
      <c r="I10" s="2658"/>
      <c r="J10" s="2658"/>
      <c r="K10" s="2684"/>
      <c r="L10" s="2685" t="s">
        <v>2776</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2777</v>
      </c>
      <c r="C11" s="2689" t="s">
        <v>2778</v>
      </c>
      <c r="D11" s="2690" t="s">
        <v>2779</v>
      </c>
      <c r="E11" s="2691"/>
      <c r="F11" s="2690" t="s">
        <v>2780</v>
      </c>
      <c r="G11" s="2692"/>
      <c r="H11" s="2691"/>
      <c r="I11" s="2690" t="s">
        <v>2781</v>
      </c>
      <c r="J11" s="2691"/>
      <c r="K11" s="2687"/>
      <c r="L11" s="2688" t="s">
        <v>2777</v>
      </c>
      <c r="M11" s="2689" t="s">
        <v>2778</v>
      </c>
      <c r="N11" s="2688" t="s">
        <v>2782</v>
      </c>
      <c r="O11" s="2690" t="s">
        <v>2783</v>
      </c>
      <c r="P11" s="2692"/>
      <c r="Q11" s="2692"/>
      <c r="R11" s="2692"/>
      <c r="S11" s="2692"/>
      <c r="T11" s="2691"/>
      <c r="U11" s="2690" t="s">
        <v>2784</v>
      </c>
      <c r="V11" s="2692"/>
      <c r="W11" s="2691"/>
      <c r="X11" s="2688" t="s">
        <v>2785</v>
      </c>
      <c r="Y11" s="2688" t="s">
        <v>2786</v>
      </c>
      <c r="Z11" s="2688" t="s">
        <v>2787</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2788</v>
      </c>
      <c r="E12" s="2697" t="s">
        <v>2789</v>
      </c>
      <c r="F12" s="2697" t="s">
        <v>2790</v>
      </c>
      <c r="G12" s="2697" t="s">
        <v>2791</v>
      </c>
      <c r="H12" s="2697" t="s">
        <v>2773</v>
      </c>
      <c r="I12" s="2698" t="s">
        <v>2792</v>
      </c>
      <c r="J12" s="2698" t="s">
        <v>2792</v>
      </c>
      <c r="K12" s="2694"/>
      <c r="L12" s="2695"/>
      <c r="M12" s="2696"/>
      <c r="N12" s="2695"/>
      <c r="O12" s="2698" t="s">
        <v>2793</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2794</v>
      </c>
      <c r="C13" s="2702">
        <v>43941</v>
      </c>
      <c r="D13" s="2703">
        <v>3.85</v>
      </c>
      <c r="E13" s="2703">
        <v>3.85</v>
      </c>
      <c r="F13" s="2703">
        <v>3.85</v>
      </c>
      <c r="G13" s="2703">
        <v>3.85</v>
      </c>
      <c r="H13" s="2703">
        <v>4.6500000000000004</v>
      </c>
      <c r="I13" s="2703"/>
      <c r="J13" s="2703"/>
      <c r="K13" s="2700"/>
      <c r="L13" s="2701" t="s">
        <v>2794</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3000</v>
      </c>
      <c r="C17" s="2710">
        <v>43697</v>
      </c>
      <c r="D17" s="3285">
        <v>4.25</v>
      </c>
      <c r="E17" s="3285">
        <v>4.25</v>
      </c>
      <c r="F17" s="3285">
        <v>4.25</v>
      </c>
      <c r="G17" s="3285">
        <v>4.25</v>
      </c>
      <c r="H17" s="3285">
        <v>4.8499999999999996</v>
      </c>
      <c r="I17" s="3285"/>
      <c r="J17" s="3285"/>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2795</v>
      </c>
      <c r="Y42" s="2707" t="s">
        <v>2795</v>
      </c>
      <c r="Z42" s="2707" t="s">
        <v>2795</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2795</v>
      </c>
      <c r="Y43" s="2707" t="s">
        <v>2795</v>
      </c>
      <c r="Z43" s="2707" t="s">
        <v>2795</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2795</v>
      </c>
      <c r="Y44" s="2707" t="s">
        <v>2795</v>
      </c>
      <c r="Z44" s="2707" t="s">
        <v>2795</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2795</v>
      </c>
      <c r="Y45" s="2707" t="s">
        <v>2795</v>
      </c>
      <c r="Z45" s="2707" t="s">
        <v>2795</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2795</v>
      </c>
      <c r="Y46" s="2707" t="s">
        <v>2795</v>
      </c>
      <c r="Z46" s="2707" t="s">
        <v>2795</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2795</v>
      </c>
      <c r="Y47" s="2707" t="s">
        <v>2795</v>
      </c>
      <c r="Z47" s="2707" t="s">
        <v>2795</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2795</v>
      </c>
      <c r="Y48" s="2707" t="s">
        <v>2795</v>
      </c>
      <c r="Z48" s="2707" t="s">
        <v>2795</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2795</v>
      </c>
      <c r="Y49" s="2707" t="s">
        <v>2795</v>
      </c>
      <c r="Z49" s="2707" t="s">
        <v>2795</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2795</v>
      </c>
      <c r="Y50" s="2707" t="s">
        <v>2795</v>
      </c>
      <c r="Z50" s="2707" t="s">
        <v>2795</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2795</v>
      </c>
      <c r="V51" s="2707" t="s">
        <v>2795</v>
      </c>
      <c r="W51" s="2707" t="s">
        <v>2795</v>
      </c>
      <c r="X51" s="2707" t="s">
        <v>2795</v>
      </c>
      <c r="Y51" s="2707" t="s">
        <v>2795</v>
      </c>
      <c r="Z51" s="2707" t="s">
        <v>2795</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2795</v>
      </c>
      <c r="J59" s="2707" t="s">
        <v>2795</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workbookViewId="0">
      <selection activeCell="AL60" sqref="AL60"/>
    </sheetView>
  </sheetViews>
  <sheetFormatPr defaultRowHeight="13.5"/>
  <cols>
    <col min="1" max="1" width="19.25" customWidth="1"/>
    <col min="2" max="4" width="0" hidden="1" customWidth="1"/>
    <col min="6" max="8" width="0" hidden="1" customWidth="1"/>
    <col min="13" max="15" width="0" hidden="1" customWidth="1"/>
    <col min="22" max="26" width="0" hidden="1" customWidth="1"/>
    <col min="32" max="33" width="0" hidden="1" customWidth="1"/>
    <col min="35" max="35" width="0" hidden="1" customWidth="1"/>
    <col min="37" max="37" width="0" hidden="1" customWidth="1"/>
    <col min="42" max="46" width="0" hidden="1" customWidth="1"/>
  </cols>
  <sheetData>
    <row r="1" spans="1:46" s="3289" customFormat="1" ht="12">
      <c r="A1" s="3289" t="s">
        <v>3024</v>
      </c>
      <c r="B1" s="3289" t="s">
        <v>3025</v>
      </c>
      <c r="C1" s="3289" t="s">
        <v>3026</v>
      </c>
      <c r="D1" s="3289" t="s">
        <v>3027</v>
      </c>
      <c r="E1" s="3289" t="s">
        <v>3028</v>
      </c>
      <c r="F1" s="3289" t="s">
        <v>3029</v>
      </c>
      <c r="G1" s="3289" t="s">
        <v>3030</v>
      </c>
      <c r="H1" s="3289" t="s">
        <v>3031</v>
      </c>
      <c r="I1" s="3289" t="s">
        <v>3032</v>
      </c>
      <c r="J1" s="3289" t="s">
        <v>3033</v>
      </c>
      <c r="K1" s="3289" t="s">
        <v>3034</v>
      </c>
      <c r="L1" s="3289" t="s">
        <v>2020</v>
      </c>
      <c r="M1" s="3289" t="s">
        <v>3035</v>
      </c>
      <c r="N1" s="3289" t="s">
        <v>3036</v>
      </c>
      <c r="O1" s="3289" t="s">
        <v>3037</v>
      </c>
      <c r="P1" s="3289" t="s">
        <v>3038</v>
      </c>
      <c r="Q1" s="3289" t="s">
        <v>3039</v>
      </c>
      <c r="R1" s="3289" t="s">
        <v>3040</v>
      </c>
      <c r="S1" s="3289" t="s">
        <v>3041</v>
      </c>
      <c r="T1" s="3289" t="s">
        <v>3042</v>
      </c>
      <c r="U1" s="3289" t="s">
        <v>3043</v>
      </c>
      <c r="V1" s="3289" t="s">
        <v>3044</v>
      </c>
      <c r="W1" s="3289" t="s">
        <v>3045</v>
      </c>
      <c r="X1" s="3289" t="s">
        <v>3046</v>
      </c>
      <c r="Y1" s="3289" t="s">
        <v>3047</v>
      </c>
      <c r="Z1" s="3289" t="s">
        <v>3048</v>
      </c>
      <c r="AA1" s="3289" t="s">
        <v>3049</v>
      </c>
      <c r="AB1" s="3289" t="s">
        <v>3050</v>
      </c>
      <c r="AC1" s="3289" t="s">
        <v>3051</v>
      </c>
      <c r="AD1" s="3289" t="s">
        <v>3052</v>
      </c>
      <c r="AE1" s="3289" t="s">
        <v>3053</v>
      </c>
      <c r="AF1" s="3289" t="s">
        <v>3054</v>
      </c>
      <c r="AG1" s="3289" t="s">
        <v>3055</v>
      </c>
      <c r="AH1" s="3289" t="s">
        <v>3056</v>
      </c>
      <c r="AI1" s="3289" t="s">
        <v>3057</v>
      </c>
      <c r="AJ1" s="3289" t="s">
        <v>3058</v>
      </c>
      <c r="AK1" s="3289" t="s">
        <v>3059</v>
      </c>
      <c r="AL1" s="3289" t="s">
        <v>3060</v>
      </c>
      <c r="AM1" s="3289" t="s">
        <v>3061</v>
      </c>
      <c r="AN1" s="3289" t="s">
        <v>3062</v>
      </c>
      <c r="AO1" s="3289" t="s">
        <v>3063</v>
      </c>
      <c r="AP1" s="3289" t="s">
        <v>3064</v>
      </c>
      <c r="AQ1" s="3289" t="s">
        <v>3065</v>
      </c>
      <c r="AR1" s="3289" t="s">
        <v>3066</v>
      </c>
      <c r="AS1" s="3289" t="s">
        <v>3067</v>
      </c>
      <c r="AT1" s="3289" t="s">
        <v>3068</v>
      </c>
    </row>
    <row r="2" spans="1:46" s="3290" customFormat="1" ht="12">
      <c r="A2" s="3290" t="s">
        <v>3069</v>
      </c>
      <c r="B2" s="3290" t="s">
        <v>1933</v>
      </c>
      <c r="C2" s="3290" t="s">
        <v>3070</v>
      </c>
      <c r="D2" s="3290" t="s">
        <v>3071</v>
      </c>
      <c r="E2" s="3290" t="s">
        <v>3072</v>
      </c>
      <c r="F2" s="3290" t="s">
        <v>3073</v>
      </c>
      <c r="G2" s="3290" t="s">
        <v>3074</v>
      </c>
      <c r="H2" s="3290" t="s">
        <v>3075</v>
      </c>
      <c r="I2" s="3290" t="s">
        <v>3076</v>
      </c>
      <c r="J2" s="3290">
        <v>26609.75</v>
      </c>
      <c r="K2" s="3290">
        <v>74507</v>
      </c>
      <c r="L2" s="3290" t="s">
        <v>3077</v>
      </c>
      <c r="M2" s="3290" t="s">
        <v>2795</v>
      </c>
      <c r="N2" s="3290" t="s">
        <v>2795</v>
      </c>
      <c r="O2" s="3290" t="s">
        <v>3078</v>
      </c>
      <c r="P2" s="3290" t="s">
        <v>2795</v>
      </c>
      <c r="Q2" s="3290" t="s">
        <v>2795</v>
      </c>
      <c r="R2" s="3290" t="s">
        <v>2795</v>
      </c>
      <c r="S2" s="3290" t="s">
        <v>2795</v>
      </c>
      <c r="T2" s="3290" t="s">
        <v>3079</v>
      </c>
      <c r="U2" s="3290" t="s">
        <v>3080</v>
      </c>
      <c r="V2" s="3290" t="s">
        <v>2795</v>
      </c>
      <c r="W2" s="3290" t="s">
        <v>3081</v>
      </c>
      <c r="X2" s="3290" t="s">
        <v>3082</v>
      </c>
      <c r="Y2" s="3290" t="s">
        <v>3083</v>
      </c>
      <c r="Z2" s="3290" t="s">
        <v>3084</v>
      </c>
      <c r="AA2" s="3290" t="s">
        <v>3084</v>
      </c>
      <c r="AB2" s="3290" t="s">
        <v>3075</v>
      </c>
      <c r="AC2" s="3290" t="s">
        <v>3085</v>
      </c>
      <c r="AD2" s="3290" t="s">
        <v>3086</v>
      </c>
      <c r="AE2" s="3290" t="s">
        <v>3087</v>
      </c>
      <c r="AF2" s="3290">
        <v>68000</v>
      </c>
      <c r="AG2" s="3290">
        <v>338400</v>
      </c>
      <c r="AH2" s="3290">
        <v>350244</v>
      </c>
      <c r="AI2" s="3290">
        <v>8478.1</v>
      </c>
      <c r="AJ2" s="3290">
        <v>8774.83</v>
      </c>
      <c r="AK2" s="3290">
        <v>45418.55</v>
      </c>
      <c r="AL2" s="3290">
        <v>47008.19</v>
      </c>
      <c r="AM2" s="3290" t="s">
        <v>2795</v>
      </c>
      <c r="AN2" s="3290" t="s">
        <v>2795</v>
      </c>
      <c r="AO2" s="3290">
        <v>3.5</v>
      </c>
      <c r="AP2" s="3290" t="s">
        <v>3088</v>
      </c>
      <c r="AQ2" s="3290">
        <v>4</v>
      </c>
      <c r="AR2" s="3290" t="s">
        <v>2795</v>
      </c>
      <c r="AS2" s="3290" t="s">
        <v>2795</v>
      </c>
      <c r="AT2" s="3290" t="s">
        <v>3089</v>
      </c>
    </row>
    <row r="3" spans="1:46" s="3291" customFormat="1" ht="12">
      <c r="A3" s="3291" t="s">
        <v>3090</v>
      </c>
      <c r="B3" s="3291" t="s">
        <v>1933</v>
      </c>
      <c r="C3" s="3291" t="s">
        <v>3091</v>
      </c>
      <c r="D3" s="3291" t="s">
        <v>3071</v>
      </c>
      <c r="E3" s="3291" t="s">
        <v>3072</v>
      </c>
      <c r="F3" s="3291" t="s">
        <v>3073</v>
      </c>
      <c r="G3" s="3291" t="s">
        <v>3074</v>
      </c>
      <c r="H3" s="3291" t="s">
        <v>3092</v>
      </c>
      <c r="I3" s="3291" t="s">
        <v>3093</v>
      </c>
      <c r="J3" s="3291">
        <v>20188.580000000002</v>
      </c>
      <c r="K3" s="3291">
        <v>48528</v>
      </c>
      <c r="L3" s="3291" t="s">
        <v>3094</v>
      </c>
      <c r="M3" s="3291" t="s">
        <v>2795</v>
      </c>
      <c r="N3" s="3291" t="s">
        <v>3095</v>
      </c>
      <c r="O3" s="3291" t="s">
        <v>3096</v>
      </c>
      <c r="P3" s="3291" t="s">
        <v>2795</v>
      </c>
      <c r="Q3" s="3291" t="s">
        <v>2795</v>
      </c>
      <c r="R3" s="3291" t="s">
        <v>2795</v>
      </c>
      <c r="S3" s="3291" t="s">
        <v>2795</v>
      </c>
      <c r="T3" s="3291" t="s">
        <v>3097</v>
      </c>
      <c r="U3" s="3291" t="s">
        <v>3098</v>
      </c>
      <c r="V3" s="3291" t="s">
        <v>2795</v>
      </c>
      <c r="W3" s="3291" t="s">
        <v>3099</v>
      </c>
      <c r="X3" s="3291" t="s">
        <v>3100</v>
      </c>
      <c r="Y3" s="3291" t="s">
        <v>3101</v>
      </c>
      <c r="Z3" s="3291" t="s">
        <v>3102</v>
      </c>
      <c r="AA3" s="3291" t="s">
        <v>3102</v>
      </c>
      <c r="AB3" s="3291" t="s">
        <v>3092</v>
      </c>
      <c r="AC3" s="3291" t="s">
        <v>3085</v>
      </c>
      <c r="AD3" s="3291" t="s">
        <v>3103</v>
      </c>
      <c r="AE3" s="3291" t="s">
        <v>3087</v>
      </c>
      <c r="AF3" s="3291">
        <v>41100</v>
      </c>
      <c r="AG3" s="3291">
        <v>205500</v>
      </c>
      <c r="AH3" s="3291">
        <v>205500</v>
      </c>
      <c r="AI3" s="3291">
        <v>6786.01</v>
      </c>
      <c r="AJ3" s="3291">
        <v>6786.01</v>
      </c>
      <c r="AK3" s="3291">
        <v>42346.68</v>
      </c>
      <c r="AL3" s="3291">
        <v>42346.69</v>
      </c>
      <c r="AM3" s="3291" t="s">
        <v>2795</v>
      </c>
      <c r="AN3" s="3291" t="s">
        <v>2795</v>
      </c>
      <c r="AO3" s="3291">
        <v>0</v>
      </c>
      <c r="AP3" s="3291" t="s">
        <v>3088</v>
      </c>
      <c r="AQ3" s="3291" t="s">
        <v>2795</v>
      </c>
      <c r="AR3" s="3291" t="s">
        <v>2795</v>
      </c>
      <c r="AS3" s="3291" t="s">
        <v>2795</v>
      </c>
      <c r="AT3" s="3291" t="s">
        <v>3089</v>
      </c>
    </row>
    <row r="4" spans="1:46" s="3291" customFormat="1" ht="12">
      <c r="A4" s="3291" t="s">
        <v>3104</v>
      </c>
      <c r="B4" s="3291" t="s">
        <v>1933</v>
      </c>
      <c r="C4" s="3291" t="s">
        <v>3091</v>
      </c>
      <c r="D4" s="3291" t="s">
        <v>3071</v>
      </c>
      <c r="E4" s="3291" t="s">
        <v>3105</v>
      </c>
      <c r="F4" s="3291" t="s">
        <v>3106</v>
      </c>
      <c r="G4" s="3291" t="s">
        <v>3074</v>
      </c>
      <c r="H4" s="3291" t="s">
        <v>3107</v>
      </c>
      <c r="I4" s="3291" t="s">
        <v>3108</v>
      </c>
      <c r="J4" s="3291">
        <v>80892.990000000005</v>
      </c>
      <c r="K4" s="3291">
        <v>112042</v>
      </c>
      <c r="L4" s="3291" t="s">
        <v>3109</v>
      </c>
      <c r="M4" s="3291" t="s">
        <v>2795</v>
      </c>
      <c r="N4" s="3291" t="s">
        <v>3110</v>
      </c>
      <c r="O4" s="3291" t="s">
        <v>3111</v>
      </c>
      <c r="P4" s="3291" t="s">
        <v>2795</v>
      </c>
      <c r="Q4" s="3291" t="s">
        <v>2795</v>
      </c>
      <c r="R4" s="3291" t="s">
        <v>2795</v>
      </c>
      <c r="S4" s="3291" t="s">
        <v>2795</v>
      </c>
      <c r="T4" s="3291" t="s">
        <v>3112</v>
      </c>
      <c r="U4" s="3291" t="s">
        <v>3113</v>
      </c>
      <c r="V4" s="3291" t="s">
        <v>2795</v>
      </c>
      <c r="W4" s="3291" t="s">
        <v>3099</v>
      </c>
      <c r="X4" s="3291" t="s">
        <v>3114</v>
      </c>
      <c r="Y4" s="3291" t="s">
        <v>3115</v>
      </c>
      <c r="Z4" s="3291" t="s">
        <v>3116</v>
      </c>
      <c r="AA4" s="3291" t="s">
        <v>3116</v>
      </c>
      <c r="AB4" s="3291" t="s">
        <v>3107</v>
      </c>
      <c r="AC4" s="3291" t="s">
        <v>3085</v>
      </c>
      <c r="AD4" s="3291" t="s">
        <v>3117</v>
      </c>
      <c r="AE4" s="3291" t="s">
        <v>3118</v>
      </c>
      <c r="AF4" s="3291">
        <v>92000</v>
      </c>
      <c r="AG4" s="3291">
        <v>460000</v>
      </c>
      <c r="AH4" s="3291">
        <v>460000</v>
      </c>
      <c r="AI4" s="3291">
        <v>3791.02</v>
      </c>
      <c r="AJ4" s="3291">
        <v>3791.02</v>
      </c>
      <c r="AK4" s="3291">
        <v>41056.019999999997</v>
      </c>
      <c r="AL4" s="3291">
        <v>41056.019999999997</v>
      </c>
      <c r="AM4" s="3291" t="s">
        <v>2795</v>
      </c>
      <c r="AN4" s="3291" t="s">
        <v>2795</v>
      </c>
      <c r="AO4" s="3291">
        <v>0</v>
      </c>
      <c r="AP4" s="3291" t="s">
        <v>3088</v>
      </c>
      <c r="AQ4" s="3291" t="s">
        <v>2795</v>
      </c>
      <c r="AR4" s="3291" t="s">
        <v>2795</v>
      </c>
      <c r="AS4" s="3291" t="s">
        <v>2795</v>
      </c>
      <c r="AT4" s="3291" t="s">
        <v>3119</v>
      </c>
    </row>
    <row r="5" spans="1:46" s="3289" customFormat="1" ht="12">
      <c r="A5" s="3289" t="s">
        <v>3120</v>
      </c>
      <c r="B5" s="3289" t="s">
        <v>1933</v>
      </c>
      <c r="C5" s="3289" t="s">
        <v>3091</v>
      </c>
      <c r="D5" s="3289" t="s">
        <v>3071</v>
      </c>
      <c r="E5" s="3289" t="s">
        <v>3121</v>
      </c>
      <c r="F5" s="3289" t="s">
        <v>3122</v>
      </c>
      <c r="G5" s="3289" t="s">
        <v>3074</v>
      </c>
      <c r="H5" s="3289" t="s">
        <v>3123</v>
      </c>
      <c r="I5" s="3289" t="s">
        <v>3124</v>
      </c>
      <c r="J5" s="3289">
        <v>31917.24</v>
      </c>
      <c r="K5" s="3289">
        <v>47876</v>
      </c>
      <c r="L5" s="3289" t="s">
        <v>3125</v>
      </c>
      <c r="M5" s="3289" t="s">
        <v>2795</v>
      </c>
      <c r="N5" s="3289" t="s">
        <v>3095</v>
      </c>
      <c r="O5" s="3289" t="s">
        <v>3126</v>
      </c>
      <c r="P5" s="3289" t="s">
        <v>2795</v>
      </c>
      <c r="Q5" s="3289" t="s">
        <v>2795</v>
      </c>
      <c r="R5" s="3289" t="s">
        <v>2795</v>
      </c>
      <c r="S5" s="3289" t="s">
        <v>2795</v>
      </c>
      <c r="T5" s="3289" t="s">
        <v>3112</v>
      </c>
      <c r="U5" s="3289" t="s">
        <v>3113</v>
      </c>
      <c r="V5" s="3289" t="s">
        <v>2795</v>
      </c>
      <c r="W5" s="3289" t="s">
        <v>3099</v>
      </c>
      <c r="X5" s="3289" t="s">
        <v>3127</v>
      </c>
      <c r="Y5" s="3289" t="s">
        <v>3128</v>
      </c>
      <c r="Z5" s="3289" t="s">
        <v>3129</v>
      </c>
      <c r="AA5" s="3289" t="s">
        <v>3129</v>
      </c>
      <c r="AB5" s="3289" t="s">
        <v>3123</v>
      </c>
      <c r="AC5" s="3289" t="s">
        <v>3085</v>
      </c>
      <c r="AD5" s="3289" t="s">
        <v>3130</v>
      </c>
      <c r="AE5" s="3289" t="s">
        <v>3131</v>
      </c>
      <c r="AF5" s="3289">
        <v>48000</v>
      </c>
      <c r="AG5" s="3289">
        <v>238900</v>
      </c>
      <c r="AH5" s="3289">
        <v>242500</v>
      </c>
      <c r="AI5" s="3289">
        <v>4989.99</v>
      </c>
      <c r="AJ5" s="3289">
        <v>5065.18</v>
      </c>
      <c r="AK5" s="3289">
        <v>49899.74</v>
      </c>
      <c r="AL5" s="3289">
        <v>50651.68</v>
      </c>
      <c r="AM5" s="3289" t="s">
        <v>2795</v>
      </c>
      <c r="AN5" s="3289" t="s">
        <v>2795</v>
      </c>
      <c r="AO5" s="3289">
        <v>1.51</v>
      </c>
      <c r="AP5" s="3289" t="s">
        <v>3132</v>
      </c>
      <c r="AQ5" s="3289" t="s">
        <v>2795</v>
      </c>
      <c r="AR5" s="3289" t="s">
        <v>2795</v>
      </c>
      <c r="AS5" s="3289" t="s">
        <v>2795</v>
      </c>
      <c r="AT5" s="3289" t="s">
        <v>3089</v>
      </c>
    </row>
    <row r="6" spans="1:46" s="3289" customFormat="1" ht="12">
      <c r="A6" s="3289" t="s">
        <v>3133</v>
      </c>
      <c r="B6" s="3289" t="s">
        <v>1933</v>
      </c>
      <c r="C6" s="3289" t="s">
        <v>3091</v>
      </c>
      <c r="D6" s="3289" t="s">
        <v>3071</v>
      </c>
      <c r="E6" s="3289" t="s">
        <v>3072</v>
      </c>
      <c r="F6" s="3289" t="s">
        <v>3073</v>
      </c>
      <c r="G6" s="3289" t="s">
        <v>3074</v>
      </c>
      <c r="H6" s="3289" t="s">
        <v>3134</v>
      </c>
      <c r="I6" s="3289" t="s">
        <v>3135</v>
      </c>
      <c r="J6" s="3289">
        <v>31314.23</v>
      </c>
      <c r="K6" s="3289">
        <v>85543</v>
      </c>
      <c r="L6" s="3289" t="s">
        <v>3136</v>
      </c>
      <c r="M6" s="3289" t="s">
        <v>2795</v>
      </c>
      <c r="N6" s="3289" t="s">
        <v>3137</v>
      </c>
      <c r="O6" s="3289" t="s">
        <v>3138</v>
      </c>
      <c r="P6" s="3289" t="s">
        <v>2795</v>
      </c>
      <c r="Q6" s="3289" t="s">
        <v>2795</v>
      </c>
      <c r="R6" s="3289" t="s">
        <v>2795</v>
      </c>
      <c r="S6" s="3289" t="s">
        <v>3139</v>
      </c>
      <c r="T6" s="3289" t="s">
        <v>3140</v>
      </c>
      <c r="U6" s="3289" t="s">
        <v>3140</v>
      </c>
      <c r="V6" s="3289" t="s">
        <v>2795</v>
      </c>
      <c r="W6" s="3289" t="s">
        <v>3099</v>
      </c>
      <c r="X6" s="3289" t="s">
        <v>3141</v>
      </c>
      <c r="Y6" s="3289" t="s">
        <v>3142</v>
      </c>
      <c r="Z6" s="3289" t="s">
        <v>3128</v>
      </c>
      <c r="AA6" s="3289" t="s">
        <v>3128</v>
      </c>
      <c r="AB6" s="3289" t="s">
        <v>3134</v>
      </c>
      <c r="AC6" s="3289" t="s">
        <v>3085</v>
      </c>
      <c r="AD6" s="3289" t="s">
        <v>3143</v>
      </c>
      <c r="AE6" s="3289" t="s">
        <v>3144</v>
      </c>
      <c r="AF6" s="3289">
        <v>38000</v>
      </c>
      <c r="AG6" s="3289">
        <v>189700</v>
      </c>
      <c r="AH6" s="3289">
        <v>189700</v>
      </c>
      <c r="AI6" s="3289">
        <v>4038.63</v>
      </c>
      <c r="AJ6" s="3289">
        <v>4038.63</v>
      </c>
      <c r="AK6" s="3289">
        <v>22175.98</v>
      </c>
      <c r="AL6" s="3289">
        <v>22175.97</v>
      </c>
      <c r="AM6" s="3289" t="s">
        <v>2795</v>
      </c>
      <c r="AN6" s="3289" t="s">
        <v>2795</v>
      </c>
      <c r="AO6" s="3289">
        <v>0</v>
      </c>
      <c r="AP6" s="3289" t="s">
        <v>3088</v>
      </c>
      <c r="AQ6" s="3289" t="s">
        <v>2795</v>
      </c>
      <c r="AR6" s="3289" t="s">
        <v>2795</v>
      </c>
      <c r="AS6" s="3289" t="s">
        <v>2795</v>
      </c>
      <c r="AT6" s="3289" t="s">
        <v>3145</v>
      </c>
    </row>
    <row r="7" spans="1:46" s="3289" customFormat="1" ht="12">
      <c r="A7" s="3289" t="s">
        <v>3146</v>
      </c>
      <c r="B7" s="3289" t="s">
        <v>1933</v>
      </c>
      <c r="C7" s="3289" t="s">
        <v>3070</v>
      </c>
      <c r="D7" s="3289" t="s">
        <v>3071</v>
      </c>
      <c r="E7" s="3289" t="s">
        <v>3121</v>
      </c>
      <c r="F7" s="3289" t="s">
        <v>3122</v>
      </c>
      <c r="G7" s="3289" t="s">
        <v>3074</v>
      </c>
      <c r="H7" s="3289" t="s">
        <v>3147</v>
      </c>
      <c r="I7" s="3289" t="s">
        <v>3076</v>
      </c>
      <c r="J7" s="3289">
        <v>39479.050000000003</v>
      </c>
      <c r="K7" s="3289">
        <v>43427</v>
      </c>
      <c r="L7" s="3289" t="s">
        <v>3148</v>
      </c>
      <c r="M7" s="3289" t="s">
        <v>2795</v>
      </c>
      <c r="N7" s="3289" t="s">
        <v>3095</v>
      </c>
      <c r="O7" s="3289" t="s">
        <v>3149</v>
      </c>
      <c r="P7" s="3289" t="s">
        <v>2795</v>
      </c>
      <c r="Q7" s="3289" t="s">
        <v>2795</v>
      </c>
      <c r="R7" s="3289" t="s">
        <v>2795</v>
      </c>
      <c r="S7" s="3289" t="s">
        <v>2795</v>
      </c>
      <c r="T7" s="3289" t="s">
        <v>3112</v>
      </c>
      <c r="U7" s="3289" t="s">
        <v>3113</v>
      </c>
      <c r="V7" s="3289" t="s">
        <v>2795</v>
      </c>
      <c r="W7" s="3289" t="s">
        <v>3099</v>
      </c>
      <c r="X7" s="3289" t="s">
        <v>3150</v>
      </c>
      <c r="Y7" s="3289" t="s">
        <v>3151</v>
      </c>
      <c r="Z7" s="3289" t="s">
        <v>3152</v>
      </c>
      <c r="AA7" s="3289" t="s">
        <v>3152</v>
      </c>
      <c r="AB7" s="3289" t="s">
        <v>3147</v>
      </c>
      <c r="AC7" s="3289" t="s">
        <v>3085</v>
      </c>
      <c r="AD7" s="3289" t="s">
        <v>3153</v>
      </c>
      <c r="AE7" s="3289" t="s">
        <v>3154</v>
      </c>
      <c r="AF7" s="3289">
        <v>49000</v>
      </c>
      <c r="AG7" s="3289">
        <v>244900</v>
      </c>
      <c r="AH7" s="3289">
        <v>302000</v>
      </c>
      <c r="AI7" s="3289">
        <v>4135.53</v>
      </c>
      <c r="AJ7" s="3289">
        <v>5099.75</v>
      </c>
      <c r="AK7" s="3289">
        <v>56393.48</v>
      </c>
      <c r="AL7" s="3289">
        <v>69541.990000000005</v>
      </c>
      <c r="AM7" s="3289" t="s">
        <v>2795</v>
      </c>
      <c r="AN7" s="3289" t="s">
        <v>2795</v>
      </c>
      <c r="AO7" s="3289">
        <v>23.32</v>
      </c>
      <c r="AP7" s="3289" t="s">
        <v>3088</v>
      </c>
      <c r="AQ7" s="3289" t="s">
        <v>2795</v>
      </c>
      <c r="AR7" s="3289" t="s">
        <v>2795</v>
      </c>
      <c r="AS7" s="3289" t="s">
        <v>2795</v>
      </c>
      <c r="AT7" s="3289" t="s">
        <v>3119</v>
      </c>
    </row>
    <row r="8" spans="1:46" s="3289" customFormat="1" ht="12">
      <c r="A8" s="3289" t="s">
        <v>3155</v>
      </c>
      <c r="B8" s="3289" t="s">
        <v>1933</v>
      </c>
      <c r="C8" s="3289" t="s">
        <v>3091</v>
      </c>
      <c r="D8" s="3289" t="s">
        <v>3071</v>
      </c>
      <c r="E8" s="3289" t="s">
        <v>3156</v>
      </c>
      <c r="F8" s="3289" t="s">
        <v>3157</v>
      </c>
      <c r="G8" s="3289" t="s">
        <v>3074</v>
      </c>
      <c r="H8" s="3289" t="s">
        <v>3158</v>
      </c>
      <c r="I8" s="3289" t="s">
        <v>3159</v>
      </c>
      <c r="J8" s="3289">
        <v>60678.01</v>
      </c>
      <c r="K8" s="3289">
        <v>160145</v>
      </c>
      <c r="L8" s="3289" t="s">
        <v>3160</v>
      </c>
      <c r="M8" s="3289" t="s">
        <v>2795</v>
      </c>
      <c r="N8" s="3289" t="s">
        <v>3095</v>
      </c>
      <c r="O8" s="3289" t="s">
        <v>3161</v>
      </c>
      <c r="P8" s="3289" t="s">
        <v>2795</v>
      </c>
      <c r="Q8" s="3289" t="s">
        <v>2795</v>
      </c>
      <c r="R8" s="3289" t="s">
        <v>2795</v>
      </c>
      <c r="S8" s="3289" t="s">
        <v>3162</v>
      </c>
      <c r="T8" s="3289" t="s">
        <v>3140</v>
      </c>
      <c r="U8" s="3289" t="s">
        <v>3140</v>
      </c>
      <c r="V8" s="3289" t="s">
        <v>2795</v>
      </c>
      <c r="W8" s="3289" t="s">
        <v>3099</v>
      </c>
      <c r="X8" s="3289" t="s">
        <v>3163</v>
      </c>
      <c r="Y8" s="3289" t="s">
        <v>3164</v>
      </c>
      <c r="Z8" s="3289" t="s">
        <v>3165</v>
      </c>
      <c r="AA8" s="3289" t="s">
        <v>3165</v>
      </c>
      <c r="AB8" s="3289" t="s">
        <v>3158</v>
      </c>
      <c r="AC8" s="3289" t="s">
        <v>3085</v>
      </c>
      <c r="AD8" s="3289" t="s">
        <v>3166</v>
      </c>
      <c r="AE8" s="3289" t="s">
        <v>3167</v>
      </c>
      <c r="AF8" s="3289">
        <v>68000</v>
      </c>
      <c r="AG8" s="3289">
        <v>339100</v>
      </c>
      <c r="AH8" s="3289">
        <v>340800</v>
      </c>
      <c r="AI8" s="3289">
        <v>3725.68</v>
      </c>
      <c r="AJ8" s="3289">
        <v>3744.35</v>
      </c>
      <c r="AK8" s="3289">
        <v>21174.560000000001</v>
      </c>
      <c r="AL8" s="3289">
        <v>21280.7</v>
      </c>
      <c r="AM8" s="3289" t="s">
        <v>2795</v>
      </c>
      <c r="AN8" s="3289" t="s">
        <v>2795</v>
      </c>
      <c r="AO8" s="3289">
        <v>0.5</v>
      </c>
      <c r="AP8" s="3289" t="s">
        <v>3132</v>
      </c>
      <c r="AQ8" s="3289" t="s">
        <v>2795</v>
      </c>
      <c r="AR8" s="3289" t="s">
        <v>2795</v>
      </c>
      <c r="AS8" s="3289" t="s">
        <v>2795</v>
      </c>
      <c r="AT8" s="3289" t="s">
        <v>3145</v>
      </c>
    </row>
    <row r="9" spans="1:46" s="3289" customFormat="1" ht="12">
      <c r="A9" s="3289" t="s">
        <v>3168</v>
      </c>
      <c r="B9" s="3289" t="s">
        <v>1933</v>
      </c>
      <c r="C9" s="3289" t="s">
        <v>3070</v>
      </c>
      <c r="D9" s="3289" t="s">
        <v>3071</v>
      </c>
      <c r="E9" s="3289" t="s">
        <v>3072</v>
      </c>
      <c r="F9" s="3289" t="s">
        <v>3073</v>
      </c>
      <c r="G9" s="3289" t="s">
        <v>3074</v>
      </c>
      <c r="H9" s="3289" t="s">
        <v>3169</v>
      </c>
      <c r="I9" s="3289" t="s">
        <v>3076</v>
      </c>
      <c r="J9" s="3289">
        <v>41541.339999999997</v>
      </c>
      <c r="K9" s="3289">
        <v>87237</v>
      </c>
      <c r="L9" s="3289">
        <v>2.1</v>
      </c>
      <c r="M9" s="3289" t="s">
        <v>2795</v>
      </c>
      <c r="N9" s="3289" t="s">
        <v>3095</v>
      </c>
      <c r="O9" s="3289" t="s">
        <v>3170</v>
      </c>
      <c r="P9" s="3289" t="s">
        <v>2795</v>
      </c>
      <c r="Q9" s="3289" t="s">
        <v>2795</v>
      </c>
      <c r="R9" s="3289" t="s">
        <v>2795</v>
      </c>
      <c r="S9" s="3289" t="s">
        <v>3171</v>
      </c>
      <c r="T9" s="3289" t="s">
        <v>3140</v>
      </c>
      <c r="U9" s="3289" t="s">
        <v>3140</v>
      </c>
      <c r="V9" s="3289" t="s">
        <v>2795</v>
      </c>
      <c r="W9" s="3289" t="s">
        <v>3099</v>
      </c>
      <c r="X9" s="3289" t="s">
        <v>3172</v>
      </c>
      <c r="Y9" s="3289" t="s">
        <v>3173</v>
      </c>
      <c r="Z9" s="3289" t="s">
        <v>3174</v>
      </c>
      <c r="AA9" s="3289" t="s">
        <v>3174</v>
      </c>
      <c r="AB9" s="3289" t="s">
        <v>3169</v>
      </c>
      <c r="AC9" s="3289" t="s">
        <v>3085</v>
      </c>
      <c r="AD9" s="3289" t="s">
        <v>3175</v>
      </c>
      <c r="AE9" s="3289" t="s">
        <v>3176</v>
      </c>
      <c r="AF9" s="3289">
        <v>30000</v>
      </c>
      <c r="AG9" s="3289">
        <v>150000</v>
      </c>
      <c r="AH9" s="3289">
        <v>206000</v>
      </c>
      <c r="AI9" s="3289">
        <v>2407.2399999999998</v>
      </c>
      <c r="AJ9" s="3289">
        <v>3305.94</v>
      </c>
      <c r="AK9" s="3289">
        <v>17194.54</v>
      </c>
      <c r="AL9" s="3289">
        <v>23613.83</v>
      </c>
      <c r="AM9" s="3289" t="s">
        <v>2795</v>
      </c>
      <c r="AN9" s="3289" t="s">
        <v>2795</v>
      </c>
      <c r="AO9" s="3289">
        <v>37.33</v>
      </c>
      <c r="AP9" s="3289" t="s">
        <v>3088</v>
      </c>
      <c r="AQ9" s="3289" t="s">
        <v>2795</v>
      </c>
      <c r="AR9" s="3289" t="s">
        <v>2795</v>
      </c>
      <c r="AS9" s="3289" t="s">
        <v>2795</v>
      </c>
      <c r="AT9" s="3289" t="s">
        <v>3089</v>
      </c>
    </row>
    <row r="10" spans="1:46" s="3292" customFormat="1" ht="12">
      <c r="A10" s="3292" t="s">
        <v>3177</v>
      </c>
      <c r="B10" s="3292" t="s">
        <v>1933</v>
      </c>
      <c r="C10" s="3292" t="s">
        <v>3091</v>
      </c>
      <c r="D10" s="3292" t="s">
        <v>3071</v>
      </c>
      <c r="E10" s="3292" t="s">
        <v>3178</v>
      </c>
      <c r="F10" s="3292" t="s">
        <v>3179</v>
      </c>
      <c r="G10" s="3292" t="s">
        <v>3074</v>
      </c>
      <c r="H10" s="3292" t="s">
        <v>3180</v>
      </c>
      <c r="I10" s="3292" t="s">
        <v>3124</v>
      </c>
      <c r="J10" s="3292">
        <v>22975.03</v>
      </c>
      <c r="K10" s="3292">
        <v>68925</v>
      </c>
      <c r="L10" s="3292">
        <v>3</v>
      </c>
      <c r="M10" s="3292" t="s">
        <v>2795</v>
      </c>
      <c r="N10" s="3292" t="s">
        <v>3095</v>
      </c>
      <c r="O10" s="3292" t="s">
        <v>3181</v>
      </c>
      <c r="P10" s="3292" t="s">
        <v>2795</v>
      </c>
      <c r="Q10" s="3292" t="s">
        <v>2795</v>
      </c>
      <c r="R10" s="3292" t="s">
        <v>2795</v>
      </c>
      <c r="S10" s="3292" t="s">
        <v>2795</v>
      </c>
      <c r="T10" s="3292" t="s">
        <v>3097</v>
      </c>
      <c r="U10" s="3292" t="s">
        <v>3098</v>
      </c>
      <c r="V10" s="3292" t="s">
        <v>2795</v>
      </c>
      <c r="W10" s="3292" t="s">
        <v>3182</v>
      </c>
      <c r="X10" s="3292" t="s">
        <v>3183</v>
      </c>
      <c r="Y10" s="3292" t="s">
        <v>3184</v>
      </c>
      <c r="Z10" s="3292" t="s">
        <v>3185</v>
      </c>
      <c r="AA10" s="3292" t="s">
        <v>3185</v>
      </c>
      <c r="AB10" s="3292" t="s">
        <v>3180</v>
      </c>
      <c r="AC10" s="3292" t="s">
        <v>3085</v>
      </c>
      <c r="AD10" s="3292" t="s">
        <v>3186</v>
      </c>
      <c r="AE10" s="3292" t="s">
        <v>3187</v>
      </c>
      <c r="AF10" s="3292">
        <v>41600</v>
      </c>
      <c r="AG10" s="3292">
        <v>208000</v>
      </c>
      <c r="AH10" s="3292">
        <v>264000</v>
      </c>
      <c r="AI10" s="3292">
        <v>6035.54</v>
      </c>
      <c r="AJ10" s="3292">
        <v>7660.49</v>
      </c>
      <c r="AK10" s="3292">
        <v>30177.72</v>
      </c>
      <c r="AL10" s="3292">
        <v>38302.5</v>
      </c>
      <c r="AM10" s="3292" t="s">
        <v>2795</v>
      </c>
      <c r="AN10" s="3292" t="s">
        <v>2795</v>
      </c>
      <c r="AO10" s="3292">
        <v>26.92</v>
      </c>
      <c r="AP10" s="3292" t="s">
        <v>3088</v>
      </c>
      <c r="AQ10" s="3292" t="s">
        <v>2795</v>
      </c>
      <c r="AR10" s="3292" t="s">
        <v>2795</v>
      </c>
      <c r="AS10" s="3292" t="s">
        <v>2795</v>
      </c>
      <c r="AT10" s="3292" t="s">
        <v>3145</v>
      </c>
    </row>
    <row r="11" spans="1:46" s="3291" customFormat="1" ht="12">
      <c r="A11" s="3291" t="s">
        <v>3188</v>
      </c>
      <c r="B11" s="3291" t="s">
        <v>1933</v>
      </c>
      <c r="C11" s="3291" t="s">
        <v>3091</v>
      </c>
      <c r="D11" s="3291" t="s">
        <v>3071</v>
      </c>
      <c r="E11" s="3291" t="s">
        <v>3178</v>
      </c>
      <c r="F11" s="3291" t="s">
        <v>3179</v>
      </c>
      <c r="G11" s="3291" t="s">
        <v>3074</v>
      </c>
      <c r="H11" s="3291" t="s">
        <v>3189</v>
      </c>
      <c r="I11" s="3291" t="s">
        <v>3124</v>
      </c>
      <c r="J11" s="3291">
        <v>19200.669999999998</v>
      </c>
      <c r="K11" s="3291">
        <v>57602</v>
      </c>
      <c r="L11" s="3291">
        <v>3</v>
      </c>
      <c r="M11" s="3291" t="s">
        <v>2795</v>
      </c>
      <c r="N11" s="3291" t="s">
        <v>3095</v>
      </c>
      <c r="O11" s="3291" t="s">
        <v>3181</v>
      </c>
      <c r="P11" s="3291" t="s">
        <v>2795</v>
      </c>
      <c r="Q11" s="3291" t="s">
        <v>2795</v>
      </c>
      <c r="R11" s="3291" t="s">
        <v>2795</v>
      </c>
      <c r="S11" s="3291" t="s">
        <v>2795</v>
      </c>
      <c r="T11" s="3291" t="s">
        <v>3097</v>
      </c>
      <c r="U11" s="3291" t="s">
        <v>3098</v>
      </c>
      <c r="V11" s="3291" t="s">
        <v>2795</v>
      </c>
      <c r="W11" s="3291" t="s">
        <v>3099</v>
      </c>
      <c r="X11" s="3291" t="s">
        <v>3183</v>
      </c>
      <c r="Y11" s="3291" t="s">
        <v>3184</v>
      </c>
      <c r="Z11" s="3291" t="s">
        <v>3185</v>
      </c>
      <c r="AA11" s="3291" t="s">
        <v>3185</v>
      </c>
      <c r="AB11" s="3291" t="s">
        <v>3189</v>
      </c>
      <c r="AC11" s="3291" t="s">
        <v>3085</v>
      </c>
      <c r="AD11" s="3291" t="s">
        <v>3190</v>
      </c>
      <c r="AE11" s="3291" t="s">
        <v>3187</v>
      </c>
      <c r="AF11" s="3291">
        <v>40000</v>
      </c>
      <c r="AG11" s="3291">
        <v>200000</v>
      </c>
      <c r="AH11" s="3291">
        <v>234000</v>
      </c>
      <c r="AI11" s="3291">
        <v>6944.2</v>
      </c>
      <c r="AJ11" s="3291">
        <v>8124.72</v>
      </c>
      <c r="AK11" s="3291">
        <v>34721.01</v>
      </c>
      <c r="AL11" s="3291">
        <v>40623.58</v>
      </c>
      <c r="AM11" s="3291" t="s">
        <v>2795</v>
      </c>
      <c r="AN11" s="3291" t="s">
        <v>2795</v>
      </c>
      <c r="AO11" s="3291">
        <v>17</v>
      </c>
      <c r="AP11" s="3291" t="s">
        <v>3088</v>
      </c>
      <c r="AQ11" s="3291" t="s">
        <v>2795</v>
      </c>
      <c r="AR11" s="3291" t="s">
        <v>2795</v>
      </c>
      <c r="AS11" s="3291" t="s">
        <v>2795</v>
      </c>
      <c r="AT11" s="3291" t="s">
        <v>3145</v>
      </c>
    </row>
    <row r="12" spans="1:46" s="3289" customFormat="1" ht="12">
      <c r="A12" s="3289" t="s">
        <v>3191</v>
      </c>
      <c r="B12" s="3289" t="s">
        <v>1933</v>
      </c>
      <c r="C12" s="3289" t="s">
        <v>3091</v>
      </c>
      <c r="D12" s="3289" t="s">
        <v>3071</v>
      </c>
      <c r="E12" s="3289" t="s">
        <v>3178</v>
      </c>
      <c r="F12" s="3289" t="s">
        <v>3192</v>
      </c>
      <c r="G12" s="3289" t="s">
        <v>3074</v>
      </c>
      <c r="H12" s="3289" t="s">
        <v>3193</v>
      </c>
      <c r="I12" s="3289" t="s">
        <v>3194</v>
      </c>
      <c r="J12" s="3289">
        <v>74979.98</v>
      </c>
      <c r="K12" s="3289">
        <v>84324</v>
      </c>
      <c r="L12" s="3289">
        <v>1.1200000000000001</v>
      </c>
      <c r="M12" s="3289" t="s">
        <v>2795</v>
      </c>
      <c r="N12" s="3289" t="s">
        <v>3195</v>
      </c>
      <c r="O12" s="3289" t="s">
        <v>3195</v>
      </c>
      <c r="P12" s="3289" t="s">
        <v>2795</v>
      </c>
      <c r="Q12" s="3289" t="s">
        <v>2795</v>
      </c>
      <c r="R12" s="3289" t="s">
        <v>2795</v>
      </c>
      <c r="S12" s="3289" t="s">
        <v>2795</v>
      </c>
      <c r="T12" s="3289" t="s">
        <v>3079</v>
      </c>
      <c r="U12" s="3289" t="s">
        <v>3196</v>
      </c>
      <c r="V12" s="3289" t="s">
        <v>2795</v>
      </c>
      <c r="W12" s="3289" t="s">
        <v>3099</v>
      </c>
      <c r="X12" s="3289" t="s">
        <v>3197</v>
      </c>
      <c r="Y12" s="3289" t="s">
        <v>3198</v>
      </c>
      <c r="Z12" s="3289" t="s">
        <v>3199</v>
      </c>
      <c r="AA12" s="3289" t="s">
        <v>3199</v>
      </c>
      <c r="AB12" s="3289" t="s">
        <v>3193</v>
      </c>
      <c r="AC12" s="3289" t="s">
        <v>3085</v>
      </c>
      <c r="AD12" s="3289" t="s">
        <v>3200</v>
      </c>
      <c r="AE12" s="3289" t="s">
        <v>3201</v>
      </c>
      <c r="AF12" s="3289">
        <v>61500</v>
      </c>
      <c r="AG12" s="3289">
        <v>205000</v>
      </c>
      <c r="AH12" s="3289">
        <v>291000</v>
      </c>
      <c r="AI12" s="3289">
        <v>1822.71</v>
      </c>
      <c r="AJ12" s="3289">
        <v>2587.36</v>
      </c>
      <c r="AK12" s="3289">
        <v>24310.99</v>
      </c>
      <c r="AL12" s="3289">
        <v>34509.75</v>
      </c>
      <c r="AM12" s="3289" t="s">
        <v>2795</v>
      </c>
      <c r="AN12" s="3289" t="s">
        <v>2795</v>
      </c>
      <c r="AO12" s="3289">
        <v>41.95</v>
      </c>
      <c r="AP12" s="3289" t="s">
        <v>3088</v>
      </c>
      <c r="AQ12" s="3289" t="s">
        <v>2795</v>
      </c>
      <c r="AR12" s="3289" t="s">
        <v>2795</v>
      </c>
      <c r="AS12" s="3289" t="s">
        <v>2795</v>
      </c>
      <c r="AT12" s="3289" t="s">
        <v>3119</v>
      </c>
    </row>
    <row r="13" spans="1:46" s="3289" customFormat="1" ht="12">
      <c r="A13" s="3289" t="s">
        <v>3202</v>
      </c>
      <c r="B13" s="3289" t="s">
        <v>1933</v>
      </c>
      <c r="C13" s="3289" t="s">
        <v>3091</v>
      </c>
      <c r="D13" s="3289" t="s">
        <v>3071</v>
      </c>
      <c r="E13" s="3289" t="s">
        <v>3203</v>
      </c>
      <c r="F13" s="3289" t="s">
        <v>3204</v>
      </c>
      <c r="G13" s="3289" t="s">
        <v>3074</v>
      </c>
      <c r="H13" s="3289" t="s">
        <v>3205</v>
      </c>
      <c r="I13" s="3289" t="s">
        <v>3206</v>
      </c>
      <c r="J13" s="3289">
        <v>55477.35</v>
      </c>
      <c r="K13" s="3289">
        <v>87924</v>
      </c>
      <c r="L13" s="3289">
        <v>1.58</v>
      </c>
      <c r="M13" s="3289" t="s">
        <v>2795</v>
      </c>
      <c r="N13" s="3289" t="s">
        <v>3095</v>
      </c>
      <c r="O13" s="3289">
        <v>18</v>
      </c>
      <c r="P13" s="3289" t="s">
        <v>2795</v>
      </c>
      <c r="Q13" s="3289" t="s">
        <v>2795</v>
      </c>
      <c r="R13" s="3289" t="s">
        <v>2795</v>
      </c>
      <c r="S13" s="3289" t="s">
        <v>3207</v>
      </c>
      <c r="T13" s="3289" t="s">
        <v>3140</v>
      </c>
      <c r="U13" s="3289" t="s">
        <v>3140</v>
      </c>
      <c r="V13" s="3289" t="s">
        <v>2795</v>
      </c>
      <c r="W13" s="3289" t="s">
        <v>3182</v>
      </c>
      <c r="X13" s="3289" t="s">
        <v>3208</v>
      </c>
      <c r="Y13" s="3289" t="s">
        <v>3209</v>
      </c>
      <c r="Z13" s="3289" t="s">
        <v>3210</v>
      </c>
      <c r="AA13" s="3289" t="s">
        <v>3210</v>
      </c>
      <c r="AB13" s="3289" t="s">
        <v>3205</v>
      </c>
      <c r="AC13" s="3289" t="s">
        <v>3085</v>
      </c>
      <c r="AD13" s="3289" t="s">
        <v>3211</v>
      </c>
      <c r="AE13" s="3289" t="s">
        <v>3212</v>
      </c>
      <c r="AF13" s="3289">
        <v>45000</v>
      </c>
      <c r="AG13" s="3289">
        <v>150000</v>
      </c>
      <c r="AH13" s="3289">
        <v>168000</v>
      </c>
      <c r="AI13" s="3289">
        <v>1802.54</v>
      </c>
      <c r="AJ13" s="3289">
        <v>2018.84</v>
      </c>
      <c r="AK13" s="3289">
        <v>17060.18</v>
      </c>
      <c r="AL13" s="3289">
        <v>19107.400000000001</v>
      </c>
      <c r="AM13" s="3289" t="s">
        <v>2795</v>
      </c>
      <c r="AN13" s="3289" t="s">
        <v>2795</v>
      </c>
      <c r="AO13" s="3289">
        <v>12</v>
      </c>
      <c r="AP13" s="3289" t="s">
        <v>3088</v>
      </c>
      <c r="AQ13" s="3289" t="s">
        <v>2795</v>
      </c>
      <c r="AR13" s="3289" t="s">
        <v>2795</v>
      </c>
      <c r="AS13" s="3289" t="s">
        <v>2795</v>
      </c>
      <c r="AT13" s="3289" t="s">
        <v>3119</v>
      </c>
    </row>
    <row r="14" spans="1:46" s="3289" customFormat="1" ht="12">
      <c r="A14" s="3289" t="s">
        <v>3213</v>
      </c>
      <c r="B14" s="3289" t="s">
        <v>1933</v>
      </c>
      <c r="C14" s="3289" t="s">
        <v>3070</v>
      </c>
      <c r="D14" s="3289" t="s">
        <v>3071</v>
      </c>
      <c r="E14" s="3289" t="s">
        <v>3121</v>
      </c>
      <c r="F14" s="3289" t="s">
        <v>3213</v>
      </c>
      <c r="G14" s="3289" t="s">
        <v>3074</v>
      </c>
      <c r="H14" s="3289" t="s">
        <v>3214</v>
      </c>
      <c r="I14" s="3289" t="s">
        <v>3076</v>
      </c>
      <c r="J14" s="3289">
        <v>53525.81</v>
      </c>
      <c r="K14" s="3289">
        <v>58878</v>
      </c>
      <c r="L14" s="3289">
        <v>1.1000000000000001</v>
      </c>
      <c r="M14" s="3289" t="s">
        <v>2795</v>
      </c>
      <c r="N14" s="3289" t="s">
        <v>3095</v>
      </c>
      <c r="O14" s="3289" t="s">
        <v>3215</v>
      </c>
      <c r="P14" s="3289" t="s">
        <v>2795</v>
      </c>
      <c r="Q14" s="3289" t="s">
        <v>2795</v>
      </c>
      <c r="R14" s="3289" t="s">
        <v>2795</v>
      </c>
      <c r="S14" s="3289" t="s">
        <v>2795</v>
      </c>
      <c r="T14" s="3289" t="s">
        <v>3079</v>
      </c>
      <c r="U14" s="3289" t="s">
        <v>3196</v>
      </c>
      <c r="V14" s="3289" t="s">
        <v>2795</v>
      </c>
      <c r="W14" s="3289" t="s">
        <v>3182</v>
      </c>
      <c r="X14" s="3289" t="s">
        <v>3216</v>
      </c>
      <c r="Y14" s="3289" t="s">
        <v>3217</v>
      </c>
      <c r="Z14" s="3289" t="s">
        <v>3218</v>
      </c>
      <c r="AA14" s="3289" t="s">
        <v>3218</v>
      </c>
      <c r="AB14" s="3289" t="s">
        <v>3214</v>
      </c>
      <c r="AC14" s="3289" t="s">
        <v>3085</v>
      </c>
      <c r="AD14" s="3289" t="s">
        <v>3219</v>
      </c>
      <c r="AE14" s="3289" t="s">
        <v>3220</v>
      </c>
      <c r="AF14" s="3289">
        <v>100000</v>
      </c>
      <c r="AG14" s="3289">
        <v>333100</v>
      </c>
      <c r="AH14" s="3289">
        <v>336500</v>
      </c>
      <c r="AI14" s="3289">
        <v>4148.78</v>
      </c>
      <c r="AJ14" s="3289">
        <v>4191.12</v>
      </c>
      <c r="AK14" s="3289">
        <v>56574.61</v>
      </c>
      <c r="AL14" s="3289">
        <v>57152.08</v>
      </c>
      <c r="AM14" s="3289" t="s">
        <v>2795</v>
      </c>
      <c r="AN14" s="3289" t="s">
        <v>2795</v>
      </c>
      <c r="AO14" s="3289">
        <v>1.02</v>
      </c>
      <c r="AP14" s="3289" t="s">
        <v>3088</v>
      </c>
      <c r="AQ14" s="3289" t="s">
        <v>2795</v>
      </c>
      <c r="AR14" s="3289" t="s">
        <v>2795</v>
      </c>
      <c r="AS14" s="3289" t="s">
        <v>2795</v>
      </c>
      <c r="AT14" s="3289" t="s">
        <v>3119</v>
      </c>
    </row>
    <row r="15" spans="1:46" s="3289" customFormat="1" ht="12">
      <c r="A15" s="3289" t="s">
        <v>3221</v>
      </c>
      <c r="B15" s="3289" t="s">
        <v>1933</v>
      </c>
      <c r="C15" s="3289" t="s">
        <v>3070</v>
      </c>
      <c r="D15" s="3289" t="s">
        <v>3071</v>
      </c>
      <c r="E15" s="3289" t="s">
        <v>3121</v>
      </c>
      <c r="F15" s="3289" t="s">
        <v>3122</v>
      </c>
      <c r="G15" s="3289" t="s">
        <v>3074</v>
      </c>
      <c r="H15" s="3289" t="s">
        <v>3222</v>
      </c>
      <c r="I15" s="3289" t="s">
        <v>3076</v>
      </c>
      <c r="J15" s="3289">
        <v>90394.02</v>
      </c>
      <c r="K15" s="3289">
        <v>99433</v>
      </c>
      <c r="L15" s="3289">
        <v>1.1000000000000001</v>
      </c>
      <c r="M15" s="3289" t="s">
        <v>2795</v>
      </c>
      <c r="N15" s="3289" t="s">
        <v>3095</v>
      </c>
      <c r="O15" s="3289" t="s">
        <v>3223</v>
      </c>
      <c r="P15" s="3289" t="s">
        <v>2795</v>
      </c>
      <c r="Q15" s="3289" t="s">
        <v>2795</v>
      </c>
      <c r="R15" s="3289" t="s">
        <v>2795</v>
      </c>
      <c r="S15" s="3289" t="s">
        <v>2795</v>
      </c>
      <c r="T15" s="3289" t="s">
        <v>3079</v>
      </c>
      <c r="U15" s="3289" t="s">
        <v>3196</v>
      </c>
      <c r="V15" s="3289" t="s">
        <v>2795</v>
      </c>
      <c r="W15" s="3289" t="s">
        <v>3182</v>
      </c>
      <c r="X15" s="3289" t="s">
        <v>3224</v>
      </c>
      <c r="Y15" s="3289" t="s">
        <v>3225</v>
      </c>
      <c r="Z15" s="3289" t="s">
        <v>3226</v>
      </c>
      <c r="AA15" s="3289" t="s">
        <v>3226</v>
      </c>
      <c r="AB15" s="3289" t="s">
        <v>3222</v>
      </c>
      <c r="AC15" s="3289" t="s">
        <v>3085</v>
      </c>
      <c r="AD15" s="3289" t="s">
        <v>3227</v>
      </c>
      <c r="AE15" s="3289" t="s">
        <v>3228</v>
      </c>
      <c r="AF15" s="3289">
        <v>170000</v>
      </c>
      <c r="AG15" s="3289">
        <v>557900</v>
      </c>
      <c r="AH15" s="3289">
        <v>610000</v>
      </c>
      <c r="AI15" s="3289">
        <v>4114.58</v>
      </c>
      <c r="AJ15" s="3289">
        <v>4498.82</v>
      </c>
      <c r="AK15" s="3289">
        <v>56108.13</v>
      </c>
      <c r="AL15" s="3289">
        <v>61347.83</v>
      </c>
      <c r="AM15" s="3289" t="s">
        <v>2795</v>
      </c>
      <c r="AN15" s="3289" t="s">
        <v>2795</v>
      </c>
      <c r="AO15" s="3289">
        <v>9.34</v>
      </c>
      <c r="AP15" s="3289" t="s">
        <v>3088</v>
      </c>
      <c r="AQ15" s="3289" t="s">
        <v>2795</v>
      </c>
      <c r="AR15" s="3289" t="s">
        <v>2795</v>
      </c>
      <c r="AS15" s="3289" t="s">
        <v>2795</v>
      </c>
      <c r="AT15" s="3289" t="s">
        <v>3089</v>
      </c>
    </row>
    <row r="16" spans="1:46" s="3289" customFormat="1" ht="12">
      <c r="A16" s="3289" t="s">
        <v>3229</v>
      </c>
      <c r="B16" s="3289" t="s">
        <v>1933</v>
      </c>
      <c r="C16" s="3289" t="s">
        <v>3070</v>
      </c>
      <c r="D16" s="3289" t="s">
        <v>3071</v>
      </c>
      <c r="E16" s="3289" t="s">
        <v>3203</v>
      </c>
      <c r="F16" s="3289" t="s">
        <v>3204</v>
      </c>
      <c r="G16" s="3289" t="s">
        <v>3074</v>
      </c>
      <c r="H16" s="3289" t="s">
        <v>3230</v>
      </c>
      <c r="I16" s="3289" t="s">
        <v>3076</v>
      </c>
      <c r="J16" s="3289">
        <v>35847.35</v>
      </c>
      <c r="K16" s="3289">
        <v>75279</v>
      </c>
      <c r="L16" s="3289">
        <v>2.1</v>
      </c>
      <c r="M16" s="3289" t="s">
        <v>2795</v>
      </c>
      <c r="N16" s="3289" t="s">
        <v>3095</v>
      </c>
      <c r="O16" s="3289" t="s">
        <v>3231</v>
      </c>
      <c r="P16" s="3289" t="s">
        <v>2795</v>
      </c>
      <c r="Q16" s="3289" t="s">
        <v>2795</v>
      </c>
      <c r="R16" s="3289" t="s">
        <v>2795</v>
      </c>
      <c r="S16" s="3289" t="s">
        <v>3207</v>
      </c>
      <c r="T16" s="3289" t="s">
        <v>3140</v>
      </c>
      <c r="U16" s="3289" t="s">
        <v>3140</v>
      </c>
      <c r="V16" s="3289" t="s">
        <v>2795</v>
      </c>
      <c r="W16" s="3289" t="s">
        <v>3182</v>
      </c>
      <c r="X16" s="3289" t="s">
        <v>3232</v>
      </c>
      <c r="Y16" s="3289" t="s">
        <v>3224</v>
      </c>
      <c r="Z16" s="3289" t="s">
        <v>3216</v>
      </c>
      <c r="AA16" s="3289" t="s">
        <v>3216</v>
      </c>
      <c r="AB16" s="3289" t="s">
        <v>3230</v>
      </c>
      <c r="AC16" s="3289" t="s">
        <v>3085</v>
      </c>
      <c r="AD16" s="3289" t="s">
        <v>3211</v>
      </c>
      <c r="AE16" s="3289" t="s">
        <v>3212</v>
      </c>
      <c r="AF16" s="3289">
        <v>51000</v>
      </c>
      <c r="AG16" s="3289">
        <v>170000</v>
      </c>
      <c r="AH16" s="3289">
        <v>186000</v>
      </c>
      <c r="AI16" s="3289">
        <v>3161.55</v>
      </c>
      <c r="AJ16" s="3289">
        <v>3459.11</v>
      </c>
      <c r="AK16" s="3289">
        <v>22582.65</v>
      </c>
      <c r="AL16" s="3289">
        <v>24708.09</v>
      </c>
      <c r="AM16" s="3289" t="s">
        <v>2795</v>
      </c>
      <c r="AN16" s="3289" t="s">
        <v>2795</v>
      </c>
      <c r="AO16" s="3289">
        <v>9.41</v>
      </c>
      <c r="AP16" s="3289" t="s">
        <v>3088</v>
      </c>
      <c r="AQ16" s="3289" t="s">
        <v>2795</v>
      </c>
      <c r="AR16" s="3289" t="s">
        <v>2795</v>
      </c>
      <c r="AS16" s="3289" t="s">
        <v>2795</v>
      </c>
      <c r="AT16" s="3289" t="s">
        <v>3089</v>
      </c>
    </row>
    <row r="17" spans="1:46" s="3289" customFormat="1" ht="12">
      <c r="A17" s="3289" t="s">
        <v>3233</v>
      </c>
      <c r="B17" s="3289" t="s">
        <v>1933</v>
      </c>
      <c r="C17" s="3289" t="s">
        <v>3070</v>
      </c>
      <c r="D17" s="3289" t="s">
        <v>3071</v>
      </c>
      <c r="E17" s="3289" t="s">
        <v>3072</v>
      </c>
      <c r="F17" s="3289" t="s">
        <v>3073</v>
      </c>
      <c r="G17" s="3289" t="s">
        <v>3074</v>
      </c>
      <c r="H17" s="3289" t="s">
        <v>3234</v>
      </c>
      <c r="I17" s="3289" t="s">
        <v>3076</v>
      </c>
      <c r="J17" s="3289">
        <v>77973.48</v>
      </c>
      <c r="K17" s="3289">
        <v>194934</v>
      </c>
      <c r="L17" s="3289">
        <v>2.5</v>
      </c>
      <c r="M17" s="3289" t="s">
        <v>2795</v>
      </c>
      <c r="N17" s="3289" t="s">
        <v>3095</v>
      </c>
      <c r="O17" s="3289" t="s">
        <v>3235</v>
      </c>
      <c r="P17" s="3289" t="s">
        <v>2795</v>
      </c>
      <c r="Q17" s="3289" t="s">
        <v>2795</v>
      </c>
      <c r="R17" s="3289" t="s">
        <v>2795</v>
      </c>
      <c r="S17" s="3289" t="s">
        <v>3236</v>
      </c>
      <c r="T17" s="3289" t="s">
        <v>3140</v>
      </c>
      <c r="U17" s="3289" t="s">
        <v>3140</v>
      </c>
      <c r="V17" s="3289" t="s">
        <v>2795</v>
      </c>
      <c r="W17" s="3289" t="s">
        <v>3182</v>
      </c>
      <c r="X17" s="3289" t="s">
        <v>3237</v>
      </c>
      <c r="Y17" s="3289" t="s">
        <v>3238</v>
      </c>
      <c r="Z17" s="3289" t="s">
        <v>3239</v>
      </c>
      <c r="AA17" s="3289" t="s">
        <v>3239</v>
      </c>
      <c r="AB17" s="3289" t="s">
        <v>3234</v>
      </c>
      <c r="AC17" s="3289" t="s">
        <v>3085</v>
      </c>
      <c r="AD17" s="3289" t="s">
        <v>3240</v>
      </c>
      <c r="AE17" s="3289" t="s">
        <v>3241</v>
      </c>
      <c r="AF17" s="3289">
        <v>150000</v>
      </c>
      <c r="AG17" s="3289">
        <v>498000</v>
      </c>
      <c r="AH17" s="3289">
        <v>498000</v>
      </c>
      <c r="AI17" s="3289">
        <v>4257.8599999999997</v>
      </c>
      <c r="AJ17" s="3289">
        <v>4257.8599999999997</v>
      </c>
      <c r="AK17" s="3289">
        <v>25547.1</v>
      </c>
      <c r="AL17" s="3289">
        <v>25547.11</v>
      </c>
      <c r="AM17" s="3289" t="s">
        <v>2795</v>
      </c>
      <c r="AN17" s="3289" t="s">
        <v>2795</v>
      </c>
      <c r="AO17" s="3289">
        <v>0</v>
      </c>
      <c r="AP17" s="3289" t="s">
        <v>3088</v>
      </c>
      <c r="AQ17" s="3289" t="s">
        <v>2795</v>
      </c>
      <c r="AR17" s="3289" t="s">
        <v>2795</v>
      </c>
      <c r="AS17" s="3289" t="s">
        <v>2795</v>
      </c>
      <c r="AT17" s="3289" t="s">
        <v>3089</v>
      </c>
    </row>
    <row r="18" spans="1:46" s="3289" customFormat="1" ht="12">
      <c r="A18" s="3289" t="s">
        <v>3242</v>
      </c>
      <c r="B18" s="3289" t="s">
        <v>1933</v>
      </c>
      <c r="C18" s="3289" t="s">
        <v>3091</v>
      </c>
      <c r="D18" s="3289" t="s">
        <v>3071</v>
      </c>
      <c r="E18" s="3289" t="s">
        <v>3121</v>
      </c>
      <c r="F18" s="3289" t="s">
        <v>3122</v>
      </c>
      <c r="G18" s="3289" t="s">
        <v>3074</v>
      </c>
      <c r="H18" s="3289" t="s">
        <v>3243</v>
      </c>
      <c r="I18" s="3289" t="s">
        <v>3244</v>
      </c>
      <c r="J18" s="3289">
        <v>99921.81</v>
      </c>
      <c r="K18" s="3289">
        <v>109014</v>
      </c>
      <c r="L18" s="3289">
        <v>1.1000000000000001</v>
      </c>
      <c r="M18" s="3289" t="s">
        <v>2795</v>
      </c>
      <c r="N18" s="3289" t="s">
        <v>3095</v>
      </c>
      <c r="O18" s="3289" t="s">
        <v>3223</v>
      </c>
      <c r="P18" s="3289" t="s">
        <v>2795</v>
      </c>
      <c r="Q18" s="3289" t="s">
        <v>2795</v>
      </c>
      <c r="R18" s="3289" t="s">
        <v>2795</v>
      </c>
      <c r="S18" s="3289" t="s">
        <v>2795</v>
      </c>
      <c r="T18" s="3289" t="s">
        <v>3097</v>
      </c>
      <c r="U18" s="3289" t="s">
        <v>3245</v>
      </c>
      <c r="V18" s="3289" t="s">
        <v>2795</v>
      </c>
      <c r="W18" s="3289" t="s">
        <v>3182</v>
      </c>
      <c r="X18" s="3289" t="s">
        <v>3246</v>
      </c>
      <c r="Y18" s="3289" t="s">
        <v>3247</v>
      </c>
      <c r="Z18" s="3289" t="s">
        <v>3248</v>
      </c>
      <c r="AA18" s="3289" t="s">
        <v>3248</v>
      </c>
      <c r="AB18" s="3289" t="s">
        <v>3243</v>
      </c>
      <c r="AC18" s="3289" t="s">
        <v>3085</v>
      </c>
      <c r="AD18" s="3289" t="s">
        <v>3249</v>
      </c>
      <c r="AE18" s="3289" t="s">
        <v>3250</v>
      </c>
      <c r="AF18" s="3289">
        <v>120000</v>
      </c>
      <c r="AG18" s="3289">
        <v>400000</v>
      </c>
      <c r="AH18" s="3289">
        <v>596000</v>
      </c>
      <c r="AI18" s="3289">
        <v>2668.75</v>
      </c>
      <c r="AJ18" s="3289">
        <v>3976.44</v>
      </c>
      <c r="AK18" s="3289">
        <v>36692.53</v>
      </c>
      <c r="AL18" s="3289">
        <v>54671.87</v>
      </c>
      <c r="AM18" s="3289" t="s">
        <v>2795</v>
      </c>
      <c r="AN18" s="3289" t="s">
        <v>2795</v>
      </c>
      <c r="AO18" s="3289">
        <v>49</v>
      </c>
      <c r="AP18" s="3289" t="s">
        <v>3088</v>
      </c>
      <c r="AQ18" s="3289" t="s">
        <v>2795</v>
      </c>
      <c r="AR18" s="3289">
        <v>36</v>
      </c>
      <c r="AS18" s="3289" t="s">
        <v>2795</v>
      </c>
      <c r="AT18" s="3289" t="s">
        <v>3119</v>
      </c>
    </row>
    <row r="19" spans="1:46" s="3289" customFormat="1" ht="12">
      <c r="A19" s="3289" t="s">
        <v>3251</v>
      </c>
      <c r="B19" s="3289" t="s">
        <v>1933</v>
      </c>
      <c r="C19" s="3289" t="s">
        <v>3070</v>
      </c>
      <c r="D19" s="3289" t="s">
        <v>3071</v>
      </c>
      <c r="E19" s="3289" t="s">
        <v>3121</v>
      </c>
      <c r="F19" s="3289" t="s">
        <v>3252</v>
      </c>
      <c r="G19" s="3289" t="s">
        <v>3074</v>
      </c>
      <c r="H19" s="3289" t="s">
        <v>3253</v>
      </c>
      <c r="I19" s="3289" t="s">
        <v>3124</v>
      </c>
      <c r="J19" s="3289">
        <v>59511.18</v>
      </c>
      <c r="K19" s="3289">
        <v>89267</v>
      </c>
      <c r="L19" s="3289">
        <v>1.5</v>
      </c>
      <c r="M19" s="3289" t="s">
        <v>2795</v>
      </c>
      <c r="N19" s="3289" t="s">
        <v>2795</v>
      </c>
      <c r="O19" s="3289" t="s">
        <v>2795</v>
      </c>
      <c r="P19" s="3289" t="s">
        <v>2795</v>
      </c>
      <c r="Q19" s="3289" t="s">
        <v>2795</v>
      </c>
      <c r="R19" s="3289" t="s">
        <v>2795</v>
      </c>
      <c r="S19" s="3289" t="s">
        <v>2795</v>
      </c>
      <c r="T19" s="3289" t="s">
        <v>3097</v>
      </c>
      <c r="U19" s="3289" t="s">
        <v>3196</v>
      </c>
      <c r="V19" s="3289" t="s">
        <v>2795</v>
      </c>
      <c r="W19" s="3289" t="s">
        <v>3182</v>
      </c>
      <c r="X19" s="3289" t="s">
        <v>3254</v>
      </c>
      <c r="Y19" s="3289" t="s">
        <v>3255</v>
      </c>
      <c r="Z19" s="3289" t="s">
        <v>3256</v>
      </c>
      <c r="AA19" s="3289" t="s">
        <v>3256</v>
      </c>
      <c r="AB19" s="3289" t="s">
        <v>3253</v>
      </c>
      <c r="AC19" s="3289" t="s">
        <v>3085</v>
      </c>
      <c r="AD19" s="3289" t="s">
        <v>3257</v>
      </c>
      <c r="AE19" s="3289" t="s">
        <v>3258</v>
      </c>
      <c r="AF19" s="3289">
        <v>110000</v>
      </c>
      <c r="AG19" s="3289">
        <v>349000</v>
      </c>
      <c r="AH19" s="3289">
        <v>457500</v>
      </c>
      <c r="AI19" s="3289">
        <v>3909.63</v>
      </c>
      <c r="AJ19" s="3289">
        <v>5125.09</v>
      </c>
      <c r="AK19" s="3289">
        <v>39096.19</v>
      </c>
      <c r="AL19" s="3289">
        <v>51250.73</v>
      </c>
      <c r="AM19" s="3289" t="s">
        <v>2795</v>
      </c>
      <c r="AN19" s="3289" t="s">
        <v>2795</v>
      </c>
      <c r="AO19" s="3289">
        <v>31.09</v>
      </c>
      <c r="AP19" s="3289" t="s">
        <v>3132</v>
      </c>
      <c r="AQ19" s="3289" t="s">
        <v>2795</v>
      </c>
      <c r="AR19" s="3289" t="s">
        <v>2795</v>
      </c>
      <c r="AS19" s="3289" t="s">
        <v>2795</v>
      </c>
      <c r="AT19" s="3289" t="s">
        <v>3089</v>
      </c>
    </row>
    <row r="20" spans="1:46" s="3289" customFormat="1" ht="12">
      <c r="A20" s="3289" t="s">
        <v>3259</v>
      </c>
      <c r="B20" s="3289" t="s">
        <v>1933</v>
      </c>
      <c r="C20" s="3289" t="s">
        <v>3070</v>
      </c>
      <c r="D20" s="3289" t="s">
        <v>3071</v>
      </c>
      <c r="E20" s="3289" t="s">
        <v>3260</v>
      </c>
      <c r="F20" s="3289" t="s">
        <v>3261</v>
      </c>
      <c r="G20" s="3289" t="s">
        <v>3074</v>
      </c>
      <c r="H20" s="3289" t="s">
        <v>3262</v>
      </c>
      <c r="I20" s="3289" t="s">
        <v>3124</v>
      </c>
      <c r="J20" s="3289">
        <v>60374.36</v>
      </c>
      <c r="K20" s="3289">
        <v>102636</v>
      </c>
      <c r="L20" s="3289">
        <v>1.7</v>
      </c>
      <c r="M20" s="3289" t="s">
        <v>2795</v>
      </c>
      <c r="N20" s="3289" t="s">
        <v>2795</v>
      </c>
      <c r="O20" s="3289" t="s">
        <v>2795</v>
      </c>
      <c r="P20" s="3289" t="s">
        <v>2795</v>
      </c>
      <c r="Q20" s="3289" t="s">
        <v>2795</v>
      </c>
      <c r="R20" s="3289" t="s">
        <v>2795</v>
      </c>
      <c r="S20" s="3289" t="s">
        <v>3263</v>
      </c>
      <c r="T20" s="3289" t="s">
        <v>3140</v>
      </c>
      <c r="U20" s="3289" t="s">
        <v>3140</v>
      </c>
      <c r="V20" s="3289" t="s">
        <v>2795</v>
      </c>
      <c r="W20" s="3289" t="s">
        <v>3182</v>
      </c>
      <c r="X20" s="3289" t="s">
        <v>3264</v>
      </c>
      <c r="Y20" s="3289" t="s">
        <v>3265</v>
      </c>
      <c r="Z20" s="3289" t="s">
        <v>3266</v>
      </c>
      <c r="AA20" s="3289" t="s">
        <v>3266</v>
      </c>
      <c r="AB20" s="3289" t="s">
        <v>3262</v>
      </c>
      <c r="AC20" s="3289" t="s">
        <v>3085</v>
      </c>
      <c r="AD20" s="3289" t="s">
        <v>3267</v>
      </c>
      <c r="AE20" s="3289" t="s">
        <v>3268</v>
      </c>
      <c r="AF20" s="3289">
        <v>63000</v>
      </c>
      <c r="AG20" s="3289">
        <v>210000</v>
      </c>
      <c r="AH20" s="3289">
        <v>326000</v>
      </c>
      <c r="AI20" s="3289">
        <v>2318.87</v>
      </c>
      <c r="AJ20" s="3289">
        <v>3599.76</v>
      </c>
      <c r="AK20" s="3289">
        <v>20460.650000000001</v>
      </c>
      <c r="AL20" s="3289">
        <v>31762.720000000001</v>
      </c>
      <c r="AM20" s="3289" t="s">
        <v>2795</v>
      </c>
      <c r="AN20" s="3289" t="s">
        <v>2795</v>
      </c>
      <c r="AO20" s="3289">
        <v>55.24</v>
      </c>
      <c r="AP20" s="3289" t="s">
        <v>3132</v>
      </c>
      <c r="AQ20" s="3289" t="s">
        <v>2795</v>
      </c>
      <c r="AR20" s="3289" t="s">
        <v>2795</v>
      </c>
      <c r="AS20" s="3289" t="s">
        <v>2795</v>
      </c>
      <c r="AT20" s="3289" t="s">
        <v>3089</v>
      </c>
    </row>
    <row r="21" spans="1:46" s="3289" customFormat="1" ht="12" hidden="1">
      <c r="A21" s="3289" t="s">
        <v>3269</v>
      </c>
      <c r="B21" s="3289" t="s">
        <v>1933</v>
      </c>
      <c r="C21" s="3289" t="s">
        <v>3091</v>
      </c>
      <c r="D21" s="3289" t="s">
        <v>3071</v>
      </c>
      <c r="E21" s="3289" t="s">
        <v>3270</v>
      </c>
      <c r="F21" s="3289" t="s">
        <v>3271</v>
      </c>
      <c r="G21" s="3289" t="s">
        <v>3074</v>
      </c>
      <c r="H21" s="3289" t="s">
        <v>3272</v>
      </c>
      <c r="I21" s="3289" t="s">
        <v>3093</v>
      </c>
      <c r="J21" s="3289">
        <v>74677.14</v>
      </c>
      <c r="K21" s="3289">
        <v>237938</v>
      </c>
      <c r="L21" s="3289">
        <v>3.19</v>
      </c>
      <c r="M21" s="3289" t="s">
        <v>2795</v>
      </c>
      <c r="N21" s="3289" t="s">
        <v>2795</v>
      </c>
      <c r="O21" s="3289" t="s">
        <v>2795</v>
      </c>
      <c r="P21" s="3289" t="s">
        <v>2795</v>
      </c>
      <c r="Q21" s="3289" t="s">
        <v>2795</v>
      </c>
      <c r="R21" s="3289" t="s">
        <v>2795</v>
      </c>
      <c r="S21" s="3289" t="s">
        <v>2795</v>
      </c>
      <c r="T21" s="3289" t="s">
        <v>2795</v>
      </c>
      <c r="U21" s="3289" t="s">
        <v>2795</v>
      </c>
      <c r="V21" s="3289" t="s">
        <v>2795</v>
      </c>
      <c r="W21" s="3289" t="s">
        <v>3182</v>
      </c>
      <c r="X21" s="3289" t="s">
        <v>3273</v>
      </c>
      <c r="Y21" s="3289" t="s">
        <v>3274</v>
      </c>
      <c r="Z21" s="3289" t="s">
        <v>3275</v>
      </c>
      <c r="AA21" s="3289" t="s">
        <v>3275</v>
      </c>
      <c r="AB21" s="3289" t="s">
        <v>3272</v>
      </c>
      <c r="AC21" s="3289" t="s">
        <v>3085</v>
      </c>
      <c r="AD21" s="3289" t="s">
        <v>3276</v>
      </c>
      <c r="AE21" s="3289" t="s">
        <v>3277</v>
      </c>
      <c r="AF21" s="3289">
        <v>185000</v>
      </c>
      <c r="AG21" s="3289">
        <v>615200</v>
      </c>
      <c r="AH21" s="3289">
        <v>615200</v>
      </c>
      <c r="AI21" s="3289">
        <v>5492.09</v>
      </c>
      <c r="AJ21" s="3289">
        <v>5492.09</v>
      </c>
      <c r="AK21" s="3289">
        <v>25855.47</v>
      </c>
      <c r="AL21" s="3289">
        <v>25855.47</v>
      </c>
      <c r="AM21" s="3289" t="s">
        <v>2795</v>
      </c>
      <c r="AN21" s="3289" t="s">
        <v>2795</v>
      </c>
      <c r="AO21" s="3289">
        <v>0</v>
      </c>
      <c r="AP21" s="3289" t="s">
        <v>3088</v>
      </c>
      <c r="AQ21" s="3289" t="s">
        <v>2795</v>
      </c>
      <c r="AR21" s="3289" t="s">
        <v>2795</v>
      </c>
      <c r="AS21" s="3289" t="s">
        <v>2795</v>
      </c>
      <c r="AT21" s="3289" t="s">
        <v>3089</v>
      </c>
    </row>
    <row r="22" spans="1:46" s="3289" customFormat="1" ht="12" hidden="1">
      <c r="A22" s="3289" t="s">
        <v>3278</v>
      </c>
      <c r="B22" s="3289" t="s">
        <v>1933</v>
      </c>
      <c r="C22" s="3289" t="s">
        <v>3091</v>
      </c>
      <c r="D22" s="3289" t="s">
        <v>3071</v>
      </c>
      <c r="E22" s="3289" t="s">
        <v>3156</v>
      </c>
      <c r="F22" s="3289" t="s">
        <v>3157</v>
      </c>
      <c r="G22" s="3289" t="s">
        <v>3074</v>
      </c>
      <c r="H22" s="3289" t="s">
        <v>3279</v>
      </c>
      <c r="I22" s="3289" t="s">
        <v>3280</v>
      </c>
      <c r="J22" s="3289">
        <v>56169.07</v>
      </c>
      <c r="K22" s="3289">
        <v>123983</v>
      </c>
      <c r="L22" s="3289">
        <v>2.21</v>
      </c>
      <c r="M22" s="3289" t="s">
        <v>2795</v>
      </c>
      <c r="N22" s="3289" t="s">
        <v>2795</v>
      </c>
      <c r="O22" s="3289" t="s">
        <v>2795</v>
      </c>
      <c r="P22" s="3289" t="s">
        <v>3281</v>
      </c>
      <c r="Q22" s="3289">
        <v>21100</v>
      </c>
      <c r="R22" s="3289">
        <v>21100</v>
      </c>
      <c r="S22" s="3289" t="s">
        <v>2795</v>
      </c>
      <c r="T22" s="3289" t="s">
        <v>2795</v>
      </c>
      <c r="U22" s="3289" t="s">
        <v>2795</v>
      </c>
      <c r="V22" s="3289" t="s">
        <v>2795</v>
      </c>
      <c r="W22" s="3289" t="s">
        <v>3182</v>
      </c>
      <c r="X22" s="3289" t="s">
        <v>3282</v>
      </c>
      <c r="Y22" s="3289" t="s">
        <v>3283</v>
      </c>
      <c r="Z22" s="3289" t="s">
        <v>3284</v>
      </c>
      <c r="AA22" s="3289" t="s">
        <v>3284</v>
      </c>
      <c r="AB22" s="3289" t="s">
        <v>3279</v>
      </c>
      <c r="AC22" s="3289" t="s">
        <v>3085</v>
      </c>
      <c r="AD22" s="3289" t="s">
        <v>3285</v>
      </c>
      <c r="AE22" s="3289" t="s">
        <v>3286</v>
      </c>
      <c r="AF22" s="3289">
        <v>151000</v>
      </c>
      <c r="AG22" s="3289">
        <v>503500</v>
      </c>
      <c r="AH22" s="3289">
        <v>513500</v>
      </c>
      <c r="AI22" s="3289">
        <v>5976.01</v>
      </c>
      <c r="AJ22" s="3289">
        <v>6094.69</v>
      </c>
      <c r="AK22" s="3289">
        <v>40610.400000000001</v>
      </c>
      <c r="AL22" s="3289">
        <v>41416.97</v>
      </c>
      <c r="AM22" s="3289">
        <v>48939</v>
      </c>
      <c r="AN22" s="3289">
        <v>49911</v>
      </c>
      <c r="AO22" s="3289">
        <v>1.99</v>
      </c>
      <c r="AP22" s="3289" t="s">
        <v>3088</v>
      </c>
      <c r="AQ22" s="3289" t="s">
        <v>2795</v>
      </c>
      <c r="AR22" s="3289" t="s">
        <v>2795</v>
      </c>
      <c r="AS22" s="3289" t="s">
        <v>2795</v>
      </c>
      <c r="AT22" s="3289" t="s">
        <v>3089</v>
      </c>
    </row>
    <row r="23" spans="1:46" s="3289" customFormat="1" ht="12" hidden="1">
      <c r="A23" s="3289" t="s">
        <v>3287</v>
      </c>
      <c r="B23" s="3289" t="s">
        <v>1933</v>
      </c>
      <c r="C23" s="3289" t="s">
        <v>3091</v>
      </c>
      <c r="D23" s="3289" t="s">
        <v>3071</v>
      </c>
      <c r="E23" s="3289" t="s">
        <v>3072</v>
      </c>
      <c r="F23" s="3289" t="s">
        <v>3288</v>
      </c>
      <c r="G23" s="3289" t="s">
        <v>3074</v>
      </c>
      <c r="H23" s="3289" t="s">
        <v>3289</v>
      </c>
      <c r="I23" s="3289" t="s">
        <v>3124</v>
      </c>
      <c r="J23" s="3289">
        <v>41963.66</v>
      </c>
      <c r="K23" s="3289">
        <v>117498</v>
      </c>
      <c r="L23" s="3289">
        <v>2.8</v>
      </c>
      <c r="M23" s="3289" t="s">
        <v>2795</v>
      </c>
      <c r="N23" s="3289" t="s">
        <v>2795</v>
      </c>
      <c r="O23" s="3289" t="s">
        <v>2795</v>
      </c>
      <c r="P23" s="3289" t="s">
        <v>3290</v>
      </c>
      <c r="Q23" s="3289">
        <v>28000</v>
      </c>
      <c r="R23" s="3289">
        <v>28000</v>
      </c>
      <c r="S23" s="3289" t="s">
        <v>3291</v>
      </c>
      <c r="T23" s="3289" t="s">
        <v>2795</v>
      </c>
      <c r="U23" s="3289" t="s">
        <v>2795</v>
      </c>
      <c r="V23" s="3289" t="s">
        <v>2795</v>
      </c>
      <c r="W23" s="3289" t="s">
        <v>3182</v>
      </c>
      <c r="X23" s="3289" t="s">
        <v>3292</v>
      </c>
      <c r="Y23" s="3289" t="s">
        <v>3293</v>
      </c>
      <c r="Z23" s="3289" t="s">
        <v>3294</v>
      </c>
      <c r="AA23" s="3289" t="s">
        <v>3294</v>
      </c>
      <c r="AB23" s="3289" t="s">
        <v>3289</v>
      </c>
      <c r="AC23" s="3289" t="s">
        <v>3085</v>
      </c>
      <c r="AD23" s="3289" t="s">
        <v>3295</v>
      </c>
      <c r="AE23" s="3289" t="s">
        <v>3296</v>
      </c>
      <c r="AF23" s="3289">
        <v>66000</v>
      </c>
      <c r="AG23" s="3289">
        <v>220000</v>
      </c>
      <c r="AH23" s="3289">
        <v>330000</v>
      </c>
      <c r="AI23" s="3289">
        <v>3495.09</v>
      </c>
      <c r="AJ23" s="3289">
        <v>5242.63</v>
      </c>
      <c r="AK23" s="3289">
        <v>18723.72</v>
      </c>
      <c r="AL23" s="3289">
        <v>28085.58</v>
      </c>
      <c r="AM23" s="3289">
        <v>24582</v>
      </c>
      <c r="AN23" s="3289">
        <v>36872</v>
      </c>
      <c r="AO23" s="3289">
        <v>50</v>
      </c>
      <c r="AP23" s="3289" t="s">
        <v>3088</v>
      </c>
      <c r="AQ23" s="3289" t="s">
        <v>2795</v>
      </c>
      <c r="AR23" s="3289" t="s">
        <v>2795</v>
      </c>
      <c r="AS23" s="3289" t="s">
        <v>2795</v>
      </c>
      <c r="AT23" s="3289" t="s">
        <v>3089</v>
      </c>
    </row>
    <row r="24" spans="1:46" s="3289" customFormat="1" ht="12" hidden="1">
      <c r="A24" s="3289" t="s">
        <v>3297</v>
      </c>
      <c r="B24" s="3289" t="s">
        <v>1933</v>
      </c>
      <c r="C24" s="3289" t="s">
        <v>3091</v>
      </c>
      <c r="D24" s="3289" t="s">
        <v>3071</v>
      </c>
      <c r="E24" s="3289" t="s">
        <v>3121</v>
      </c>
      <c r="F24" s="3289" t="s">
        <v>3252</v>
      </c>
      <c r="G24" s="3289" t="s">
        <v>3074</v>
      </c>
      <c r="H24" s="3289" t="s">
        <v>3298</v>
      </c>
      <c r="I24" s="3289" t="s">
        <v>3299</v>
      </c>
      <c r="J24" s="3289">
        <v>69123.38</v>
      </c>
      <c r="K24" s="3289">
        <v>89860</v>
      </c>
      <c r="L24" s="3289">
        <v>1.3</v>
      </c>
      <c r="M24" s="3289" t="s">
        <v>2795</v>
      </c>
      <c r="N24" s="3289" t="s">
        <v>2795</v>
      </c>
      <c r="O24" s="3289" t="s">
        <v>2795</v>
      </c>
      <c r="P24" s="3289" t="s">
        <v>2795</v>
      </c>
      <c r="Q24" s="3289" t="s">
        <v>2795</v>
      </c>
      <c r="R24" s="3289" t="s">
        <v>2795</v>
      </c>
      <c r="S24" s="3289" t="s">
        <v>2795</v>
      </c>
      <c r="T24" s="3289" t="s">
        <v>2795</v>
      </c>
      <c r="U24" s="3289" t="s">
        <v>2795</v>
      </c>
      <c r="V24" s="3289" t="s">
        <v>2795</v>
      </c>
      <c r="W24" s="3289" t="s">
        <v>3182</v>
      </c>
      <c r="X24" s="3289" t="s">
        <v>3300</v>
      </c>
      <c r="Y24" s="3289" t="s">
        <v>3301</v>
      </c>
      <c r="Z24" s="3289" t="s">
        <v>3302</v>
      </c>
      <c r="AA24" s="3289" t="s">
        <v>3302</v>
      </c>
      <c r="AB24" s="3289" t="s">
        <v>3298</v>
      </c>
      <c r="AC24" s="3289" t="s">
        <v>3085</v>
      </c>
      <c r="AD24" s="3289" t="s">
        <v>3303</v>
      </c>
      <c r="AE24" s="3289" t="s">
        <v>2795</v>
      </c>
      <c r="AF24" s="3289">
        <v>58800</v>
      </c>
      <c r="AG24" s="3289">
        <v>196000</v>
      </c>
      <c r="AH24" s="3289">
        <v>294000</v>
      </c>
      <c r="AI24" s="3289">
        <v>1890.34</v>
      </c>
      <c r="AJ24" s="3289">
        <v>2835.51</v>
      </c>
      <c r="AK24" s="3289">
        <v>21811.7</v>
      </c>
      <c r="AL24" s="3289">
        <v>32717.56</v>
      </c>
      <c r="AM24" s="3289" t="s">
        <v>2795</v>
      </c>
      <c r="AN24" s="3289" t="s">
        <v>2795</v>
      </c>
      <c r="AO24" s="3289">
        <v>50</v>
      </c>
      <c r="AP24" s="3289" t="s">
        <v>3304</v>
      </c>
      <c r="AQ24" s="3289" t="s">
        <v>2795</v>
      </c>
      <c r="AR24" s="3289" t="s">
        <v>2795</v>
      </c>
      <c r="AS24" s="3289" t="s">
        <v>2795</v>
      </c>
      <c r="AT24" s="3289" t="s">
        <v>3089</v>
      </c>
    </row>
    <row r="25" spans="1:46" s="3289" customFormat="1" ht="12" hidden="1">
      <c r="A25" s="3289" t="s">
        <v>3305</v>
      </c>
      <c r="B25" s="3289" t="s">
        <v>1933</v>
      </c>
      <c r="C25" s="3289" t="s">
        <v>3091</v>
      </c>
      <c r="D25" s="3289" t="s">
        <v>3071</v>
      </c>
      <c r="E25" s="3289" t="s">
        <v>3072</v>
      </c>
      <c r="F25" s="3289" t="s">
        <v>3306</v>
      </c>
      <c r="G25" s="3289" t="s">
        <v>3074</v>
      </c>
      <c r="H25" s="3289" t="s">
        <v>3307</v>
      </c>
      <c r="I25" s="3289" t="s">
        <v>3124</v>
      </c>
      <c r="J25" s="3289">
        <v>63913.14</v>
      </c>
      <c r="K25" s="3289">
        <v>159783</v>
      </c>
      <c r="L25" s="3289">
        <v>2.5</v>
      </c>
      <c r="M25" s="3289" t="s">
        <v>2795</v>
      </c>
      <c r="N25" s="3289" t="s">
        <v>2795</v>
      </c>
      <c r="O25" s="3289" t="s">
        <v>2795</v>
      </c>
      <c r="P25" s="3289" t="s">
        <v>3290</v>
      </c>
      <c r="Q25" s="3289">
        <v>34000</v>
      </c>
      <c r="R25" s="3289">
        <v>89000</v>
      </c>
      <c r="S25" s="3289" t="s">
        <v>2795</v>
      </c>
      <c r="T25" s="3289" t="s">
        <v>2795</v>
      </c>
      <c r="U25" s="3289" t="s">
        <v>2795</v>
      </c>
      <c r="V25" s="3289" t="s">
        <v>2795</v>
      </c>
      <c r="W25" s="3289" t="s">
        <v>3182</v>
      </c>
      <c r="X25" s="3289" t="s">
        <v>3308</v>
      </c>
      <c r="Y25" s="3289" t="s">
        <v>3309</v>
      </c>
      <c r="Z25" s="3289" t="s">
        <v>3310</v>
      </c>
      <c r="AA25" s="3289" t="s">
        <v>3310</v>
      </c>
      <c r="AB25" s="3289" t="s">
        <v>3307</v>
      </c>
      <c r="AC25" s="3289" t="s">
        <v>3085</v>
      </c>
      <c r="AD25" s="3289" t="s">
        <v>3311</v>
      </c>
      <c r="AE25" s="3289" t="s">
        <v>3312</v>
      </c>
      <c r="AF25" s="3289">
        <v>91500</v>
      </c>
      <c r="AG25" s="3289">
        <v>305000</v>
      </c>
      <c r="AH25" s="3289">
        <v>425000</v>
      </c>
      <c r="AI25" s="3289">
        <v>3181.4</v>
      </c>
      <c r="AJ25" s="3289">
        <v>4433.1000000000004</v>
      </c>
      <c r="AK25" s="3289">
        <v>19088.38</v>
      </c>
      <c r="AL25" s="3289">
        <v>26598.560000000001</v>
      </c>
      <c r="AM25" s="3289">
        <v>24248</v>
      </c>
      <c r="AN25" s="3289">
        <v>60043</v>
      </c>
      <c r="AO25" s="3289">
        <v>39.340000000000003</v>
      </c>
      <c r="AP25" s="3289" t="s">
        <v>3304</v>
      </c>
      <c r="AQ25" s="3289" t="s">
        <v>2795</v>
      </c>
      <c r="AR25" s="3289" t="s">
        <v>2795</v>
      </c>
      <c r="AS25" s="3289" t="s">
        <v>2795</v>
      </c>
      <c r="AT25" s="3289" t="s">
        <v>3145</v>
      </c>
    </row>
    <row r="26" spans="1:46" s="3289" customFormat="1" ht="12" hidden="1">
      <c r="A26" s="3289" t="s">
        <v>3313</v>
      </c>
      <c r="B26" s="3289" t="s">
        <v>1933</v>
      </c>
      <c r="C26" s="3289" t="s">
        <v>3091</v>
      </c>
      <c r="D26" s="3289" t="s">
        <v>3071</v>
      </c>
      <c r="E26" s="3289" t="s">
        <v>3121</v>
      </c>
      <c r="F26" s="3289" t="s">
        <v>3314</v>
      </c>
      <c r="G26" s="3289" t="s">
        <v>3074</v>
      </c>
      <c r="H26" s="3289" t="s">
        <v>3315</v>
      </c>
      <c r="I26" s="3289" t="s">
        <v>3316</v>
      </c>
      <c r="J26" s="3289">
        <v>121096.3</v>
      </c>
      <c r="K26" s="3289">
        <v>143685</v>
      </c>
      <c r="L26" s="3289">
        <v>1.19</v>
      </c>
      <c r="M26" s="3289" t="s">
        <v>2795</v>
      </c>
      <c r="N26" s="3289" t="s">
        <v>2795</v>
      </c>
      <c r="O26" s="3289" t="s">
        <v>2795</v>
      </c>
      <c r="P26" s="3289" t="s">
        <v>2795</v>
      </c>
      <c r="Q26" s="3289" t="s">
        <v>2795</v>
      </c>
      <c r="R26" s="3289" t="s">
        <v>2795</v>
      </c>
      <c r="S26" s="3289" t="s">
        <v>2795</v>
      </c>
      <c r="T26" s="3289" t="s">
        <v>2795</v>
      </c>
      <c r="U26" s="3289" t="s">
        <v>2795</v>
      </c>
      <c r="V26" s="3289" t="s">
        <v>2795</v>
      </c>
      <c r="W26" s="3289" t="s">
        <v>3182</v>
      </c>
      <c r="X26" s="3289" t="s">
        <v>3317</v>
      </c>
      <c r="Y26" s="3289" t="s">
        <v>3318</v>
      </c>
      <c r="Z26" s="3289" t="s">
        <v>3319</v>
      </c>
      <c r="AA26" s="3289" t="s">
        <v>3319</v>
      </c>
      <c r="AB26" s="3289" t="s">
        <v>3315</v>
      </c>
      <c r="AC26" s="3289" t="s">
        <v>3085</v>
      </c>
      <c r="AD26" s="3289" t="s">
        <v>3320</v>
      </c>
      <c r="AE26" s="3289" t="s">
        <v>3321</v>
      </c>
      <c r="AF26" s="3289">
        <v>129660</v>
      </c>
      <c r="AG26" s="3289">
        <v>432200</v>
      </c>
      <c r="AH26" s="3289">
        <v>648300</v>
      </c>
      <c r="AI26" s="3289">
        <v>2379.37</v>
      </c>
      <c r="AJ26" s="3289">
        <v>3569.06</v>
      </c>
      <c r="AK26" s="3289">
        <v>30079.68</v>
      </c>
      <c r="AL26" s="3289">
        <v>45119.519999999997</v>
      </c>
      <c r="AM26" s="3289" t="s">
        <v>2795</v>
      </c>
      <c r="AN26" s="3289" t="s">
        <v>2795</v>
      </c>
      <c r="AO26" s="3289">
        <v>50</v>
      </c>
      <c r="AP26" s="3289" t="s">
        <v>3304</v>
      </c>
      <c r="AQ26" s="3289" t="s">
        <v>2795</v>
      </c>
      <c r="AR26" s="3289" t="s">
        <v>2795</v>
      </c>
      <c r="AS26" s="3289" t="s">
        <v>2795</v>
      </c>
      <c r="AT26" s="3289" t="s">
        <v>3119</v>
      </c>
    </row>
    <row r="27" spans="1:46" s="3289" customFormat="1" ht="12" hidden="1">
      <c r="A27" s="3289" t="s">
        <v>3322</v>
      </c>
      <c r="B27" s="3289" t="s">
        <v>1933</v>
      </c>
      <c r="C27" s="3289" t="s">
        <v>3091</v>
      </c>
      <c r="D27" s="3289" t="s">
        <v>3071</v>
      </c>
      <c r="E27" s="3289" t="s">
        <v>3072</v>
      </c>
      <c r="F27" s="3289" t="s">
        <v>3323</v>
      </c>
      <c r="G27" s="3289" t="s">
        <v>3074</v>
      </c>
      <c r="H27" s="3289" t="s">
        <v>3324</v>
      </c>
      <c r="I27" s="3289" t="s">
        <v>3325</v>
      </c>
      <c r="J27" s="3289">
        <v>46486.13</v>
      </c>
      <c r="K27" s="3289">
        <v>68269</v>
      </c>
      <c r="L27" s="3289">
        <v>1.47</v>
      </c>
      <c r="M27" s="3289" t="s">
        <v>2795</v>
      </c>
      <c r="N27" s="3289" t="s">
        <v>2795</v>
      </c>
      <c r="O27" s="3289" t="s">
        <v>2795</v>
      </c>
      <c r="P27" s="3289" t="s">
        <v>2795</v>
      </c>
      <c r="Q27" s="3289" t="s">
        <v>2795</v>
      </c>
      <c r="R27" s="3289" t="s">
        <v>2795</v>
      </c>
      <c r="S27" s="3289" t="s">
        <v>3326</v>
      </c>
      <c r="T27" s="3289" t="s">
        <v>2795</v>
      </c>
      <c r="U27" s="3289" t="s">
        <v>2795</v>
      </c>
      <c r="V27" s="3289" t="s">
        <v>2795</v>
      </c>
      <c r="W27" s="3289" t="s">
        <v>3182</v>
      </c>
      <c r="X27" s="3289" t="s">
        <v>3327</v>
      </c>
      <c r="Y27" s="3289" t="s">
        <v>3328</v>
      </c>
      <c r="Z27" s="3289" t="s">
        <v>3329</v>
      </c>
      <c r="AA27" s="3289" t="s">
        <v>3329</v>
      </c>
      <c r="AB27" s="3289" t="s">
        <v>3324</v>
      </c>
      <c r="AC27" s="3289" t="s">
        <v>3085</v>
      </c>
      <c r="AD27" s="3289" t="s">
        <v>3330</v>
      </c>
      <c r="AE27" s="3289" t="s">
        <v>3331</v>
      </c>
      <c r="AF27" s="3289">
        <v>24000</v>
      </c>
      <c r="AG27" s="3289">
        <v>79100</v>
      </c>
      <c r="AH27" s="3289">
        <v>112500</v>
      </c>
      <c r="AI27" s="3289">
        <v>1134.3900000000001</v>
      </c>
      <c r="AJ27" s="3289">
        <v>1613.38</v>
      </c>
      <c r="AK27" s="3289">
        <v>11586.51</v>
      </c>
      <c r="AL27" s="3289">
        <v>16478.93</v>
      </c>
      <c r="AM27" s="3289" t="s">
        <v>2795</v>
      </c>
      <c r="AN27" s="3289" t="s">
        <v>2795</v>
      </c>
      <c r="AO27" s="3289">
        <v>42.23</v>
      </c>
      <c r="AP27" s="3289" t="s">
        <v>3332</v>
      </c>
      <c r="AQ27" s="3289" t="s">
        <v>2795</v>
      </c>
      <c r="AR27" s="3289" t="s">
        <v>2795</v>
      </c>
      <c r="AS27" s="3289" t="s">
        <v>2795</v>
      </c>
      <c r="AT27" s="3289" t="s">
        <v>3145</v>
      </c>
    </row>
    <row r="28" spans="1:46" s="3289" customFormat="1" ht="12" hidden="1">
      <c r="A28" s="3289" t="s">
        <v>3333</v>
      </c>
      <c r="B28" s="3289" t="s">
        <v>1933</v>
      </c>
      <c r="C28" s="3289" t="s">
        <v>3070</v>
      </c>
      <c r="D28" s="3289" t="s">
        <v>3071</v>
      </c>
      <c r="E28" s="3289" t="s">
        <v>3156</v>
      </c>
      <c r="F28" s="3289" t="s">
        <v>3334</v>
      </c>
      <c r="G28" s="3289" t="s">
        <v>3335</v>
      </c>
      <c r="H28" s="3289" t="s">
        <v>3336</v>
      </c>
      <c r="I28" s="3289" t="s">
        <v>3076</v>
      </c>
      <c r="J28" s="3289">
        <v>30781.8</v>
      </c>
      <c r="K28" s="3289">
        <v>92345</v>
      </c>
      <c r="L28" s="3289">
        <v>3</v>
      </c>
      <c r="M28" s="3289" t="s">
        <v>2795</v>
      </c>
      <c r="N28" s="3289" t="s">
        <v>2795</v>
      </c>
      <c r="O28" s="3289" t="s">
        <v>2795</v>
      </c>
      <c r="P28" s="3289" t="s">
        <v>2795</v>
      </c>
      <c r="Q28" s="3289" t="s">
        <v>2795</v>
      </c>
      <c r="R28" s="3289" t="s">
        <v>2795</v>
      </c>
      <c r="S28" s="3289" t="s">
        <v>2795</v>
      </c>
      <c r="T28" s="3289" t="s">
        <v>2795</v>
      </c>
      <c r="U28" s="3289" t="s">
        <v>2795</v>
      </c>
      <c r="V28" s="3289" t="s">
        <v>2795</v>
      </c>
      <c r="W28" s="3289" t="s">
        <v>3182</v>
      </c>
      <c r="X28" s="3289" t="s">
        <v>3337</v>
      </c>
      <c r="Y28" s="3289" t="s">
        <v>3338</v>
      </c>
      <c r="Z28" s="3289" t="s">
        <v>3338</v>
      </c>
      <c r="AA28" s="3289" t="s">
        <v>3338</v>
      </c>
      <c r="AB28" s="3289" t="s">
        <v>3336</v>
      </c>
      <c r="AC28" s="3289" t="s">
        <v>3085</v>
      </c>
      <c r="AD28" s="3289" t="s">
        <v>3339</v>
      </c>
      <c r="AE28" s="3289" t="s">
        <v>2795</v>
      </c>
      <c r="AF28" s="3289">
        <v>3000</v>
      </c>
      <c r="AG28" s="3289" t="s">
        <v>2795</v>
      </c>
      <c r="AH28" s="3289">
        <v>50000</v>
      </c>
      <c r="AI28" s="3289" t="s">
        <v>2795</v>
      </c>
      <c r="AJ28" s="3289">
        <v>1082.8900000000001</v>
      </c>
      <c r="AK28" s="3289" t="s">
        <v>2795</v>
      </c>
      <c r="AL28" s="3289">
        <v>5414.47</v>
      </c>
      <c r="AM28" s="3289" t="s">
        <v>2795</v>
      </c>
      <c r="AN28" s="3289" t="s">
        <v>2795</v>
      </c>
      <c r="AO28" s="3289" t="s">
        <v>2795</v>
      </c>
      <c r="AP28" s="3289" t="s">
        <v>3340</v>
      </c>
      <c r="AQ28" s="3289" t="s">
        <v>2795</v>
      </c>
      <c r="AR28" s="3289" t="s">
        <v>2795</v>
      </c>
      <c r="AS28" s="3289" t="s">
        <v>2795</v>
      </c>
      <c r="AT28" s="3289" t="s">
        <v>3145</v>
      </c>
    </row>
    <row r="29" spans="1:46" s="3289" customFormat="1" ht="12" hidden="1">
      <c r="A29" s="3289" t="s">
        <v>3341</v>
      </c>
      <c r="B29" s="3289" t="s">
        <v>1933</v>
      </c>
      <c r="C29" s="3289" t="s">
        <v>3091</v>
      </c>
      <c r="D29" s="3289" t="s">
        <v>3071</v>
      </c>
      <c r="E29" s="3289" t="s">
        <v>3072</v>
      </c>
      <c r="F29" s="3289" t="s">
        <v>3342</v>
      </c>
      <c r="G29" s="3289" t="s">
        <v>3074</v>
      </c>
      <c r="H29" s="3289" t="s">
        <v>3343</v>
      </c>
      <c r="I29" s="3289" t="s">
        <v>3344</v>
      </c>
      <c r="J29" s="3289">
        <v>22547.84</v>
      </c>
      <c r="K29" s="3289">
        <v>56369</v>
      </c>
      <c r="L29" s="3289">
        <v>2.5</v>
      </c>
      <c r="M29" s="3289" t="s">
        <v>2795</v>
      </c>
      <c r="N29" s="3289" t="s">
        <v>2795</v>
      </c>
      <c r="O29" s="3289" t="s">
        <v>2795</v>
      </c>
      <c r="P29" s="3289" t="s">
        <v>2795</v>
      </c>
      <c r="Q29" s="3289" t="s">
        <v>2795</v>
      </c>
      <c r="R29" s="3289" t="s">
        <v>2795</v>
      </c>
      <c r="S29" s="3289" t="s">
        <v>3345</v>
      </c>
      <c r="T29" s="3289" t="s">
        <v>2795</v>
      </c>
      <c r="U29" s="3289" t="s">
        <v>2795</v>
      </c>
      <c r="V29" s="3289" t="s">
        <v>2795</v>
      </c>
      <c r="W29" s="3289" t="s">
        <v>3182</v>
      </c>
      <c r="X29" s="3289" t="s">
        <v>3346</v>
      </c>
      <c r="Y29" s="3289" t="s">
        <v>3347</v>
      </c>
      <c r="Z29" s="3289" t="s">
        <v>3348</v>
      </c>
      <c r="AA29" s="3289" t="s">
        <v>3348</v>
      </c>
      <c r="AB29" s="3289" t="s">
        <v>3343</v>
      </c>
      <c r="AC29" s="3289" t="s">
        <v>3085</v>
      </c>
      <c r="AD29" s="3289" t="s">
        <v>3349</v>
      </c>
      <c r="AE29" s="3289" t="s">
        <v>2795</v>
      </c>
      <c r="AF29" s="3289">
        <v>28000</v>
      </c>
      <c r="AG29" s="3289">
        <v>92500</v>
      </c>
      <c r="AH29" s="3289">
        <v>138000</v>
      </c>
      <c r="AI29" s="3289">
        <v>2734.93</v>
      </c>
      <c r="AJ29" s="3289">
        <v>4080.21</v>
      </c>
      <c r="AK29" s="3289">
        <v>16409.72</v>
      </c>
      <c r="AL29" s="3289">
        <v>24481.54</v>
      </c>
      <c r="AM29" s="3289" t="s">
        <v>2795</v>
      </c>
      <c r="AN29" s="3289" t="s">
        <v>2795</v>
      </c>
      <c r="AO29" s="3289">
        <v>49.19</v>
      </c>
      <c r="AP29" s="3289" t="s">
        <v>3332</v>
      </c>
      <c r="AQ29" s="3289" t="s">
        <v>2795</v>
      </c>
      <c r="AR29" s="3289" t="s">
        <v>2795</v>
      </c>
      <c r="AS29" s="3289" t="s">
        <v>2795</v>
      </c>
      <c r="AT29" s="3289" t="s">
        <v>3089</v>
      </c>
    </row>
    <row r="30" spans="1:46" s="3289" customFormat="1" ht="12" hidden="1">
      <c r="A30" s="3289" t="s">
        <v>3350</v>
      </c>
      <c r="B30" s="3289" t="s">
        <v>1933</v>
      </c>
      <c r="C30" s="3289" t="s">
        <v>3091</v>
      </c>
      <c r="D30" s="3289" t="s">
        <v>3071</v>
      </c>
      <c r="E30" s="3289" t="s">
        <v>3072</v>
      </c>
      <c r="F30" s="3289" t="s">
        <v>3342</v>
      </c>
      <c r="G30" s="3289" t="s">
        <v>3074</v>
      </c>
      <c r="H30" s="3289" t="s">
        <v>3351</v>
      </c>
      <c r="I30" s="3289" t="s">
        <v>3352</v>
      </c>
      <c r="J30" s="3289">
        <v>30527.53</v>
      </c>
      <c r="K30" s="3289">
        <v>76319</v>
      </c>
      <c r="L30" s="3289">
        <v>2.5</v>
      </c>
      <c r="M30" s="3289" t="s">
        <v>2795</v>
      </c>
      <c r="N30" s="3289" t="s">
        <v>2795</v>
      </c>
      <c r="O30" s="3289" t="s">
        <v>2795</v>
      </c>
      <c r="P30" s="3289" t="s">
        <v>2795</v>
      </c>
      <c r="Q30" s="3289" t="s">
        <v>2795</v>
      </c>
      <c r="R30" s="3289" t="s">
        <v>2795</v>
      </c>
      <c r="S30" s="3289" t="s">
        <v>2795</v>
      </c>
      <c r="T30" s="3289" t="s">
        <v>2795</v>
      </c>
      <c r="U30" s="3289" t="s">
        <v>2795</v>
      </c>
      <c r="V30" s="3289" t="s">
        <v>2795</v>
      </c>
      <c r="W30" s="3289" t="s">
        <v>3182</v>
      </c>
      <c r="X30" s="3289" t="s">
        <v>3346</v>
      </c>
      <c r="Y30" s="3289" t="s">
        <v>3347</v>
      </c>
      <c r="Z30" s="3289" t="s">
        <v>3348</v>
      </c>
      <c r="AA30" s="3289" t="s">
        <v>3348</v>
      </c>
      <c r="AB30" s="3289" t="s">
        <v>3351</v>
      </c>
      <c r="AC30" s="3289" t="s">
        <v>3085</v>
      </c>
      <c r="AD30" s="3289" t="s">
        <v>3353</v>
      </c>
      <c r="AE30" s="3289" t="s">
        <v>3144</v>
      </c>
      <c r="AF30" s="3289">
        <v>20000</v>
      </c>
      <c r="AG30" s="3289">
        <v>66400</v>
      </c>
      <c r="AH30" s="3289">
        <v>81000</v>
      </c>
      <c r="AI30" s="3289">
        <v>1450.06</v>
      </c>
      <c r="AJ30" s="3289">
        <v>1768.9</v>
      </c>
      <c r="AK30" s="3289">
        <v>8700.32</v>
      </c>
      <c r="AL30" s="3289">
        <v>10613.35</v>
      </c>
      <c r="AM30" s="3289" t="s">
        <v>2795</v>
      </c>
      <c r="AN30" s="3289" t="s">
        <v>2795</v>
      </c>
      <c r="AO30" s="3289">
        <v>21.99</v>
      </c>
      <c r="AP30" s="3289" t="s">
        <v>3332</v>
      </c>
      <c r="AQ30" s="3289" t="s">
        <v>2795</v>
      </c>
      <c r="AR30" s="3289" t="s">
        <v>2795</v>
      </c>
      <c r="AS30" s="3289" t="s">
        <v>2795</v>
      </c>
      <c r="AT30" s="3289" t="s">
        <v>3089</v>
      </c>
    </row>
    <row r="31" spans="1:46" s="3289" customFormat="1" ht="12" hidden="1">
      <c r="A31" s="3289" t="s">
        <v>3354</v>
      </c>
      <c r="B31" s="3289" t="s">
        <v>1933</v>
      </c>
      <c r="C31" s="3289" t="s">
        <v>3091</v>
      </c>
      <c r="D31" s="3289" t="s">
        <v>3071</v>
      </c>
      <c r="E31" s="3289" t="s">
        <v>3355</v>
      </c>
      <c r="F31" s="3289" t="s">
        <v>3356</v>
      </c>
      <c r="G31" s="3289" t="s">
        <v>3074</v>
      </c>
      <c r="H31" s="3289" t="s">
        <v>3357</v>
      </c>
      <c r="I31" s="3289" t="s">
        <v>3358</v>
      </c>
      <c r="J31" s="3289">
        <v>61500</v>
      </c>
      <c r="K31" s="3289">
        <v>119200</v>
      </c>
      <c r="L31" s="3289">
        <v>1.94</v>
      </c>
      <c r="M31" s="3289" t="s">
        <v>2795</v>
      </c>
      <c r="N31" s="3289" t="s">
        <v>2795</v>
      </c>
      <c r="O31" s="3289" t="s">
        <v>2795</v>
      </c>
      <c r="P31" s="3289" t="s">
        <v>3290</v>
      </c>
      <c r="Q31" s="3289">
        <v>29400</v>
      </c>
      <c r="R31" s="3289">
        <v>29400</v>
      </c>
      <c r="S31" s="3289" t="s">
        <v>3359</v>
      </c>
      <c r="T31" s="3289" t="s">
        <v>2795</v>
      </c>
      <c r="U31" s="3289" t="s">
        <v>2795</v>
      </c>
      <c r="V31" s="3289" t="s">
        <v>2795</v>
      </c>
      <c r="W31" s="3289" t="s">
        <v>3182</v>
      </c>
      <c r="X31" s="3289" t="s">
        <v>3360</v>
      </c>
      <c r="Y31" s="3289" t="s">
        <v>3361</v>
      </c>
      <c r="Z31" s="3289" t="s">
        <v>3362</v>
      </c>
      <c r="AA31" s="3289" t="s">
        <v>3362</v>
      </c>
      <c r="AB31" s="3289" t="s">
        <v>3357</v>
      </c>
      <c r="AC31" s="3289" t="s">
        <v>3085</v>
      </c>
      <c r="AD31" s="3289" t="s">
        <v>3363</v>
      </c>
      <c r="AE31" s="3289" t="s">
        <v>3364</v>
      </c>
      <c r="AF31" s="3289">
        <v>45000</v>
      </c>
      <c r="AG31" s="3289">
        <v>149200</v>
      </c>
      <c r="AH31" s="3289">
        <v>205000</v>
      </c>
      <c r="AI31" s="3289">
        <v>1617.34</v>
      </c>
      <c r="AJ31" s="3289">
        <v>2222.2199999999998</v>
      </c>
      <c r="AK31" s="3289">
        <v>12516.77</v>
      </c>
      <c r="AL31" s="3289">
        <v>17197.990000000002</v>
      </c>
      <c r="AM31" s="3289">
        <v>16615</v>
      </c>
      <c r="AN31" s="3289">
        <v>22829</v>
      </c>
      <c r="AO31" s="3289">
        <v>37.4</v>
      </c>
      <c r="AP31" s="3289" t="s">
        <v>3365</v>
      </c>
      <c r="AQ31" s="3289" t="s">
        <v>2795</v>
      </c>
      <c r="AR31" s="3289" t="s">
        <v>2795</v>
      </c>
      <c r="AS31" s="3289" t="s">
        <v>2795</v>
      </c>
      <c r="AT31" s="3289" t="s">
        <v>3145</v>
      </c>
    </row>
    <row r="32" spans="1:46" s="3289" customFormat="1" ht="12" hidden="1">
      <c r="A32" s="3289" t="s">
        <v>3366</v>
      </c>
      <c r="B32" s="3289" t="s">
        <v>1933</v>
      </c>
      <c r="C32" s="3289" t="s">
        <v>3070</v>
      </c>
      <c r="D32" s="3289" t="s">
        <v>3071</v>
      </c>
      <c r="E32" s="3289" t="s">
        <v>3178</v>
      </c>
      <c r="F32" s="3289" t="s">
        <v>3367</v>
      </c>
      <c r="G32" s="3289" t="s">
        <v>3335</v>
      </c>
      <c r="H32" s="3289" t="s">
        <v>3368</v>
      </c>
      <c r="I32" s="3289" t="s">
        <v>3352</v>
      </c>
      <c r="J32" s="3289">
        <v>78241.8</v>
      </c>
      <c r="K32" s="3289">
        <v>229740</v>
      </c>
      <c r="L32" s="3289">
        <v>2.94</v>
      </c>
      <c r="M32" s="3289" t="s">
        <v>2795</v>
      </c>
      <c r="N32" s="3289" t="s">
        <v>2795</v>
      </c>
      <c r="O32" s="3289" t="s">
        <v>2795</v>
      </c>
      <c r="P32" s="3289" t="s">
        <v>2795</v>
      </c>
      <c r="Q32" s="3289" t="s">
        <v>2795</v>
      </c>
      <c r="R32" s="3289" t="s">
        <v>2795</v>
      </c>
      <c r="S32" s="3289" t="s">
        <v>3369</v>
      </c>
      <c r="T32" s="3289" t="s">
        <v>2795</v>
      </c>
      <c r="U32" s="3289" t="s">
        <v>2795</v>
      </c>
      <c r="V32" s="3289" t="s">
        <v>2795</v>
      </c>
      <c r="W32" s="3289" t="s">
        <v>3182</v>
      </c>
      <c r="X32" s="3289" t="s">
        <v>3370</v>
      </c>
      <c r="Y32" s="3289" t="s">
        <v>3371</v>
      </c>
      <c r="Z32" s="3289" t="s">
        <v>3371</v>
      </c>
      <c r="AA32" s="3289" t="s">
        <v>3371</v>
      </c>
      <c r="AB32" s="3289" t="s">
        <v>3368</v>
      </c>
      <c r="AC32" s="3289" t="s">
        <v>3085</v>
      </c>
      <c r="AD32" s="3289" t="s">
        <v>3372</v>
      </c>
      <c r="AE32" s="3289" t="s">
        <v>2795</v>
      </c>
      <c r="AF32" s="3289">
        <v>60000</v>
      </c>
      <c r="AG32" s="3289" t="s">
        <v>2795</v>
      </c>
      <c r="AH32" s="3289">
        <v>300088</v>
      </c>
      <c r="AI32" s="3289" t="s">
        <v>2795</v>
      </c>
      <c r="AJ32" s="3289">
        <v>2556.9299999999998</v>
      </c>
      <c r="AK32" s="3289" t="s">
        <v>2795</v>
      </c>
      <c r="AL32" s="3289">
        <v>13062.06</v>
      </c>
      <c r="AM32" s="3289" t="s">
        <v>2795</v>
      </c>
      <c r="AN32" s="3289" t="s">
        <v>2795</v>
      </c>
      <c r="AO32" s="3289" t="s">
        <v>2795</v>
      </c>
      <c r="AP32" s="3289" t="s">
        <v>3365</v>
      </c>
      <c r="AQ32" s="3289" t="s">
        <v>2795</v>
      </c>
      <c r="AR32" s="3289" t="s">
        <v>2795</v>
      </c>
      <c r="AS32" s="3289" t="s">
        <v>2795</v>
      </c>
      <c r="AT32" s="3289" t="s">
        <v>3119</v>
      </c>
    </row>
    <row r="33" spans="1:46" s="3289" customFormat="1" ht="12" hidden="1">
      <c r="A33" s="3289" t="s">
        <v>3373</v>
      </c>
      <c r="B33" s="3289" t="s">
        <v>1933</v>
      </c>
      <c r="C33" s="3289" t="s">
        <v>3091</v>
      </c>
      <c r="D33" s="3289" t="s">
        <v>3071</v>
      </c>
      <c r="E33" s="3289" t="s">
        <v>3072</v>
      </c>
      <c r="F33" s="3289" t="s">
        <v>3374</v>
      </c>
      <c r="G33" s="3289" t="s">
        <v>3335</v>
      </c>
      <c r="H33" s="3289" t="s">
        <v>3375</v>
      </c>
      <c r="I33" s="3289" t="s">
        <v>3376</v>
      </c>
      <c r="J33" s="3289">
        <v>120479.5</v>
      </c>
      <c r="K33" s="3289">
        <v>316433</v>
      </c>
      <c r="L33" s="3289">
        <v>2.63</v>
      </c>
      <c r="M33" s="3289" t="s">
        <v>2795</v>
      </c>
      <c r="N33" s="3289" t="s">
        <v>2795</v>
      </c>
      <c r="O33" s="3289" t="s">
        <v>2795</v>
      </c>
      <c r="P33" s="3289" t="s">
        <v>2795</v>
      </c>
      <c r="Q33" s="3289" t="s">
        <v>2795</v>
      </c>
      <c r="R33" s="3289" t="s">
        <v>2795</v>
      </c>
      <c r="S33" s="3289" t="s">
        <v>3377</v>
      </c>
      <c r="T33" s="3289" t="s">
        <v>2795</v>
      </c>
      <c r="U33" s="3289" t="s">
        <v>2795</v>
      </c>
      <c r="V33" s="3289" t="s">
        <v>2795</v>
      </c>
      <c r="W33" s="3289" t="s">
        <v>3182</v>
      </c>
      <c r="X33" s="3289" t="s">
        <v>3378</v>
      </c>
      <c r="Y33" s="3289" t="s">
        <v>3379</v>
      </c>
      <c r="Z33" s="3289" t="s">
        <v>3379</v>
      </c>
      <c r="AA33" s="3289" t="s">
        <v>3379</v>
      </c>
      <c r="AB33" s="3289" t="s">
        <v>3375</v>
      </c>
      <c r="AC33" s="3289" t="s">
        <v>3085</v>
      </c>
      <c r="AD33" s="3289" t="s">
        <v>3380</v>
      </c>
      <c r="AE33" s="3289" t="s">
        <v>3381</v>
      </c>
      <c r="AF33" s="3289">
        <v>85000</v>
      </c>
      <c r="AG33" s="3289" t="s">
        <v>2795</v>
      </c>
      <c r="AH33" s="3289">
        <v>433500</v>
      </c>
      <c r="AI33" s="3289" t="s">
        <v>2795</v>
      </c>
      <c r="AJ33" s="3289">
        <v>2398.75</v>
      </c>
      <c r="AK33" s="3289" t="s">
        <v>2795</v>
      </c>
      <c r="AL33" s="3289">
        <v>13699.57</v>
      </c>
      <c r="AM33" s="3289" t="s">
        <v>2795</v>
      </c>
      <c r="AN33" s="3289" t="s">
        <v>2795</v>
      </c>
      <c r="AO33" s="3289" t="s">
        <v>2795</v>
      </c>
      <c r="AP33" s="3289" t="s">
        <v>3365</v>
      </c>
      <c r="AQ33" s="3289" t="s">
        <v>2795</v>
      </c>
      <c r="AR33" s="3289" t="s">
        <v>2795</v>
      </c>
      <c r="AS33" s="3289" t="s">
        <v>2795</v>
      </c>
      <c r="AT33" s="3289" t="s">
        <v>3089</v>
      </c>
    </row>
    <row r="34" spans="1:46" s="3289" customFormat="1" ht="12" hidden="1">
      <c r="A34" s="3289" t="s">
        <v>3382</v>
      </c>
      <c r="B34" s="3289" t="s">
        <v>1933</v>
      </c>
      <c r="C34" s="3289" t="s">
        <v>3091</v>
      </c>
      <c r="D34" s="3289" t="s">
        <v>3071</v>
      </c>
      <c r="E34" s="3289" t="s">
        <v>3383</v>
      </c>
      <c r="F34" s="3289" t="s">
        <v>3384</v>
      </c>
      <c r="G34" s="3289" t="s">
        <v>3335</v>
      </c>
      <c r="H34" s="3289" t="s">
        <v>3385</v>
      </c>
      <c r="I34" s="3289" t="s">
        <v>3386</v>
      </c>
      <c r="J34" s="3289">
        <v>13821.44</v>
      </c>
      <c r="K34" s="3289">
        <v>41464.31</v>
      </c>
      <c r="L34" s="3289">
        <v>3</v>
      </c>
      <c r="M34" s="3289" t="s">
        <v>2795</v>
      </c>
      <c r="N34" s="3289" t="s">
        <v>2795</v>
      </c>
      <c r="O34" s="3289" t="s">
        <v>2795</v>
      </c>
      <c r="P34" s="3289" t="s">
        <v>2795</v>
      </c>
      <c r="Q34" s="3289" t="s">
        <v>2795</v>
      </c>
      <c r="R34" s="3289" t="s">
        <v>2795</v>
      </c>
      <c r="S34" s="3289" t="s">
        <v>3377</v>
      </c>
      <c r="T34" s="3289" t="s">
        <v>2795</v>
      </c>
      <c r="U34" s="3289" t="s">
        <v>2795</v>
      </c>
      <c r="V34" s="3289" t="s">
        <v>2795</v>
      </c>
      <c r="W34" s="3289" t="s">
        <v>3182</v>
      </c>
      <c r="X34" s="3289" t="s">
        <v>3378</v>
      </c>
      <c r="Y34" s="3289" t="s">
        <v>3387</v>
      </c>
      <c r="Z34" s="3289" t="s">
        <v>3379</v>
      </c>
      <c r="AA34" s="3289" t="s">
        <v>3379</v>
      </c>
      <c r="AB34" s="3289" t="s">
        <v>3385</v>
      </c>
      <c r="AC34" s="3289" t="s">
        <v>3085</v>
      </c>
      <c r="AD34" s="3289" t="s">
        <v>3388</v>
      </c>
      <c r="AE34" s="3289" t="s">
        <v>3389</v>
      </c>
      <c r="AF34" s="3289">
        <v>11000</v>
      </c>
      <c r="AG34" s="3289" t="s">
        <v>2795</v>
      </c>
      <c r="AH34" s="3289">
        <v>60050</v>
      </c>
      <c r="AI34" s="3289" t="s">
        <v>2795</v>
      </c>
      <c r="AJ34" s="3289">
        <v>2896.47</v>
      </c>
      <c r="AK34" s="3289" t="s">
        <v>2795</v>
      </c>
      <c r="AL34" s="3289">
        <v>14482.32</v>
      </c>
      <c r="AM34" s="3289" t="s">
        <v>2795</v>
      </c>
      <c r="AN34" s="3289" t="s">
        <v>2795</v>
      </c>
      <c r="AO34" s="3289" t="s">
        <v>2795</v>
      </c>
      <c r="AP34" s="3289" t="s">
        <v>3365</v>
      </c>
      <c r="AQ34" s="3289" t="s">
        <v>2795</v>
      </c>
      <c r="AR34" s="3289" t="s">
        <v>2795</v>
      </c>
      <c r="AS34" s="3289" t="s">
        <v>2795</v>
      </c>
      <c r="AT34" s="3289" t="s">
        <v>3145</v>
      </c>
    </row>
    <row r="35" spans="1:46" s="3289" customFormat="1" ht="12" hidden="1">
      <c r="A35" s="3289" t="s">
        <v>3390</v>
      </c>
      <c r="B35" s="3289" t="s">
        <v>1933</v>
      </c>
      <c r="C35" s="3289" t="s">
        <v>3091</v>
      </c>
      <c r="D35" s="3289" t="s">
        <v>3071</v>
      </c>
      <c r="E35" s="3289" t="s">
        <v>3391</v>
      </c>
      <c r="F35" s="3289" t="s">
        <v>3392</v>
      </c>
      <c r="G35" s="3289" t="s">
        <v>3335</v>
      </c>
      <c r="H35" s="3289" t="s">
        <v>3393</v>
      </c>
      <c r="I35" s="3289" t="s">
        <v>3394</v>
      </c>
      <c r="J35" s="3289">
        <v>85414.65</v>
      </c>
      <c r="K35" s="3289">
        <v>179961</v>
      </c>
      <c r="L35" s="3289">
        <v>2.11</v>
      </c>
      <c r="M35" s="3289" t="s">
        <v>2795</v>
      </c>
      <c r="N35" s="3289" t="s">
        <v>2795</v>
      </c>
      <c r="O35" s="3289" t="s">
        <v>2795</v>
      </c>
      <c r="P35" s="3289" t="s">
        <v>2795</v>
      </c>
      <c r="Q35" s="3289" t="s">
        <v>2795</v>
      </c>
      <c r="R35" s="3289" t="s">
        <v>2795</v>
      </c>
      <c r="S35" s="3289" t="s">
        <v>3395</v>
      </c>
      <c r="T35" s="3289" t="s">
        <v>2795</v>
      </c>
      <c r="U35" s="3289" t="s">
        <v>2795</v>
      </c>
      <c r="V35" s="3289" t="s">
        <v>2795</v>
      </c>
      <c r="W35" s="3289" t="s">
        <v>3182</v>
      </c>
      <c r="X35" s="3289" t="s">
        <v>3396</v>
      </c>
      <c r="Y35" s="3289" t="s">
        <v>3397</v>
      </c>
      <c r="Z35" s="3289" t="s">
        <v>3397</v>
      </c>
      <c r="AA35" s="3289" t="s">
        <v>3397</v>
      </c>
      <c r="AB35" s="3289" t="s">
        <v>3393</v>
      </c>
      <c r="AC35" s="3289" t="s">
        <v>3085</v>
      </c>
      <c r="AD35" s="3289" t="s">
        <v>3380</v>
      </c>
      <c r="AE35" s="3289" t="s">
        <v>3381</v>
      </c>
      <c r="AF35" s="3289">
        <v>45000</v>
      </c>
      <c r="AG35" s="3289" t="s">
        <v>2795</v>
      </c>
      <c r="AH35" s="3289">
        <v>220043</v>
      </c>
      <c r="AI35" s="3289" t="s">
        <v>2795</v>
      </c>
      <c r="AJ35" s="3289">
        <v>1717.45</v>
      </c>
      <c r="AK35" s="3289" t="s">
        <v>2795</v>
      </c>
      <c r="AL35" s="3289">
        <v>12227.26</v>
      </c>
      <c r="AM35" s="3289" t="s">
        <v>2795</v>
      </c>
      <c r="AN35" s="3289" t="s">
        <v>2795</v>
      </c>
      <c r="AO35" s="3289" t="s">
        <v>2795</v>
      </c>
      <c r="AP35" s="3289" t="s">
        <v>3365</v>
      </c>
      <c r="AQ35" s="3289" t="s">
        <v>2795</v>
      </c>
      <c r="AR35" s="3289" t="s">
        <v>2795</v>
      </c>
      <c r="AS35" s="3289" t="s">
        <v>2795</v>
      </c>
      <c r="AT35" s="3289" t="s">
        <v>3145</v>
      </c>
    </row>
    <row r="36" spans="1:46" s="3289" customFormat="1" ht="12" hidden="1">
      <c r="A36" s="3289" t="s">
        <v>3398</v>
      </c>
      <c r="B36" s="3289" t="s">
        <v>1933</v>
      </c>
      <c r="C36" s="3289" t="s">
        <v>3091</v>
      </c>
      <c r="D36" s="3289" t="s">
        <v>3071</v>
      </c>
      <c r="E36" s="3289" t="s">
        <v>3072</v>
      </c>
      <c r="F36" s="3289" t="s">
        <v>3342</v>
      </c>
      <c r="G36" s="3289" t="s">
        <v>3074</v>
      </c>
      <c r="H36" s="3289" t="s">
        <v>3399</v>
      </c>
      <c r="I36" s="3289" t="s">
        <v>3400</v>
      </c>
      <c r="J36" s="3289">
        <v>48517.36</v>
      </c>
      <c r="K36" s="3289">
        <v>91883</v>
      </c>
      <c r="L36" s="3289">
        <v>1.89</v>
      </c>
      <c r="M36" s="3289" t="s">
        <v>2795</v>
      </c>
      <c r="N36" s="3289" t="s">
        <v>2795</v>
      </c>
      <c r="O36" s="3289" t="s">
        <v>2795</v>
      </c>
      <c r="P36" s="3289" t="s">
        <v>3290</v>
      </c>
      <c r="Q36" s="3289">
        <v>7800</v>
      </c>
      <c r="R36" s="3289">
        <v>7800</v>
      </c>
      <c r="S36" s="3289" t="s">
        <v>3401</v>
      </c>
      <c r="T36" s="3289" t="s">
        <v>2795</v>
      </c>
      <c r="U36" s="3289" t="s">
        <v>2795</v>
      </c>
      <c r="V36" s="3289" t="s">
        <v>2795</v>
      </c>
      <c r="W36" s="3289" t="s">
        <v>3182</v>
      </c>
      <c r="X36" s="3289" t="s">
        <v>3402</v>
      </c>
      <c r="Y36" s="3289" t="s">
        <v>3403</v>
      </c>
      <c r="Z36" s="3289" t="s">
        <v>3404</v>
      </c>
      <c r="AA36" s="3289" t="s">
        <v>3404</v>
      </c>
      <c r="AB36" s="3289" t="s">
        <v>3399</v>
      </c>
      <c r="AC36" s="3289" t="s">
        <v>3085</v>
      </c>
      <c r="AD36" s="3289" t="s">
        <v>3405</v>
      </c>
      <c r="AE36" s="3289" t="s">
        <v>3406</v>
      </c>
      <c r="AF36" s="3289">
        <v>50000</v>
      </c>
      <c r="AG36" s="3289">
        <v>165000</v>
      </c>
      <c r="AH36" s="3289">
        <v>214500</v>
      </c>
      <c r="AI36" s="3289">
        <v>2267.23</v>
      </c>
      <c r="AJ36" s="3289">
        <v>2947.4</v>
      </c>
      <c r="AK36" s="3289">
        <v>17957.61</v>
      </c>
      <c r="AL36" s="3289">
        <v>23344.9</v>
      </c>
      <c r="AM36" s="3289">
        <v>19623</v>
      </c>
      <c r="AN36" s="3289">
        <v>25511</v>
      </c>
      <c r="AO36" s="3289">
        <v>30</v>
      </c>
      <c r="AP36" s="3289" t="s">
        <v>3332</v>
      </c>
      <c r="AQ36" s="3289" t="s">
        <v>2795</v>
      </c>
      <c r="AR36" s="3289" t="s">
        <v>2795</v>
      </c>
      <c r="AS36" s="3289" t="s">
        <v>2795</v>
      </c>
      <c r="AT36" s="3289" t="s">
        <v>3089</v>
      </c>
    </row>
    <row r="37" spans="1:46" s="3289" customFormat="1" ht="12" hidden="1">
      <c r="A37" s="3289" t="s">
        <v>3407</v>
      </c>
      <c r="B37" s="3289" t="s">
        <v>1933</v>
      </c>
      <c r="C37" s="3289" t="s">
        <v>3091</v>
      </c>
      <c r="D37" s="3289" t="s">
        <v>3071</v>
      </c>
      <c r="E37" s="3289" t="s">
        <v>3072</v>
      </c>
      <c r="F37" s="3289" t="s">
        <v>3342</v>
      </c>
      <c r="G37" s="3289" t="s">
        <v>3074</v>
      </c>
      <c r="H37" s="3289" t="s">
        <v>3408</v>
      </c>
      <c r="I37" s="3289" t="s">
        <v>3409</v>
      </c>
      <c r="J37" s="3289">
        <v>89469.3</v>
      </c>
      <c r="K37" s="3289">
        <v>208373</v>
      </c>
      <c r="L37" s="3289">
        <v>2.33</v>
      </c>
      <c r="M37" s="3289" t="s">
        <v>2795</v>
      </c>
      <c r="N37" s="3289" t="s">
        <v>2795</v>
      </c>
      <c r="O37" s="3289" t="s">
        <v>2795</v>
      </c>
      <c r="P37" s="3289" t="s">
        <v>3290</v>
      </c>
      <c r="Q37" s="3289">
        <v>16900</v>
      </c>
      <c r="R37" s="3289">
        <v>16900</v>
      </c>
      <c r="S37" s="3289" t="s">
        <v>3410</v>
      </c>
      <c r="T37" s="3289" t="s">
        <v>2795</v>
      </c>
      <c r="U37" s="3289" t="s">
        <v>2795</v>
      </c>
      <c r="V37" s="3289" t="s">
        <v>2795</v>
      </c>
      <c r="W37" s="3289" t="s">
        <v>3182</v>
      </c>
      <c r="X37" s="3289" t="s">
        <v>3411</v>
      </c>
      <c r="Y37" s="3289" t="s">
        <v>3412</v>
      </c>
      <c r="Z37" s="3289" t="s">
        <v>3413</v>
      </c>
      <c r="AA37" s="3289" t="s">
        <v>3413</v>
      </c>
      <c r="AB37" s="3289" t="s">
        <v>3408</v>
      </c>
      <c r="AC37" s="3289" t="s">
        <v>3085</v>
      </c>
      <c r="AD37" s="3289" t="s">
        <v>3363</v>
      </c>
      <c r="AE37" s="3289" t="s">
        <v>3364</v>
      </c>
      <c r="AF37" s="3289">
        <v>120000</v>
      </c>
      <c r="AG37" s="3289">
        <v>395000</v>
      </c>
      <c r="AH37" s="3289">
        <v>513500</v>
      </c>
      <c r="AI37" s="3289">
        <v>2943.28</v>
      </c>
      <c r="AJ37" s="3289">
        <v>3826.27</v>
      </c>
      <c r="AK37" s="3289">
        <v>18956.38</v>
      </c>
      <c r="AL37" s="3289">
        <v>24643.31</v>
      </c>
      <c r="AM37" s="3289">
        <v>20630</v>
      </c>
      <c r="AN37" s="3289">
        <v>26818</v>
      </c>
      <c r="AO37" s="3289">
        <v>30</v>
      </c>
      <c r="AP37" s="3289" t="s">
        <v>3332</v>
      </c>
      <c r="AQ37" s="3289" t="s">
        <v>2795</v>
      </c>
      <c r="AR37" s="3289" t="s">
        <v>2795</v>
      </c>
      <c r="AS37" s="3289" t="s">
        <v>2795</v>
      </c>
      <c r="AT37" s="3289" t="s">
        <v>3089</v>
      </c>
    </row>
    <row r="38" spans="1:46" s="3289" customFormat="1" ht="12" hidden="1">
      <c r="A38" s="3289" t="s">
        <v>3414</v>
      </c>
      <c r="B38" s="3289" t="s">
        <v>1933</v>
      </c>
      <c r="C38" s="3289" t="s">
        <v>3091</v>
      </c>
      <c r="D38" s="3289" t="s">
        <v>3071</v>
      </c>
      <c r="E38" s="3289" t="s">
        <v>3072</v>
      </c>
      <c r="F38" s="3289" t="s">
        <v>3342</v>
      </c>
      <c r="G38" s="3289" t="s">
        <v>3074</v>
      </c>
      <c r="H38" s="3289" t="s">
        <v>3415</v>
      </c>
      <c r="I38" s="3289" t="s">
        <v>3416</v>
      </c>
      <c r="J38" s="3289">
        <v>47777.46</v>
      </c>
      <c r="K38" s="3289">
        <v>93534</v>
      </c>
      <c r="L38" s="3289">
        <v>1.96</v>
      </c>
      <c r="M38" s="3289" t="s">
        <v>2795</v>
      </c>
      <c r="N38" s="3289" t="s">
        <v>2795</v>
      </c>
      <c r="O38" s="3289" t="s">
        <v>2795</v>
      </c>
      <c r="P38" s="3289" t="s">
        <v>3290</v>
      </c>
      <c r="Q38" s="3289">
        <v>8500</v>
      </c>
      <c r="R38" s="3289">
        <v>8500</v>
      </c>
      <c r="S38" s="3289" t="s">
        <v>3417</v>
      </c>
      <c r="T38" s="3289" t="s">
        <v>2795</v>
      </c>
      <c r="U38" s="3289" t="s">
        <v>2795</v>
      </c>
      <c r="V38" s="3289" t="s">
        <v>2795</v>
      </c>
      <c r="W38" s="3289" t="s">
        <v>3182</v>
      </c>
      <c r="X38" s="3289" t="s">
        <v>3418</v>
      </c>
      <c r="Y38" s="3289" t="s">
        <v>3419</v>
      </c>
      <c r="Z38" s="3289" t="s">
        <v>3420</v>
      </c>
      <c r="AA38" s="3289" t="s">
        <v>3420</v>
      </c>
      <c r="AB38" s="3289" t="s">
        <v>3415</v>
      </c>
      <c r="AC38" s="3289" t="s">
        <v>3085</v>
      </c>
      <c r="AD38" s="3289" t="s">
        <v>3421</v>
      </c>
      <c r="AE38" s="3289" t="s">
        <v>3422</v>
      </c>
      <c r="AF38" s="3289">
        <v>53000</v>
      </c>
      <c r="AG38" s="3289">
        <v>175000</v>
      </c>
      <c r="AH38" s="3289">
        <v>210000</v>
      </c>
      <c r="AI38" s="3289">
        <v>2441.88</v>
      </c>
      <c r="AJ38" s="3289">
        <v>2930.25</v>
      </c>
      <c r="AK38" s="3289">
        <v>18709.77</v>
      </c>
      <c r="AL38" s="3289">
        <v>22451.72</v>
      </c>
      <c r="AM38" s="3289">
        <v>20580</v>
      </c>
      <c r="AN38" s="3289">
        <v>24696</v>
      </c>
      <c r="AO38" s="3289">
        <v>20</v>
      </c>
      <c r="AP38" s="3289" t="s">
        <v>3332</v>
      </c>
      <c r="AQ38" s="3289" t="s">
        <v>2795</v>
      </c>
      <c r="AR38" s="3289" t="s">
        <v>2795</v>
      </c>
      <c r="AS38" s="3289" t="s">
        <v>2795</v>
      </c>
      <c r="AT38" s="3289" t="s">
        <v>3089</v>
      </c>
    </row>
    <row r="39" spans="1:46" s="3289" customFormat="1" ht="12" hidden="1">
      <c r="A39" s="3289" t="s">
        <v>3423</v>
      </c>
      <c r="B39" s="3289" t="s">
        <v>1933</v>
      </c>
      <c r="C39" s="3289" t="s">
        <v>3091</v>
      </c>
      <c r="D39" s="3289" t="s">
        <v>3071</v>
      </c>
      <c r="E39" s="3289" t="s">
        <v>3203</v>
      </c>
      <c r="F39" s="3289" t="s">
        <v>3424</v>
      </c>
      <c r="G39" s="3289" t="s">
        <v>3074</v>
      </c>
      <c r="H39" s="3289" t="s">
        <v>3425</v>
      </c>
      <c r="I39" s="3289" t="s">
        <v>3426</v>
      </c>
      <c r="J39" s="3289">
        <v>118035</v>
      </c>
      <c r="K39" s="3289">
        <v>294605</v>
      </c>
      <c r="L39" s="3289">
        <v>2.5</v>
      </c>
      <c r="M39" s="3289" t="s">
        <v>2795</v>
      </c>
      <c r="N39" s="3289" t="s">
        <v>2795</v>
      </c>
      <c r="O39" s="3289" t="s">
        <v>2795</v>
      </c>
      <c r="P39" s="3289" t="s">
        <v>3281</v>
      </c>
      <c r="Q39" s="3289">
        <v>51500</v>
      </c>
      <c r="R39" s="3289">
        <v>51500</v>
      </c>
      <c r="S39" s="3289" t="s">
        <v>2795</v>
      </c>
      <c r="T39" s="3289" t="s">
        <v>2795</v>
      </c>
      <c r="U39" s="3289" t="s">
        <v>2795</v>
      </c>
      <c r="V39" s="3289" t="s">
        <v>2795</v>
      </c>
      <c r="W39" s="3289" t="s">
        <v>3182</v>
      </c>
      <c r="X39" s="3289" t="s">
        <v>3427</v>
      </c>
      <c r="Y39" s="3289" t="s">
        <v>3428</v>
      </c>
      <c r="Z39" s="3289" t="s">
        <v>3429</v>
      </c>
      <c r="AA39" s="3289" t="s">
        <v>3429</v>
      </c>
      <c r="AB39" s="3289" t="s">
        <v>3425</v>
      </c>
      <c r="AC39" s="3289" t="s">
        <v>3085</v>
      </c>
      <c r="AD39" s="3289" t="s">
        <v>3430</v>
      </c>
      <c r="AE39" s="3289" t="s">
        <v>3364</v>
      </c>
      <c r="AF39" s="3289">
        <v>7400</v>
      </c>
      <c r="AG39" s="3289">
        <v>245000</v>
      </c>
      <c r="AH39" s="3289">
        <v>404000</v>
      </c>
      <c r="AI39" s="3289">
        <v>1383.77</v>
      </c>
      <c r="AJ39" s="3289">
        <v>2281.81</v>
      </c>
      <c r="AK39" s="3289">
        <v>8316.2099999999991</v>
      </c>
      <c r="AL39" s="3289">
        <v>13713.28</v>
      </c>
      <c r="AM39" s="3289">
        <v>10078</v>
      </c>
      <c r="AN39" s="3289">
        <v>16618</v>
      </c>
      <c r="AO39" s="3289">
        <v>64.900000000000006</v>
      </c>
      <c r="AP39" s="3289" t="s">
        <v>3365</v>
      </c>
      <c r="AQ39" s="3289" t="s">
        <v>2795</v>
      </c>
      <c r="AR39" s="3289" t="s">
        <v>2795</v>
      </c>
      <c r="AS39" s="3289" t="s">
        <v>2795</v>
      </c>
      <c r="AT39" s="3289" t="s">
        <v>3089</v>
      </c>
    </row>
    <row r="40" spans="1:46" s="3289" customFormat="1" ht="12" hidden="1">
      <c r="A40" s="3289" t="s">
        <v>3431</v>
      </c>
      <c r="B40" s="3289" t="s">
        <v>1933</v>
      </c>
      <c r="C40" s="3289" t="s">
        <v>3091</v>
      </c>
      <c r="D40" s="3289" t="s">
        <v>3071</v>
      </c>
      <c r="E40" s="3289" t="s">
        <v>3432</v>
      </c>
      <c r="F40" s="3289" t="s">
        <v>3433</v>
      </c>
      <c r="G40" s="3289" t="s">
        <v>3074</v>
      </c>
      <c r="H40" s="3289" t="s">
        <v>3434</v>
      </c>
      <c r="I40" s="3289" t="s">
        <v>3124</v>
      </c>
      <c r="J40" s="3289">
        <v>25209.56</v>
      </c>
      <c r="K40" s="3289">
        <v>59152</v>
      </c>
      <c r="L40" s="3289">
        <v>2.35</v>
      </c>
      <c r="M40" s="3289" t="s">
        <v>2795</v>
      </c>
      <c r="N40" s="3289" t="s">
        <v>2795</v>
      </c>
      <c r="O40" s="3289" t="s">
        <v>2795</v>
      </c>
      <c r="P40" s="3289" t="s">
        <v>2795</v>
      </c>
      <c r="Q40" s="3289" t="s">
        <v>2795</v>
      </c>
      <c r="R40" s="3289" t="s">
        <v>2795</v>
      </c>
      <c r="S40" s="3289" t="s">
        <v>2795</v>
      </c>
      <c r="T40" s="3289" t="s">
        <v>2795</v>
      </c>
      <c r="U40" s="3289" t="s">
        <v>2795</v>
      </c>
      <c r="V40" s="3289" t="s">
        <v>2795</v>
      </c>
      <c r="W40" s="3289" t="s">
        <v>3182</v>
      </c>
      <c r="X40" s="3289" t="s">
        <v>3427</v>
      </c>
      <c r="Y40" s="3289" t="s">
        <v>3428</v>
      </c>
      <c r="Z40" s="3289" t="s">
        <v>3429</v>
      </c>
      <c r="AA40" s="3289" t="s">
        <v>3429</v>
      </c>
      <c r="AB40" s="3289" t="s">
        <v>3434</v>
      </c>
      <c r="AC40" s="3289" t="s">
        <v>3085</v>
      </c>
      <c r="AD40" s="3289" t="s">
        <v>3435</v>
      </c>
      <c r="AE40" s="3289" t="s">
        <v>3436</v>
      </c>
      <c r="AF40" s="3289">
        <v>6000</v>
      </c>
      <c r="AG40" s="3289">
        <v>180000</v>
      </c>
      <c r="AH40" s="3289">
        <v>210000</v>
      </c>
      <c r="AI40" s="3289">
        <v>4760.1000000000004</v>
      </c>
      <c r="AJ40" s="3289">
        <v>5553.45</v>
      </c>
      <c r="AK40" s="3289">
        <v>30430.07</v>
      </c>
      <c r="AL40" s="3289">
        <v>35501.760000000002</v>
      </c>
      <c r="AM40" s="3289" t="s">
        <v>2795</v>
      </c>
      <c r="AN40" s="3289" t="s">
        <v>2795</v>
      </c>
      <c r="AO40" s="3289">
        <v>16.670000000000002</v>
      </c>
      <c r="AP40" s="3289" t="s">
        <v>3332</v>
      </c>
      <c r="AQ40" s="3289" t="s">
        <v>2795</v>
      </c>
      <c r="AR40" s="3289" t="s">
        <v>2795</v>
      </c>
      <c r="AS40" s="3289" t="s">
        <v>2795</v>
      </c>
      <c r="AT40" s="3289" t="s">
        <v>3145</v>
      </c>
    </row>
    <row r="41" spans="1:46" s="3289" customFormat="1" ht="12" hidden="1">
      <c r="A41" s="3289" t="s">
        <v>3437</v>
      </c>
      <c r="B41" s="3289" t="s">
        <v>1933</v>
      </c>
      <c r="C41" s="3289" t="s">
        <v>3091</v>
      </c>
      <c r="D41" s="3289" t="s">
        <v>3071</v>
      </c>
      <c r="E41" s="3289" t="s">
        <v>3121</v>
      </c>
      <c r="F41" s="3289" t="s">
        <v>3252</v>
      </c>
      <c r="G41" s="3289" t="s">
        <v>3074</v>
      </c>
      <c r="H41" s="3289" t="s">
        <v>3438</v>
      </c>
      <c r="I41" s="3289" t="s">
        <v>3439</v>
      </c>
      <c r="J41" s="3289">
        <v>75359.789999999994</v>
      </c>
      <c r="K41" s="3289">
        <v>81716</v>
      </c>
      <c r="L41" s="3289">
        <v>1.08</v>
      </c>
      <c r="M41" s="3289" t="s">
        <v>2795</v>
      </c>
      <c r="N41" s="3289" t="s">
        <v>2795</v>
      </c>
      <c r="O41" s="3289" t="s">
        <v>2795</v>
      </c>
      <c r="P41" s="3289" t="s">
        <v>3281</v>
      </c>
      <c r="Q41" s="3289" t="s">
        <v>2795</v>
      </c>
      <c r="R41" s="3289">
        <v>33000</v>
      </c>
      <c r="S41" s="3289" t="s">
        <v>2795</v>
      </c>
      <c r="T41" s="3289" t="s">
        <v>2795</v>
      </c>
      <c r="U41" s="3289" t="s">
        <v>2795</v>
      </c>
      <c r="V41" s="3289" t="s">
        <v>2795</v>
      </c>
      <c r="W41" s="3289" t="s">
        <v>3182</v>
      </c>
      <c r="X41" s="3289" t="s">
        <v>3440</v>
      </c>
      <c r="Y41" s="3289" t="s">
        <v>3441</v>
      </c>
      <c r="Z41" s="3289" t="s">
        <v>3442</v>
      </c>
      <c r="AA41" s="3289" t="s">
        <v>3442</v>
      </c>
      <c r="AB41" s="3289" t="s">
        <v>3438</v>
      </c>
      <c r="AC41" s="3289" t="s">
        <v>3085</v>
      </c>
      <c r="AD41" s="3289" t="s">
        <v>3443</v>
      </c>
      <c r="AE41" s="3289" t="s">
        <v>3444</v>
      </c>
      <c r="AF41" s="3289">
        <v>46000</v>
      </c>
      <c r="AG41" s="3289">
        <v>158000</v>
      </c>
      <c r="AH41" s="3289">
        <v>236000</v>
      </c>
      <c r="AI41" s="3289">
        <v>1397.74</v>
      </c>
      <c r="AJ41" s="3289">
        <v>2087.7600000000002</v>
      </c>
      <c r="AK41" s="3289">
        <v>19335.25</v>
      </c>
      <c r="AL41" s="3289">
        <v>28880.5</v>
      </c>
      <c r="AM41" s="3289" t="s">
        <v>2795</v>
      </c>
      <c r="AN41" s="3289">
        <v>48444</v>
      </c>
      <c r="AO41" s="3289">
        <v>49.37</v>
      </c>
      <c r="AP41" s="3289" t="s">
        <v>3332</v>
      </c>
      <c r="AQ41" s="3289" t="s">
        <v>2795</v>
      </c>
      <c r="AR41" s="3289" t="s">
        <v>2795</v>
      </c>
      <c r="AS41" s="3289" t="s">
        <v>2795</v>
      </c>
      <c r="AT41" s="3289" t="s">
        <v>3089</v>
      </c>
    </row>
    <row r="42" spans="1:46" s="3289" customFormat="1" ht="12" hidden="1">
      <c r="A42" s="3289" t="s">
        <v>3445</v>
      </c>
      <c r="B42" s="3289" t="s">
        <v>1933</v>
      </c>
      <c r="C42" s="3289" t="s">
        <v>3070</v>
      </c>
      <c r="D42" s="3289" t="s">
        <v>3071</v>
      </c>
      <c r="E42" s="3289" t="s">
        <v>3121</v>
      </c>
      <c r="F42" s="3289" t="s">
        <v>3252</v>
      </c>
      <c r="G42" s="3289" t="s">
        <v>3074</v>
      </c>
      <c r="H42" s="3289" t="s">
        <v>3446</v>
      </c>
      <c r="I42" s="3289" t="s">
        <v>3076</v>
      </c>
      <c r="J42" s="3289">
        <v>44984.95</v>
      </c>
      <c r="K42" s="3289">
        <v>62979</v>
      </c>
      <c r="L42" s="3289">
        <v>1.4</v>
      </c>
      <c r="M42" s="3289" t="s">
        <v>2795</v>
      </c>
      <c r="N42" s="3289" t="s">
        <v>2795</v>
      </c>
      <c r="O42" s="3289" t="s">
        <v>2795</v>
      </c>
      <c r="P42" s="3289" t="s">
        <v>2795</v>
      </c>
      <c r="Q42" s="3289" t="s">
        <v>2795</v>
      </c>
      <c r="R42" s="3289" t="s">
        <v>2795</v>
      </c>
      <c r="S42" s="3289" t="s">
        <v>2795</v>
      </c>
      <c r="T42" s="3289" t="s">
        <v>2795</v>
      </c>
      <c r="U42" s="3289" t="s">
        <v>2795</v>
      </c>
      <c r="V42" s="3289" t="s">
        <v>2795</v>
      </c>
      <c r="W42" s="3289" t="s">
        <v>3182</v>
      </c>
      <c r="X42" s="3289" t="s">
        <v>3447</v>
      </c>
      <c r="Y42" s="3289" t="s">
        <v>3448</v>
      </c>
      <c r="Z42" s="3289" t="s">
        <v>3449</v>
      </c>
      <c r="AA42" s="3289" t="s">
        <v>3449</v>
      </c>
      <c r="AB42" s="3289" t="s">
        <v>3446</v>
      </c>
      <c r="AC42" s="3289" t="s">
        <v>3085</v>
      </c>
      <c r="AD42" s="3289" t="s">
        <v>3144</v>
      </c>
      <c r="AE42" s="3289" t="s">
        <v>3144</v>
      </c>
      <c r="AF42" s="3289">
        <v>37000</v>
      </c>
      <c r="AG42" s="3289">
        <v>123200</v>
      </c>
      <c r="AH42" s="3289">
        <v>166000</v>
      </c>
      <c r="AI42" s="3289">
        <v>1825.8</v>
      </c>
      <c r="AJ42" s="3289">
        <v>2460.08</v>
      </c>
      <c r="AK42" s="3289">
        <v>19562.07</v>
      </c>
      <c r="AL42" s="3289">
        <v>26357.99</v>
      </c>
      <c r="AM42" s="3289" t="s">
        <v>2795</v>
      </c>
      <c r="AN42" s="3289" t="s">
        <v>2795</v>
      </c>
      <c r="AO42" s="3289">
        <v>34.74</v>
      </c>
      <c r="AP42" s="3289" t="s">
        <v>3365</v>
      </c>
      <c r="AQ42" s="3289" t="s">
        <v>2795</v>
      </c>
      <c r="AR42" s="3289" t="s">
        <v>2795</v>
      </c>
      <c r="AS42" s="3289" t="s">
        <v>2795</v>
      </c>
      <c r="AT42" s="3289" t="s">
        <v>3119</v>
      </c>
    </row>
    <row r="43" spans="1:46" s="3289" customFormat="1" ht="12" hidden="1">
      <c r="A43" s="3289" t="s">
        <v>3450</v>
      </c>
      <c r="B43" s="3289" t="s">
        <v>1933</v>
      </c>
      <c r="C43" s="3289" t="s">
        <v>3070</v>
      </c>
      <c r="D43" s="3289" t="s">
        <v>3071</v>
      </c>
      <c r="E43" s="3289" t="s">
        <v>3121</v>
      </c>
      <c r="F43" s="3289" t="s">
        <v>3252</v>
      </c>
      <c r="G43" s="3289" t="s">
        <v>3074</v>
      </c>
      <c r="H43" s="3289" t="s">
        <v>3451</v>
      </c>
      <c r="I43" s="3289" t="s">
        <v>3076</v>
      </c>
      <c r="J43" s="3289">
        <v>29200</v>
      </c>
      <c r="K43" s="3289">
        <v>40880</v>
      </c>
      <c r="L43" s="3289">
        <v>1.4</v>
      </c>
      <c r="M43" s="3289" t="s">
        <v>2795</v>
      </c>
      <c r="N43" s="3289" t="s">
        <v>2795</v>
      </c>
      <c r="O43" s="3289" t="s">
        <v>2795</v>
      </c>
      <c r="P43" s="3289" t="s">
        <v>2795</v>
      </c>
      <c r="Q43" s="3289" t="s">
        <v>2795</v>
      </c>
      <c r="R43" s="3289" t="s">
        <v>2795</v>
      </c>
      <c r="S43" s="3289" t="s">
        <v>2795</v>
      </c>
      <c r="T43" s="3289" t="s">
        <v>2795</v>
      </c>
      <c r="U43" s="3289" t="s">
        <v>2795</v>
      </c>
      <c r="V43" s="3289" t="s">
        <v>2795</v>
      </c>
      <c r="W43" s="3289" t="s">
        <v>3182</v>
      </c>
      <c r="X43" s="3289" t="s">
        <v>3447</v>
      </c>
      <c r="Y43" s="3289" t="s">
        <v>3448</v>
      </c>
      <c r="Z43" s="3289" t="s">
        <v>3449</v>
      </c>
      <c r="AA43" s="3289" t="s">
        <v>3449</v>
      </c>
      <c r="AB43" s="3289" t="s">
        <v>3451</v>
      </c>
      <c r="AC43" s="3289" t="s">
        <v>3085</v>
      </c>
      <c r="AD43" s="3289" t="s">
        <v>3144</v>
      </c>
      <c r="AE43" s="3289" t="s">
        <v>3144</v>
      </c>
      <c r="AF43" s="3289">
        <v>24000</v>
      </c>
      <c r="AG43" s="3289">
        <v>80000</v>
      </c>
      <c r="AH43" s="3289">
        <v>106000</v>
      </c>
      <c r="AI43" s="3289">
        <v>1826.48</v>
      </c>
      <c r="AJ43" s="3289">
        <v>2420.09</v>
      </c>
      <c r="AK43" s="3289">
        <v>19569.47</v>
      </c>
      <c r="AL43" s="3289">
        <v>25929.54</v>
      </c>
      <c r="AM43" s="3289" t="s">
        <v>2795</v>
      </c>
      <c r="AN43" s="3289" t="s">
        <v>2795</v>
      </c>
      <c r="AO43" s="3289">
        <v>32.5</v>
      </c>
      <c r="AP43" s="3289" t="s">
        <v>3365</v>
      </c>
      <c r="AQ43" s="3289" t="s">
        <v>2795</v>
      </c>
      <c r="AR43" s="3289" t="s">
        <v>2795</v>
      </c>
      <c r="AS43" s="3289" t="s">
        <v>2795</v>
      </c>
      <c r="AT43" s="3289" t="s">
        <v>3089</v>
      </c>
    </row>
    <row r="44" spans="1:46" s="3289" customFormat="1" ht="12" hidden="1">
      <c r="A44" s="3289" t="s">
        <v>3452</v>
      </c>
      <c r="B44" s="3289" t="s">
        <v>1933</v>
      </c>
      <c r="C44" s="3289" t="s">
        <v>3070</v>
      </c>
      <c r="D44" s="3289" t="s">
        <v>3071</v>
      </c>
      <c r="E44" s="3289" t="s">
        <v>3121</v>
      </c>
      <c r="F44" s="3289" t="s">
        <v>3314</v>
      </c>
      <c r="G44" s="3289" t="s">
        <v>3074</v>
      </c>
      <c r="H44" s="3289" t="s">
        <v>3453</v>
      </c>
      <c r="I44" s="3289" t="s">
        <v>3076</v>
      </c>
      <c r="J44" s="3289">
        <v>58888.11</v>
      </c>
      <c r="K44" s="3289">
        <v>64777</v>
      </c>
      <c r="L44" s="3289">
        <v>1.1000000000000001</v>
      </c>
      <c r="M44" s="3289" t="s">
        <v>2795</v>
      </c>
      <c r="N44" s="3289" t="s">
        <v>2795</v>
      </c>
      <c r="O44" s="3289" t="s">
        <v>2795</v>
      </c>
      <c r="P44" s="3289" t="s">
        <v>3281</v>
      </c>
      <c r="Q44" s="3289" t="s">
        <v>2795</v>
      </c>
      <c r="R44" s="3289">
        <v>2000</v>
      </c>
      <c r="S44" s="3289" t="s">
        <v>2795</v>
      </c>
      <c r="T44" s="3289" t="s">
        <v>2795</v>
      </c>
      <c r="U44" s="3289" t="s">
        <v>2795</v>
      </c>
      <c r="V44" s="3289" t="s">
        <v>2795</v>
      </c>
      <c r="W44" s="3289" t="s">
        <v>3182</v>
      </c>
      <c r="X44" s="3289" t="s">
        <v>3454</v>
      </c>
      <c r="Y44" s="3289" t="s">
        <v>3455</v>
      </c>
      <c r="Z44" s="3289" t="s">
        <v>3456</v>
      </c>
      <c r="AA44" s="3289" t="s">
        <v>3456</v>
      </c>
      <c r="AB44" s="3289" t="s">
        <v>3453</v>
      </c>
      <c r="AC44" s="3289" t="s">
        <v>3085</v>
      </c>
      <c r="AD44" s="3289" t="s">
        <v>3457</v>
      </c>
      <c r="AE44" s="3289" t="s">
        <v>3250</v>
      </c>
      <c r="AF44" s="3289">
        <v>38000</v>
      </c>
      <c r="AG44" s="3289">
        <v>123500</v>
      </c>
      <c r="AH44" s="3289">
        <v>185000</v>
      </c>
      <c r="AI44" s="3289">
        <v>1398.13</v>
      </c>
      <c r="AJ44" s="3289">
        <v>2094.37</v>
      </c>
      <c r="AK44" s="3289">
        <v>19065.400000000001</v>
      </c>
      <c r="AL44" s="3289">
        <v>28559.52</v>
      </c>
      <c r="AM44" s="3289" t="s">
        <v>2795</v>
      </c>
      <c r="AN44" s="3289">
        <v>29469</v>
      </c>
      <c r="AO44" s="3289">
        <v>49.8</v>
      </c>
      <c r="AP44" s="3289" t="s">
        <v>3365</v>
      </c>
      <c r="AQ44" s="3289" t="s">
        <v>2795</v>
      </c>
      <c r="AR44" s="3289" t="s">
        <v>2795</v>
      </c>
      <c r="AS44" s="3289" t="s">
        <v>2795</v>
      </c>
      <c r="AT44" s="3289" t="s">
        <v>3119</v>
      </c>
    </row>
    <row r="45" spans="1:46" s="3289" customFormat="1" ht="12" hidden="1">
      <c r="A45" s="3289" t="s">
        <v>3458</v>
      </c>
      <c r="B45" s="3289" t="s">
        <v>1933</v>
      </c>
      <c r="C45" s="3289" t="s">
        <v>3070</v>
      </c>
      <c r="D45" s="3289" t="s">
        <v>3071</v>
      </c>
      <c r="E45" s="3289" t="s">
        <v>3121</v>
      </c>
      <c r="F45" s="3289" t="s">
        <v>3314</v>
      </c>
      <c r="G45" s="3289" t="s">
        <v>3074</v>
      </c>
      <c r="H45" s="3289" t="s">
        <v>3459</v>
      </c>
      <c r="I45" s="3289" t="s">
        <v>3076</v>
      </c>
      <c r="J45" s="3289">
        <v>66293.31</v>
      </c>
      <c r="K45" s="3289">
        <v>72923</v>
      </c>
      <c r="L45" s="3289">
        <v>1.1000000000000001</v>
      </c>
      <c r="M45" s="3289" t="s">
        <v>2795</v>
      </c>
      <c r="N45" s="3289" t="s">
        <v>2795</v>
      </c>
      <c r="O45" s="3289" t="s">
        <v>2795</v>
      </c>
      <c r="P45" s="3289" t="s">
        <v>2795</v>
      </c>
      <c r="Q45" s="3289" t="s">
        <v>2795</v>
      </c>
      <c r="R45" s="3289" t="s">
        <v>2795</v>
      </c>
      <c r="S45" s="3289" t="s">
        <v>2795</v>
      </c>
      <c r="T45" s="3289" t="s">
        <v>2795</v>
      </c>
      <c r="U45" s="3289" t="s">
        <v>2795</v>
      </c>
      <c r="V45" s="3289" t="s">
        <v>2795</v>
      </c>
      <c r="W45" s="3289" t="s">
        <v>3182</v>
      </c>
      <c r="X45" s="3289" t="s">
        <v>2795</v>
      </c>
      <c r="Y45" s="3289" t="s">
        <v>3460</v>
      </c>
      <c r="Z45" s="3289" t="s">
        <v>3461</v>
      </c>
      <c r="AA45" s="3289" t="s">
        <v>3461</v>
      </c>
      <c r="AB45" s="3289" t="s">
        <v>2795</v>
      </c>
      <c r="AC45" s="3289" t="s">
        <v>3085</v>
      </c>
      <c r="AD45" s="3289" t="s">
        <v>3462</v>
      </c>
      <c r="AE45" s="3289" t="s">
        <v>3463</v>
      </c>
      <c r="AF45" s="3289">
        <v>41000</v>
      </c>
      <c r="AG45" s="3289">
        <v>135280</v>
      </c>
      <c r="AH45" s="3289">
        <v>147000</v>
      </c>
      <c r="AI45" s="3289">
        <v>1360.42</v>
      </c>
      <c r="AJ45" s="3289">
        <v>1478.28</v>
      </c>
      <c r="AK45" s="3289">
        <v>18551.07</v>
      </c>
      <c r="AL45" s="3289">
        <v>20158.25</v>
      </c>
      <c r="AM45" s="3289" t="s">
        <v>2795</v>
      </c>
      <c r="AN45" s="3289" t="s">
        <v>2795</v>
      </c>
      <c r="AO45" s="3289">
        <v>8.66</v>
      </c>
      <c r="AP45" s="3289" t="s">
        <v>3464</v>
      </c>
      <c r="AQ45" s="3289" t="s">
        <v>2795</v>
      </c>
      <c r="AR45" s="3289" t="s">
        <v>2795</v>
      </c>
      <c r="AS45" s="3289" t="s">
        <v>2795</v>
      </c>
      <c r="AT45" s="3289" t="s">
        <v>3119</v>
      </c>
    </row>
    <row r="46" spans="1:46" s="3289" customFormat="1" ht="12" hidden="1">
      <c r="A46" s="3289" t="s">
        <v>3465</v>
      </c>
      <c r="B46" s="3289" t="s">
        <v>1933</v>
      </c>
      <c r="C46" s="3289" t="s">
        <v>3091</v>
      </c>
      <c r="D46" s="3289" t="s">
        <v>3071</v>
      </c>
      <c r="E46" s="3289" t="s">
        <v>3178</v>
      </c>
      <c r="F46" s="3289" t="s">
        <v>3356</v>
      </c>
      <c r="G46" s="3289" t="s">
        <v>3074</v>
      </c>
      <c r="H46" s="3289" t="s">
        <v>3466</v>
      </c>
      <c r="I46" s="3289" t="s">
        <v>3467</v>
      </c>
      <c r="J46" s="3289">
        <v>77702.3</v>
      </c>
      <c r="K46" s="3289">
        <v>189256</v>
      </c>
      <c r="L46" s="3289">
        <v>2.44</v>
      </c>
      <c r="M46" s="3289" t="s">
        <v>2795</v>
      </c>
      <c r="N46" s="3289" t="s">
        <v>2795</v>
      </c>
      <c r="O46" s="3289" t="s">
        <v>2795</v>
      </c>
      <c r="P46" s="3289" t="s">
        <v>2795</v>
      </c>
      <c r="Q46" s="3289" t="s">
        <v>2795</v>
      </c>
      <c r="R46" s="3289" t="s">
        <v>2795</v>
      </c>
      <c r="S46" s="3289" t="s">
        <v>2795</v>
      </c>
      <c r="T46" s="3289" t="s">
        <v>2795</v>
      </c>
      <c r="U46" s="3289" t="s">
        <v>2795</v>
      </c>
      <c r="V46" s="3289" t="s">
        <v>2795</v>
      </c>
      <c r="W46" s="3289" t="s">
        <v>3182</v>
      </c>
      <c r="X46" s="3289" t="s">
        <v>2795</v>
      </c>
      <c r="Y46" s="3289" t="s">
        <v>3468</v>
      </c>
      <c r="Z46" s="3289" t="s">
        <v>3469</v>
      </c>
      <c r="AA46" s="3289" t="s">
        <v>3469</v>
      </c>
      <c r="AB46" s="3289" t="s">
        <v>2795</v>
      </c>
      <c r="AC46" s="3289" t="s">
        <v>3085</v>
      </c>
      <c r="AD46" s="3289" t="s">
        <v>3470</v>
      </c>
      <c r="AE46" s="3289" t="s">
        <v>3471</v>
      </c>
      <c r="AF46" s="3289">
        <v>71000</v>
      </c>
      <c r="AG46" s="3289">
        <v>237000</v>
      </c>
      <c r="AH46" s="3289">
        <v>237000</v>
      </c>
      <c r="AI46" s="3289">
        <v>2033.4</v>
      </c>
      <c r="AJ46" s="3289">
        <v>2033.4</v>
      </c>
      <c r="AK46" s="3289">
        <v>12522.72</v>
      </c>
      <c r="AL46" s="3289">
        <v>12522.71</v>
      </c>
      <c r="AM46" s="3289" t="s">
        <v>2795</v>
      </c>
      <c r="AN46" s="3289" t="s">
        <v>2795</v>
      </c>
      <c r="AO46" s="3289">
        <v>0</v>
      </c>
      <c r="AP46" s="3289" t="s">
        <v>3365</v>
      </c>
      <c r="AQ46" s="3289" t="s">
        <v>2795</v>
      </c>
      <c r="AR46" s="3289" t="s">
        <v>2795</v>
      </c>
      <c r="AS46" s="3289" t="s">
        <v>2795</v>
      </c>
      <c r="AT46" s="3289" t="s">
        <v>3145</v>
      </c>
    </row>
    <row r="47" spans="1:46" s="3289" customFormat="1" ht="12" hidden="1">
      <c r="A47" s="3289" t="s">
        <v>3472</v>
      </c>
      <c r="B47" s="3289" t="s">
        <v>1933</v>
      </c>
      <c r="C47" s="3289" t="s">
        <v>3070</v>
      </c>
      <c r="D47" s="3289" t="s">
        <v>3071</v>
      </c>
      <c r="E47" s="3289" t="s">
        <v>3072</v>
      </c>
      <c r="F47" s="3289" t="s">
        <v>3473</v>
      </c>
      <c r="G47" s="3289" t="s">
        <v>3335</v>
      </c>
      <c r="H47" s="3289" t="s">
        <v>3474</v>
      </c>
      <c r="I47" s="3289" t="s">
        <v>3124</v>
      </c>
      <c r="J47" s="3289">
        <v>34564</v>
      </c>
      <c r="K47" s="3289">
        <v>96779</v>
      </c>
      <c r="L47" s="3289">
        <v>2.8</v>
      </c>
      <c r="M47" s="3289" t="s">
        <v>2795</v>
      </c>
      <c r="N47" s="3289" t="s">
        <v>2795</v>
      </c>
      <c r="O47" s="3289" t="s">
        <v>2795</v>
      </c>
      <c r="P47" s="3289" t="s">
        <v>2795</v>
      </c>
      <c r="Q47" s="3289" t="s">
        <v>2795</v>
      </c>
      <c r="R47" s="3289" t="s">
        <v>2795</v>
      </c>
      <c r="S47" s="3289" t="s">
        <v>2795</v>
      </c>
      <c r="T47" s="3289" t="s">
        <v>2795</v>
      </c>
      <c r="U47" s="3289" t="s">
        <v>2795</v>
      </c>
      <c r="V47" s="3289" t="s">
        <v>2795</v>
      </c>
      <c r="W47" s="3289" t="s">
        <v>3182</v>
      </c>
      <c r="X47" s="3289" t="s">
        <v>2795</v>
      </c>
      <c r="Y47" s="3289" t="s">
        <v>3475</v>
      </c>
      <c r="Z47" s="3289" t="s">
        <v>3475</v>
      </c>
      <c r="AA47" s="3289" t="s">
        <v>3476</v>
      </c>
      <c r="AB47" s="3289" t="s">
        <v>2795</v>
      </c>
      <c r="AC47" s="3289" t="s">
        <v>3085</v>
      </c>
      <c r="AD47" s="3289" t="s">
        <v>3477</v>
      </c>
      <c r="AE47" s="3289" t="s">
        <v>2795</v>
      </c>
      <c r="AF47" s="3289">
        <v>16000</v>
      </c>
      <c r="AG47" s="3289">
        <v>65150</v>
      </c>
      <c r="AH47" s="3289">
        <v>72000</v>
      </c>
      <c r="AI47" s="3289">
        <v>1256.6099999999999</v>
      </c>
      <c r="AJ47" s="3289">
        <v>1388.73</v>
      </c>
      <c r="AK47" s="3289">
        <v>6731.83</v>
      </c>
      <c r="AL47" s="3289">
        <v>7439.63</v>
      </c>
      <c r="AM47" s="3289" t="s">
        <v>2795</v>
      </c>
      <c r="AN47" s="3289" t="s">
        <v>2795</v>
      </c>
      <c r="AO47" s="3289">
        <v>10.51</v>
      </c>
      <c r="AP47" s="3289" t="s">
        <v>3365</v>
      </c>
      <c r="AQ47" s="3289" t="s">
        <v>2795</v>
      </c>
      <c r="AR47" s="3289" t="s">
        <v>2795</v>
      </c>
      <c r="AS47" s="3289" t="s">
        <v>2795</v>
      </c>
      <c r="AT47" s="3289" t="s">
        <v>3089</v>
      </c>
    </row>
    <row r="48" spans="1:46" s="3289" customFormat="1" ht="12" hidden="1">
      <c r="A48" s="3289" t="s">
        <v>3478</v>
      </c>
      <c r="B48" s="3289" t="s">
        <v>1933</v>
      </c>
      <c r="C48" s="3289" t="s">
        <v>3091</v>
      </c>
      <c r="D48" s="3289" t="s">
        <v>3071</v>
      </c>
      <c r="E48" s="3289" t="s">
        <v>3355</v>
      </c>
      <c r="F48" s="3289" t="s">
        <v>3356</v>
      </c>
      <c r="G48" s="3289" t="s">
        <v>3074</v>
      </c>
      <c r="H48" s="3289" t="s">
        <v>3479</v>
      </c>
      <c r="I48" s="3289" t="s">
        <v>3480</v>
      </c>
      <c r="J48" s="3289">
        <v>139168</v>
      </c>
      <c r="K48" s="3289">
        <v>283800</v>
      </c>
      <c r="L48" s="3289">
        <v>2.04</v>
      </c>
      <c r="M48" s="3289" t="s">
        <v>2795</v>
      </c>
      <c r="N48" s="3289" t="s">
        <v>2795</v>
      </c>
      <c r="O48" s="3289" t="s">
        <v>2795</v>
      </c>
      <c r="P48" s="3289" t="s">
        <v>2795</v>
      </c>
      <c r="Q48" s="3289" t="s">
        <v>2795</v>
      </c>
      <c r="R48" s="3289" t="s">
        <v>2795</v>
      </c>
      <c r="S48" s="3289" t="s">
        <v>2795</v>
      </c>
      <c r="T48" s="3289" t="s">
        <v>2795</v>
      </c>
      <c r="U48" s="3289" t="s">
        <v>2795</v>
      </c>
      <c r="V48" s="3289" t="s">
        <v>2795</v>
      </c>
      <c r="W48" s="3289" t="s">
        <v>3182</v>
      </c>
      <c r="X48" s="3289" t="s">
        <v>2795</v>
      </c>
      <c r="Y48" s="3289" t="s">
        <v>3481</v>
      </c>
      <c r="Z48" s="3289" t="s">
        <v>3482</v>
      </c>
      <c r="AA48" s="3289" t="s">
        <v>3482</v>
      </c>
      <c r="AB48" s="3289" t="s">
        <v>2795</v>
      </c>
      <c r="AC48" s="3289" t="s">
        <v>3085</v>
      </c>
      <c r="AD48" s="3289" t="s">
        <v>3483</v>
      </c>
      <c r="AE48" s="3289" t="s">
        <v>3484</v>
      </c>
      <c r="AF48" s="3289" t="s">
        <v>2795</v>
      </c>
      <c r="AG48" s="3289">
        <v>306715</v>
      </c>
      <c r="AH48" s="3289">
        <v>306715</v>
      </c>
      <c r="AI48" s="3289">
        <v>1469.28</v>
      </c>
      <c r="AJ48" s="3289">
        <v>1469.28</v>
      </c>
      <c r="AK48" s="3289">
        <v>10807.43</v>
      </c>
      <c r="AL48" s="3289">
        <v>10807.43</v>
      </c>
      <c r="AM48" s="3289" t="s">
        <v>2795</v>
      </c>
      <c r="AN48" s="3289" t="s">
        <v>2795</v>
      </c>
      <c r="AO48" s="3289">
        <v>0</v>
      </c>
      <c r="AP48" s="3289" t="s">
        <v>3464</v>
      </c>
      <c r="AQ48" s="3289" t="s">
        <v>2795</v>
      </c>
      <c r="AR48" s="3289" t="s">
        <v>2795</v>
      </c>
      <c r="AS48" s="3289" t="s">
        <v>2795</v>
      </c>
      <c r="AT48" s="3289" t="s">
        <v>3145</v>
      </c>
    </row>
    <row r="49" spans="1:46" s="3289" customFormat="1" ht="12" hidden="1">
      <c r="A49" s="3289" t="s">
        <v>3485</v>
      </c>
      <c r="B49" s="3289" t="s">
        <v>1933</v>
      </c>
      <c r="C49" s="3289" t="s">
        <v>3070</v>
      </c>
      <c r="D49" s="3289" t="s">
        <v>3071</v>
      </c>
      <c r="E49" s="3289" t="s">
        <v>3072</v>
      </c>
      <c r="F49" s="3289" t="s">
        <v>3486</v>
      </c>
      <c r="G49" s="3289" t="s">
        <v>3335</v>
      </c>
      <c r="H49" s="3289" t="s">
        <v>3487</v>
      </c>
      <c r="I49" s="3289" t="s">
        <v>3159</v>
      </c>
      <c r="J49" s="3289">
        <v>77150</v>
      </c>
      <c r="K49" s="3289">
        <v>224968</v>
      </c>
      <c r="L49" s="3289">
        <v>2.92</v>
      </c>
      <c r="M49" s="3289" t="s">
        <v>2795</v>
      </c>
      <c r="N49" s="3289" t="s">
        <v>2795</v>
      </c>
      <c r="O49" s="3289" t="s">
        <v>2795</v>
      </c>
      <c r="P49" s="3289" t="s">
        <v>2795</v>
      </c>
      <c r="Q49" s="3289" t="s">
        <v>2795</v>
      </c>
      <c r="R49" s="3289" t="s">
        <v>2795</v>
      </c>
      <c r="S49" s="3289" t="s">
        <v>2795</v>
      </c>
      <c r="T49" s="3289" t="s">
        <v>2795</v>
      </c>
      <c r="U49" s="3289" t="s">
        <v>2795</v>
      </c>
      <c r="V49" s="3289" t="s">
        <v>2795</v>
      </c>
      <c r="W49" s="3289" t="s">
        <v>3182</v>
      </c>
      <c r="X49" s="3289" t="s">
        <v>2795</v>
      </c>
      <c r="Y49" s="3289" t="s">
        <v>3488</v>
      </c>
      <c r="Z49" s="3289" t="s">
        <v>3488</v>
      </c>
      <c r="AA49" s="3289" t="s">
        <v>3489</v>
      </c>
      <c r="AB49" s="3289" t="s">
        <v>2795</v>
      </c>
      <c r="AC49" s="3289" t="s">
        <v>3085</v>
      </c>
      <c r="AD49" s="3289" t="s">
        <v>3490</v>
      </c>
      <c r="AE49" s="3289" t="s">
        <v>2795</v>
      </c>
      <c r="AF49" s="3289">
        <v>45000</v>
      </c>
      <c r="AG49" s="3289">
        <v>138000</v>
      </c>
      <c r="AH49" s="3289">
        <v>148168</v>
      </c>
      <c r="AI49" s="3289">
        <v>1192.48</v>
      </c>
      <c r="AJ49" s="3289">
        <v>1280.3499999999999</v>
      </c>
      <c r="AK49" s="3289">
        <v>6134.2</v>
      </c>
      <c r="AL49" s="3289">
        <v>6586.18</v>
      </c>
      <c r="AM49" s="3289" t="s">
        <v>2795</v>
      </c>
      <c r="AN49" s="3289" t="s">
        <v>2795</v>
      </c>
      <c r="AO49" s="3289">
        <v>7.37</v>
      </c>
      <c r="AP49" s="3289" t="s">
        <v>3491</v>
      </c>
      <c r="AQ49" s="3289" t="s">
        <v>2795</v>
      </c>
      <c r="AR49" s="3289" t="s">
        <v>2795</v>
      </c>
      <c r="AS49" s="3289" t="s">
        <v>2795</v>
      </c>
      <c r="AT49" s="3289" t="s">
        <v>3089</v>
      </c>
    </row>
    <row r="50" spans="1:46" s="3289" customFormat="1" ht="12" hidden="1">
      <c r="A50" s="3289" t="s">
        <v>3492</v>
      </c>
      <c r="B50" s="3289" t="s">
        <v>1933</v>
      </c>
      <c r="C50" s="3289" t="s">
        <v>3091</v>
      </c>
      <c r="D50" s="3289" t="s">
        <v>3071</v>
      </c>
      <c r="E50" s="3289" t="s">
        <v>3156</v>
      </c>
      <c r="F50" s="3289" t="s">
        <v>3493</v>
      </c>
      <c r="G50" s="3289" t="s">
        <v>3074</v>
      </c>
      <c r="H50" s="3289" t="s">
        <v>3494</v>
      </c>
      <c r="I50" s="3289" t="s">
        <v>3495</v>
      </c>
      <c r="J50" s="3289">
        <v>95017.99</v>
      </c>
      <c r="K50" s="3289">
        <v>280789.90000000002</v>
      </c>
      <c r="L50" s="3289" t="s">
        <v>2795</v>
      </c>
      <c r="M50" s="3289" t="s">
        <v>2795</v>
      </c>
      <c r="N50" s="3289" t="s">
        <v>2795</v>
      </c>
      <c r="O50" s="3289" t="s">
        <v>2795</v>
      </c>
      <c r="P50" s="3289" t="s">
        <v>2795</v>
      </c>
      <c r="Q50" s="3289" t="s">
        <v>2795</v>
      </c>
      <c r="R50" s="3289" t="s">
        <v>2795</v>
      </c>
      <c r="S50" s="3289" t="s">
        <v>2795</v>
      </c>
      <c r="T50" s="3289" t="s">
        <v>2795</v>
      </c>
      <c r="U50" s="3289" t="s">
        <v>2795</v>
      </c>
      <c r="V50" s="3289" t="s">
        <v>2795</v>
      </c>
      <c r="W50" s="3289" t="s">
        <v>3182</v>
      </c>
      <c r="X50" s="3289" t="s">
        <v>2795</v>
      </c>
      <c r="Y50" s="3289" t="s">
        <v>3496</v>
      </c>
      <c r="Z50" s="3289" t="s">
        <v>3497</v>
      </c>
      <c r="AA50" s="3289" t="s">
        <v>3497</v>
      </c>
      <c r="AB50" s="3289" t="s">
        <v>2795</v>
      </c>
      <c r="AC50" s="3289" t="s">
        <v>3085</v>
      </c>
      <c r="AD50" s="3289" t="s">
        <v>3498</v>
      </c>
      <c r="AE50" s="3289" t="s">
        <v>3499</v>
      </c>
      <c r="AF50" s="3289">
        <v>75000</v>
      </c>
      <c r="AG50" s="3289">
        <v>253000</v>
      </c>
      <c r="AH50" s="3289">
        <v>504000</v>
      </c>
      <c r="AI50" s="3289">
        <v>1775.1</v>
      </c>
      <c r="AJ50" s="3289">
        <v>3536.17</v>
      </c>
      <c r="AK50" s="3289">
        <v>9010.2900000000009</v>
      </c>
      <c r="AL50" s="3289">
        <v>17949.36</v>
      </c>
      <c r="AM50" s="3289" t="s">
        <v>2795</v>
      </c>
      <c r="AN50" s="3289" t="s">
        <v>2795</v>
      </c>
      <c r="AO50" s="3289">
        <v>99.21</v>
      </c>
      <c r="AP50" s="3289" t="s">
        <v>3500</v>
      </c>
      <c r="AQ50" s="3289" t="s">
        <v>2795</v>
      </c>
      <c r="AR50" s="3289" t="s">
        <v>2795</v>
      </c>
      <c r="AS50" s="3289" t="s">
        <v>2795</v>
      </c>
      <c r="AT50" s="3289" t="s">
        <v>3145</v>
      </c>
    </row>
    <row r="51" spans="1:46" s="3289" customFormat="1" ht="12" hidden="1">
      <c r="A51" s="3289" t="s">
        <v>3501</v>
      </c>
      <c r="B51" s="3289" t="s">
        <v>1933</v>
      </c>
      <c r="C51" s="3289" t="s">
        <v>3091</v>
      </c>
      <c r="D51" s="3289" t="s">
        <v>3071</v>
      </c>
      <c r="E51" s="3289" t="s">
        <v>3156</v>
      </c>
      <c r="F51" s="3289" t="s">
        <v>3493</v>
      </c>
      <c r="G51" s="3289" t="s">
        <v>3074</v>
      </c>
      <c r="H51" s="3289" t="s">
        <v>3502</v>
      </c>
      <c r="I51" s="3289" t="s">
        <v>3503</v>
      </c>
      <c r="J51" s="3289">
        <v>83506.69</v>
      </c>
      <c r="K51" s="3289">
        <v>169537.2</v>
      </c>
      <c r="L51" s="3289" t="s">
        <v>2795</v>
      </c>
      <c r="M51" s="3289" t="s">
        <v>2795</v>
      </c>
      <c r="N51" s="3289" t="s">
        <v>2795</v>
      </c>
      <c r="O51" s="3289" t="s">
        <v>2795</v>
      </c>
      <c r="P51" s="3289" t="s">
        <v>2795</v>
      </c>
      <c r="Q51" s="3289" t="s">
        <v>2795</v>
      </c>
      <c r="R51" s="3289" t="s">
        <v>2795</v>
      </c>
      <c r="S51" s="3289" t="s">
        <v>2795</v>
      </c>
      <c r="T51" s="3289" t="s">
        <v>2795</v>
      </c>
      <c r="U51" s="3289" t="s">
        <v>2795</v>
      </c>
      <c r="V51" s="3289" t="s">
        <v>2795</v>
      </c>
      <c r="W51" s="3289" t="s">
        <v>3182</v>
      </c>
      <c r="X51" s="3289" t="s">
        <v>2795</v>
      </c>
      <c r="Y51" s="3289" t="s">
        <v>3504</v>
      </c>
      <c r="Z51" s="3289" t="s">
        <v>3505</v>
      </c>
      <c r="AA51" s="3289" t="s">
        <v>3506</v>
      </c>
      <c r="AB51" s="3289" t="s">
        <v>2795</v>
      </c>
      <c r="AC51" s="3289" t="s">
        <v>3085</v>
      </c>
      <c r="AD51" s="3289" t="s">
        <v>3507</v>
      </c>
      <c r="AE51" s="3289" t="s">
        <v>3508</v>
      </c>
      <c r="AF51" s="3289">
        <v>50000</v>
      </c>
      <c r="AG51" s="3289">
        <v>150000</v>
      </c>
      <c r="AH51" s="3289">
        <v>408000</v>
      </c>
      <c r="AI51" s="3289">
        <v>1197.51</v>
      </c>
      <c r="AJ51" s="3289">
        <v>3257.22</v>
      </c>
      <c r="AK51" s="3289">
        <v>8847.61</v>
      </c>
      <c r="AL51" s="3289">
        <v>24065.5</v>
      </c>
      <c r="AM51" s="3289" t="s">
        <v>2795</v>
      </c>
      <c r="AN51" s="3289" t="s">
        <v>2795</v>
      </c>
      <c r="AO51" s="3289">
        <v>172</v>
      </c>
      <c r="AP51" s="3289" t="s">
        <v>3500</v>
      </c>
      <c r="AQ51" s="3289" t="s">
        <v>2795</v>
      </c>
      <c r="AR51" s="3289" t="s">
        <v>2795</v>
      </c>
      <c r="AS51" s="3289" t="s">
        <v>2795</v>
      </c>
      <c r="AT51" s="3289" t="s">
        <v>3145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3"/>
  <sheetViews>
    <sheetView workbookViewId="0">
      <selection activeCell="L24" sqref="L24"/>
    </sheetView>
  </sheetViews>
  <sheetFormatPr defaultRowHeight="13.5"/>
  <cols>
    <col min="2" max="2" width="12.75" customWidth="1"/>
  </cols>
  <sheetData>
    <row r="2" spans="1:5">
      <c r="B2" s="3248" t="s">
        <v>3562</v>
      </c>
    </row>
    <row r="3" spans="1:5">
      <c r="C3" s="3248" t="s">
        <v>3564</v>
      </c>
      <c r="D3" s="3248" t="s">
        <v>3565</v>
      </c>
      <c r="E3" s="3248" t="s">
        <v>3566</v>
      </c>
    </row>
    <row r="4" spans="1:5">
      <c r="B4" s="3248" t="s">
        <v>3563</v>
      </c>
      <c r="C4">
        <v>78</v>
      </c>
      <c r="D4">
        <v>5000</v>
      </c>
      <c r="E4">
        <f>D4/C4/30</f>
        <v>2.1367521367521367</v>
      </c>
    </row>
    <row r="5" spans="1:5">
      <c r="B5" s="3248" t="s">
        <v>3567</v>
      </c>
      <c r="C5">
        <v>60</v>
      </c>
      <c r="D5">
        <v>5390</v>
      </c>
      <c r="E5">
        <f t="shared" ref="E5:E9" si="0">D5/C5/30</f>
        <v>2.9944444444444445</v>
      </c>
    </row>
    <row r="6" spans="1:5">
      <c r="B6" s="3248" t="s">
        <v>3567</v>
      </c>
      <c r="C6">
        <v>71</v>
      </c>
      <c r="D6">
        <v>5990</v>
      </c>
      <c r="E6">
        <f t="shared" si="0"/>
        <v>2.812206572769953</v>
      </c>
    </row>
    <row r="7" spans="1:5">
      <c r="B7" s="3248" t="s">
        <v>3568</v>
      </c>
      <c r="C7">
        <v>87</v>
      </c>
      <c r="D7">
        <v>7470</v>
      </c>
      <c r="E7">
        <f t="shared" si="0"/>
        <v>2.8620689655172411</v>
      </c>
    </row>
    <row r="8" spans="1:5">
      <c r="B8" s="3248" t="s">
        <v>3569</v>
      </c>
      <c r="C8">
        <v>99</v>
      </c>
      <c r="D8">
        <v>8000</v>
      </c>
      <c r="E8">
        <f t="shared" si="0"/>
        <v>2.6936026936026933</v>
      </c>
    </row>
    <row r="9" spans="1:5">
      <c r="B9" s="3248" t="s">
        <v>3570</v>
      </c>
      <c r="C9">
        <v>80</v>
      </c>
      <c r="D9">
        <v>5200</v>
      </c>
      <c r="E9">
        <f t="shared" si="0"/>
        <v>2.1666666666666665</v>
      </c>
    </row>
    <row r="13" spans="1:5">
      <c r="A13" s="3248" t="s">
        <v>3584</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4" t="s">
        <v>2026</v>
      </c>
      <c r="B1" s="3314"/>
      <c r="C1" s="3314"/>
      <c r="D1" s="3314"/>
      <c r="E1" s="3314"/>
      <c r="F1" s="3314"/>
      <c r="G1" s="3314"/>
      <c r="H1" s="3314"/>
      <c r="I1" s="3314"/>
      <c r="J1" s="3314"/>
      <c r="K1" s="3314"/>
      <c r="L1" s="3314"/>
      <c r="M1" s="3314"/>
      <c r="N1" s="3314"/>
      <c r="O1" s="3314"/>
      <c r="P1" s="3314"/>
      <c r="Q1" s="3314"/>
      <c r="R1" s="3314"/>
    </row>
    <row r="2" spans="1:18">
      <c r="A2" s="1722" t="s">
        <v>2028</v>
      </c>
      <c r="B2" s="1722"/>
      <c r="C2" s="1722"/>
      <c r="D2" s="1722"/>
      <c r="E2" s="1722"/>
      <c r="F2" s="1722"/>
      <c r="G2" s="1722"/>
      <c r="H2" s="1722"/>
      <c r="I2" s="1723"/>
      <c r="J2" s="1723"/>
      <c r="K2" s="1724" t="str">
        <f>"估价期日："&amp;TEXT(项目基本情况!D3,"yyyy年m月d日;;")</f>
        <v>估价期日：2021年4月14日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5" t="s">
        <v>2017</v>
      </c>
      <c r="B3" s="3315" t="s">
        <v>2709</v>
      </c>
      <c r="C3" s="3316" t="s">
        <v>2018</v>
      </c>
      <c r="D3" s="3315" t="s">
        <v>2713</v>
      </c>
      <c r="E3" s="3318" t="s">
        <v>2019</v>
      </c>
      <c r="F3" s="3318"/>
      <c r="G3" s="3318"/>
      <c r="H3" s="3318" t="s">
        <v>2020</v>
      </c>
      <c r="I3" s="3318"/>
      <c r="J3" s="3318"/>
      <c r="K3" s="3316" t="s">
        <v>2021</v>
      </c>
      <c r="L3" s="3316" t="s">
        <v>2022</v>
      </c>
      <c r="M3" s="3315" t="s">
        <v>2710</v>
      </c>
      <c r="N3" s="3317" t="str">
        <f>"（分摊）"&amp;项目基本情况!B16&amp;"国有建设用地使用权面积/㎡"</f>
        <v>（分摊）出让国有建设用地使用权面积/㎡</v>
      </c>
      <c r="O3" s="3315" t="s">
        <v>2051</v>
      </c>
      <c r="P3" s="3316" t="s">
        <v>2031</v>
      </c>
      <c r="Q3" s="3316" t="s">
        <v>2052</v>
      </c>
      <c r="R3" s="3316" t="s">
        <v>2023</v>
      </c>
    </row>
    <row r="4" spans="1:18" ht="36.75" customHeight="1">
      <c r="A4" s="3315"/>
      <c r="B4" s="3315"/>
      <c r="C4" s="3316"/>
      <c r="D4" s="3315"/>
      <c r="E4" s="2491" t="s">
        <v>2030</v>
      </c>
      <c r="F4" s="2491" t="s">
        <v>2722</v>
      </c>
      <c r="G4" s="2491" t="s">
        <v>2024</v>
      </c>
      <c r="H4" s="2491" t="s">
        <v>2025</v>
      </c>
      <c r="I4" s="2491" t="s">
        <v>2723</v>
      </c>
      <c r="J4" s="2491" t="s">
        <v>2024</v>
      </c>
      <c r="K4" s="3316"/>
      <c r="L4" s="3316"/>
      <c r="M4" s="3315"/>
      <c r="N4" s="3317"/>
      <c r="O4" s="3315"/>
      <c r="P4" s="3316"/>
      <c r="Q4" s="3316"/>
      <c r="R4" s="3316"/>
    </row>
    <row r="5" spans="1:18" ht="135" customHeight="1">
      <c r="A5" s="1857" t="s">
        <v>2633</v>
      </c>
      <c r="B5" s="2584" t="s">
        <v>2631</v>
      </c>
      <c r="C5" s="2490">
        <v>22</v>
      </c>
      <c r="D5" s="2489" t="s">
        <v>2632</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26559.06</v>
      </c>
      <c r="O5" s="1725">
        <f>项目基本情况!C21</f>
        <v>104789.91</v>
      </c>
      <c r="P5" s="1725">
        <f ca="1">结果表!E42</f>
        <v>119837</v>
      </c>
      <c r="Q5" s="1725">
        <f ca="1">结果表!D42</f>
        <v>30373</v>
      </c>
      <c r="R5" s="1726">
        <f ca="1">结果表!C42</f>
        <v>318275</v>
      </c>
    </row>
    <row r="6" spans="1:18">
      <c r="A6" s="3311" t="str">
        <f>IF(项目基本情况!B9="市场价格","——","抵押价格")</f>
        <v>抵押价格</v>
      </c>
      <c r="B6" s="3312"/>
      <c r="C6" s="3312"/>
      <c r="D6" s="3312"/>
      <c r="E6" s="3312"/>
      <c r="F6" s="3312"/>
      <c r="G6" s="3312"/>
      <c r="H6" s="3312"/>
      <c r="I6" s="3312"/>
      <c r="J6" s="3312"/>
      <c r="K6" s="3312"/>
      <c r="L6" s="3312"/>
      <c r="M6" s="3312"/>
      <c r="N6" s="3312"/>
      <c r="O6" s="3312"/>
      <c r="P6" s="3312"/>
      <c r="Q6" s="3313"/>
      <c r="R6" s="1727">
        <f ca="1">结果表!O39</f>
        <v>312282</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727" t="str">
        <f>结果表!O40</f>
        <v>——</v>
      </c>
    </row>
    <row r="8" spans="1:18">
      <c r="A8" s="3311" t="str">
        <f>IF(项目基本情况!B9="市场价格","——",项目基本情况!E9)</f>
        <v>抵押净值</v>
      </c>
      <c r="B8" s="3312"/>
      <c r="C8" s="3312"/>
      <c r="D8" s="3312"/>
      <c r="E8" s="3312"/>
      <c r="F8" s="3312"/>
      <c r="G8" s="3312"/>
      <c r="H8" s="3312"/>
      <c r="I8" s="3312"/>
      <c r="J8" s="3312"/>
      <c r="K8" s="3312"/>
      <c r="L8" s="3312"/>
      <c r="M8" s="3312"/>
      <c r="N8" s="3312"/>
      <c r="O8" s="3312"/>
      <c r="P8" s="3312"/>
      <c r="Q8" s="3313"/>
      <c r="R8" s="1727">
        <f ca="1">结果表!O41</f>
        <v>131980</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20" t="s">
        <v>2053</v>
      </c>
      <c r="B1" s="3320"/>
      <c r="C1" s="3320"/>
      <c r="D1" s="3320"/>
    </row>
    <row r="2" spans="1:4" ht="47.25" customHeight="1">
      <c r="A2" s="3321" t="str">
        <f>"1.权利限制："&amp;项目基本情况!L24&amp;"未设定租赁等其他他项权利。"</f>
        <v>1.权利限制：根据估价对象《不动产权证书》原件、《国有土地使用权》复印件，截至估价期日，估价对象抵押权未见登记。未设定租赁等其他他项权利。</v>
      </c>
      <c r="B2" s="3321"/>
      <c r="C2" s="3321"/>
      <c r="D2" s="3321"/>
    </row>
    <row r="3" spans="1:4" ht="48" customHeight="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0"/>
      <c r="C3" s="3320"/>
      <c r="D3" s="3320"/>
    </row>
    <row r="4" spans="1:4" ht="36.75" customHeight="1">
      <c r="A4" s="3320" t="str">
        <f>"3.估价规划限制条件：详见"&amp;项目基本情况!E21&amp;"。"</f>
        <v>3.估价规划限制条件：详见《建设工程规划许可证》[]、《出让合同》[]。</v>
      </c>
      <c r="B4" s="3320"/>
      <c r="C4" s="3320"/>
      <c r="D4" s="3320"/>
    </row>
    <row r="5" spans="1:4">
      <c r="A5" s="3319" t="s">
        <v>2054</v>
      </c>
      <c r="B5" s="3319"/>
      <c r="C5" s="3319"/>
      <c r="D5" s="3319"/>
    </row>
    <row r="6" spans="1:4">
      <c r="A6" s="3320" t="s">
        <v>2032</v>
      </c>
      <c r="B6" s="3320"/>
      <c r="C6" s="3320"/>
      <c r="D6" s="3320"/>
    </row>
    <row r="7" spans="1:4" ht="33" customHeight="1">
      <c r="A7" s="3320" t="s">
        <v>2554</v>
      </c>
      <c r="B7" s="3320"/>
      <c r="C7" s="3320"/>
      <c r="D7" s="3320"/>
    </row>
    <row r="8" spans="1:4" ht="32.25" customHeight="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0"/>
      <c r="C8" s="3320"/>
      <c r="D8" s="3320"/>
    </row>
    <row r="9" spans="1:4" ht="33.75" customHeight="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0"/>
      <c r="C9" s="3320"/>
      <c r="D9" s="3320"/>
    </row>
    <row r="10" spans="1:4">
      <c r="A10" s="3320" t="str">
        <f>IF(项目基本情况!B8="抵押","4.估价师所知悉的法定优先受偿款情况为：","——")</f>
        <v>4.估价师所知悉的法定优先受偿款情况为：</v>
      </c>
      <c r="B10" s="3320"/>
      <c r="C10" s="3320"/>
      <c r="D10" s="3320"/>
    </row>
    <row r="11" spans="1:4" ht="37.5" customHeight="1">
      <c r="A11" s="33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2"/>
      <c r="C11" s="3322"/>
      <c r="D11" s="3322"/>
    </row>
    <row r="12" spans="1:4" ht="168" customHeight="1">
      <c r="A12" s="3319" t="s">
        <v>2056</v>
      </c>
      <c r="B12" s="3319"/>
      <c r="C12" s="3319"/>
      <c r="D12" s="3319"/>
    </row>
    <row r="13" spans="1:4">
      <c r="A13" s="3323" t="s">
        <v>2724</v>
      </c>
      <c r="B13" s="3323"/>
      <c r="C13" s="3323"/>
      <c r="D13" s="3323"/>
    </row>
    <row r="14" spans="1:4">
      <c r="A14" s="3322" t="str">
        <f>IF(项目基本情况!B8="抵押","综上，"&amp;结果表!K47,"——")</f>
        <v>综上，本次评估估价师知悉的法定优先受偿款为人民币5993万元整。</v>
      </c>
      <c r="B14" s="3322"/>
      <c r="C14" s="3322"/>
      <c r="D14" s="3322"/>
    </row>
    <row r="15" spans="1:4" ht="58.5" customHeight="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0"/>
      <c r="C15" s="3320"/>
      <c r="D15" s="3320"/>
    </row>
    <row r="16" spans="1:4" ht="70.5" customHeight="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0"/>
      <c r="C16" s="3320"/>
      <c r="D16" s="3320"/>
    </row>
    <row r="17" spans="1:4">
      <c r="A17" s="3320" t="s">
        <v>2680</v>
      </c>
      <c r="B17" s="3320"/>
      <c r="C17" s="3320"/>
      <c r="D17" s="3320"/>
    </row>
    <row r="18" spans="1:4">
      <c r="A18" s="3320" t="s">
        <v>2672</v>
      </c>
      <c r="B18" s="3320"/>
      <c r="C18" s="3320"/>
      <c r="D18" s="3320"/>
    </row>
    <row r="19" spans="1:4">
      <c r="A19" s="2585" t="s">
        <v>2673</v>
      </c>
      <c r="B19" s="2585" t="s">
        <v>2674</v>
      </c>
      <c r="C19" s="2585" t="s">
        <v>2675</v>
      </c>
      <c r="D19" s="2585" t="s">
        <v>2676</v>
      </c>
    </row>
    <row r="20" spans="1:4">
      <c r="A20" s="2585" t="str">
        <f>项目基本情况!B4</f>
        <v>崔锴</v>
      </c>
      <c r="B20" s="2585">
        <f ca="1">项目基本情况!C4</f>
        <v>2010110070</v>
      </c>
      <c r="C20" s="2587"/>
      <c r="D20" s="1715" t="s">
        <v>2681</v>
      </c>
    </row>
    <row r="21" spans="1:4">
      <c r="A21" s="2585" t="str">
        <f>项目基本情况!D4</f>
        <v>郑燚</v>
      </c>
      <c r="B21" s="2585">
        <f ca="1">项目基本情况!E4</f>
        <v>2014110011</v>
      </c>
      <c r="C21" s="2587"/>
      <c r="D21" s="1715" t="s">
        <v>2682</v>
      </c>
    </row>
    <row r="23" spans="1:4">
      <c r="A23" s="3320" t="s">
        <v>2677</v>
      </c>
      <c r="B23" s="3320"/>
      <c r="C23" s="3320"/>
      <c r="D23" s="3320"/>
    </row>
    <row r="24" spans="1:4">
      <c r="A24" s="2585" t="s">
        <v>2673</v>
      </c>
      <c r="B24" s="2585" t="s">
        <v>2678</v>
      </c>
      <c r="C24" s="2585" t="s">
        <v>2675</v>
      </c>
      <c r="D24" s="2585" t="s">
        <v>2676</v>
      </c>
    </row>
    <row r="25" spans="1:4">
      <c r="A25" s="2588" t="s">
        <v>2679</v>
      </c>
      <c r="B25" s="2585" t="s">
        <v>942</v>
      </c>
      <c r="C25" s="2587"/>
      <c r="D25" s="1715" t="s">
        <v>2682</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31" t="s">
        <v>53</v>
      </c>
      <c r="B15" s="3332" t="s">
        <v>837</v>
      </c>
      <c r="C15" s="3328"/>
    </row>
    <row r="16" spans="1:7" ht="14.25">
      <c r="A16" s="3331"/>
      <c r="B16" s="3329" t="s">
        <v>54</v>
      </c>
      <c r="C16" s="1155" t="s">
        <v>53</v>
      </c>
    </row>
    <row r="17" spans="1:3" ht="14.25">
      <c r="A17" s="3331"/>
      <c r="B17" s="3329"/>
      <c r="C17" s="1155" t="s">
        <v>55</v>
      </c>
    </row>
    <row r="18" spans="1:3" ht="14.25">
      <c r="A18" s="3331"/>
      <c r="B18" s="3329"/>
      <c r="C18" s="1155" t="s">
        <v>56</v>
      </c>
    </row>
    <row r="19" spans="1:3" ht="14.25">
      <c r="A19" s="3331"/>
      <c r="B19" s="3327" t="s">
        <v>57</v>
      </c>
      <c r="C19" s="3328"/>
    </row>
    <row r="20" spans="1:3" ht="14.25">
      <c r="A20" s="1156" t="s">
        <v>58</v>
      </c>
      <c r="B20" s="1157"/>
      <c r="C20" s="1158"/>
    </row>
    <row r="21" spans="1:3" ht="14.25">
      <c r="A21" s="3330" t="s">
        <v>59</v>
      </c>
      <c r="B21" s="3327" t="s">
        <v>60</v>
      </c>
      <c r="C21" s="3328"/>
    </row>
    <row r="22" spans="1:3" ht="14.25">
      <c r="A22" s="3330"/>
      <c r="B22" s="3327" t="s">
        <v>61</v>
      </c>
      <c r="C22" s="3328"/>
    </row>
    <row r="23" spans="1:3" ht="14.25">
      <c r="A23" s="3330"/>
      <c r="B23" s="3327" t="s">
        <v>62</v>
      </c>
      <c r="C23" s="3328"/>
    </row>
    <row r="24" spans="1:3" ht="14.25">
      <c r="A24" s="3330"/>
      <c r="B24" s="3333" t="s">
        <v>63</v>
      </c>
      <c r="C24" s="1159" t="s">
        <v>828</v>
      </c>
    </row>
    <row r="25" spans="1:3" ht="14.25">
      <c r="A25" s="3330"/>
      <c r="B25" s="3334"/>
      <c r="C25" s="1159" t="s">
        <v>829</v>
      </c>
    </row>
    <row r="26" spans="1:3" ht="14.25">
      <c r="A26" s="3330"/>
      <c r="B26" s="3334"/>
      <c r="C26" s="1159" t="s">
        <v>830</v>
      </c>
    </row>
    <row r="27" spans="1:3" ht="14.25">
      <c r="A27" s="3330"/>
      <c r="B27" s="3334"/>
      <c r="C27" s="1159" t="s">
        <v>831</v>
      </c>
    </row>
    <row r="28" spans="1:3" ht="14.25">
      <c r="A28" s="3330"/>
      <c r="B28" s="3334"/>
      <c r="C28" s="1159" t="s">
        <v>832</v>
      </c>
    </row>
    <row r="29" spans="1:3" ht="14.25">
      <c r="A29" s="3330"/>
      <c r="B29" s="3334"/>
      <c r="C29" s="1159" t="s">
        <v>833</v>
      </c>
    </row>
    <row r="30" spans="1:3" ht="14.25">
      <c r="A30" s="3330"/>
      <c r="B30" s="3334"/>
      <c r="C30" s="1159" t="s">
        <v>834</v>
      </c>
    </row>
    <row r="31" spans="1:3" ht="14.25">
      <c r="A31" s="3330"/>
      <c r="B31" s="3334"/>
      <c r="C31" s="1159" t="s">
        <v>835</v>
      </c>
    </row>
    <row r="32" spans="1:3" ht="14.25">
      <c r="A32" s="3330"/>
      <c r="B32" s="3334"/>
      <c r="C32" s="1159" t="s">
        <v>1636</v>
      </c>
    </row>
    <row r="33" spans="1:3" ht="14.25">
      <c r="A33" s="3330"/>
      <c r="B33" s="3324" t="s">
        <v>1642</v>
      </c>
      <c r="C33" s="1159" t="s">
        <v>1637</v>
      </c>
    </row>
    <row r="34" spans="1:3" ht="14.25">
      <c r="A34" s="3330"/>
      <c r="B34" s="3325"/>
      <c r="C34" s="1164" t="s">
        <v>1638</v>
      </c>
    </row>
    <row r="35" spans="1:3" ht="14.25">
      <c r="A35" s="3330"/>
      <c r="B35" s="3325"/>
      <c r="C35" s="1165" t="s">
        <v>1639</v>
      </c>
    </row>
    <row r="36" spans="1:3" ht="14.25">
      <c r="A36" s="3330"/>
      <c r="B36" s="3325"/>
      <c r="C36" s="1165" t="s">
        <v>1640</v>
      </c>
    </row>
    <row r="37" spans="1:3" ht="14.25">
      <c r="A37" s="3330"/>
      <c r="B37" s="3326"/>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44355</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t="str">
        <f ca="1">IF(C14&lt;B2,"已过期",1120020033)</f>
        <v>已过期</v>
      </c>
      <c r="C14" s="3033">
        <v>44339</v>
      </c>
      <c r="D14" s="3041" t="s">
        <v>1913</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38" t="s">
        <v>1914</v>
      </c>
      <c r="B17" s="3339"/>
      <c r="C17" s="3339"/>
      <c r="D17" s="3339"/>
      <c r="E17" s="3339"/>
      <c r="F17" s="3339"/>
      <c r="G17" s="3034"/>
    </row>
    <row r="18" spans="1:7" ht="20.25" customHeight="1">
      <c r="A18" s="3335" t="s">
        <v>1915</v>
      </c>
      <c r="B18" s="3335"/>
      <c r="C18" s="3336"/>
      <c r="D18" s="3337" t="s">
        <v>1916</v>
      </c>
      <c r="E18" s="3335"/>
      <c r="F18" s="3335"/>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1" sqref="AD3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131</v>
      </c>
      <c r="C1" s="1488"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2525</v>
      </c>
      <c r="R1" s="2432" t="s">
        <v>2519</v>
      </c>
      <c r="S1" s="6" t="s">
        <v>145</v>
      </c>
      <c r="T1" s="7" t="s">
        <v>146</v>
      </c>
      <c r="U1" s="6" t="s">
        <v>147</v>
      </c>
      <c r="V1" s="6" t="s">
        <v>148</v>
      </c>
      <c r="W1" s="992" t="s">
        <v>864</v>
      </c>
    </row>
    <row r="2" spans="1:23">
      <c r="A2" s="8" t="s">
        <v>73</v>
      </c>
      <c r="B2" s="8" t="s">
        <v>149</v>
      </c>
      <c r="C2" s="1489"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2520</v>
      </c>
      <c r="S2" s="9" t="s">
        <v>75</v>
      </c>
      <c r="T2" s="9" t="s">
        <v>76</v>
      </c>
      <c r="U2" s="9" t="s">
        <v>75</v>
      </c>
      <c r="V2" s="9" t="s">
        <v>77</v>
      </c>
      <c r="W2" s="9" t="s">
        <v>865</v>
      </c>
    </row>
    <row r="3" spans="1:23">
      <c r="A3" s="8" t="s">
        <v>78</v>
      </c>
      <c r="B3" s="10" t="s">
        <v>150</v>
      </c>
      <c r="C3" s="1490"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2521</v>
      </c>
      <c r="S3" s="9" t="s">
        <v>84</v>
      </c>
      <c r="T3" s="9" t="s">
        <v>85</v>
      </c>
      <c r="U3" s="9" t="s">
        <v>84</v>
      </c>
      <c r="V3" s="9" t="s">
        <v>86</v>
      </c>
      <c r="W3" s="9" t="s">
        <v>866</v>
      </c>
    </row>
    <row r="4" spans="1:23">
      <c r="A4" s="8" t="s">
        <v>87</v>
      </c>
      <c r="B4" s="8" t="s">
        <v>151</v>
      </c>
      <c r="C4" s="1489"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2522</v>
      </c>
      <c r="S4" s="9" t="s">
        <v>92</v>
      </c>
      <c r="T4" s="9" t="s">
        <v>93</v>
      </c>
      <c r="U4" s="9" t="s">
        <v>92</v>
      </c>
      <c r="W4" s="9" t="s">
        <v>867</v>
      </c>
    </row>
    <row r="5" spans="1:23">
      <c r="A5" s="8" t="s">
        <v>94</v>
      </c>
      <c r="B5" s="8" t="s">
        <v>152</v>
      </c>
      <c r="C5" s="1489" t="s">
        <v>1702</v>
      </c>
      <c r="F5" s="9" t="s">
        <v>95</v>
      </c>
      <c r="H5" s="9" t="s">
        <v>70</v>
      </c>
      <c r="I5" s="9" t="s">
        <v>96</v>
      </c>
      <c r="K5" s="9" t="s">
        <v>97</v>
      </c>
      <c r="L5" s="9" t="s">
        <v>97</v>
      </c>
      <c r="M5" s="9" t="s">
        <v>97</v>
      </c>
      <c r="N5" s="9" t="s">
        <v>97</v>
      </c>
      <c r="O5" s="9" t="s">
        <v>97</v>
      </c>
      <c r="P5" s="993" t="s">
        <v>539</v>
      </c>
      <c r="Q5" s="9" t="s">
        <v>97</v>
      </c>
      <c r="R5" s="993" t="s">
        <v>2523</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2524</v>
      </c>
      <c r="S6" s="9" t="s">
        <v>101</v>
      </c>
      <c r="T6" s="9"/>
      <c r="U6" s="9" t="s">
        <v>101</v>
      </c>
      <c r="W6" s="9" t="s">
        <v>869</v>
      </c>
    </row>
    <row r="7" spans="1:23">
      <c r="A7" s="8" t="s">
        <v>102</v>
      </c>
      <c r="B7" s="8" t="s">
        <v>103</v>
      </c>
      <c r="C7" s="1489" t="s">
        <v>1704</v>
      </c>
      <c r="F7" s="9" t="s">
        <v>153</v>
      </c>
      <c r="H7" s="9" t="s">
        <v>104</v>
      </c>
      <c r="I7" s="9" t="s">
        <v>105</v>
      </c>
    </row>
    <row r="8" spans="1:23">
      <c r="A8" s="8" t="s">
        <v>106</v>
      </c>
      <c r="B8" s="1132" t="s">
        <v>3556</v>
      </c>
      <c r="C8" s="1489" t="s">
        <v>1705</v>
      </c>
      <c r="F8" s="9" t="s">
        <v>154</v>
      </c>
      <c r="H8" s="9"/>
      <c r="I8" s="9" t="s">
        <v>107</v>
      </c>
    </row>
    <row r="9" spans="1:23">
      <c r="A9" s="8" t="s">
        <v>108</v>
      </c>
      <c r="B9" s="8" t="s">
        <v>155</v>
      </c>
      <c r="C9" s="1489" t="s">
        <v>1706</v>
      </c>
      <c r="F9" s="9" t="s">
        <v>109</v>
      </c>
      <c r="H9" s="9"/>
    </row>
    <row r="10" spans="1:23">
      <c r="A10" s="8" t="s">
        <v>110</v>
      </c>
      <c r="B10" s="8" t="s">
        <v>156</v>
      </c>
      <c r="C10" s="1489" t="s">
        <v>1707</v>
      </c>
      <c r="F10" s="9" t="s">
        <v>6</v>
      </c>
    </row>
    <row r="11" spans="1:23">
      <c r="A11" s="8" t="s">
        <v>111</v>
      </c>
      <c r="B11" s="8" t="s">
        <v>157</v>
      </c>
      <c r="C11" s="1489" t="s">
        <v>1708</v>
      </c>
    </row>
    <row r="12" spans="1:23">
      <c r="A12" s="8" t="s">
        <v>112</v>
      </c>
      <c r="B12" s="8" t="s">
        <v>158</v>
      </c>
      <c r="C12" s="1489" t="s">
        <v>1709</v>
      </c>
    </row>
    <row r="13" spans="1:23">
      <c r="A13" s="8" t="s">
        <v>113</v>
      </c>
      <c r="B13" s="8" t="s">
        <v>159</v>
      </c>
      <c r="C13" s="1489" t="s">
        <v>1710</v>
      </c>
    </row>
    <row r="14" spans="1:23">
      <c r="A14" s="8" t="s">
        <v>114</v>
      </c>
      <c r="B14" s="8" t="s">
        <v>160</v>
      </c>
      <c r="C14" s="1492" t="s">
        <v>1886</v>
      </c>
    </row>
    <row r="15" spans="1:23">
      <c r="A15" s="8" t="s">
        <v>115</v>
      </c>
      <c r="B15" s="8" t="s">
        <v>1671</v>
      </c>
      <c r="C15" s="1492"/>
    </row>
    <row r="16" spans="1:23">
      <c r="A16" s="8" t="s">
        <v>116</v>
      </c>
      <c r="B16" s="8" t="s">
        <v>1672</v>
      </c>
      <c r="C16" s="1492"/>
    </row>
    <row r="17" spans="1:3">
      <c r="A17" s="8" t="s">
        <v>117</v>
      </c>
      <c r="B17" s="8" t="s">
        <v>1673</v>
      </c>
      <c r="C17" s="1492"/>
    </row>
    <row r="18" spans="1:3">
      <c r="A18" s="8" t="s">
        <v>118</v>
      </c>
      <c r="B18" s="2792" t="s">
        <v>2918</v>
      </c>
      <c r="C18" s="1492"/>
    </row>
    <row r="19" spans="1:3">
      <c r="A19" s="8" t="s">
        <v>119</v>
      </c>
      <c r="B19" s="2792" t="s">
        <v>2925</v>
      </c>
      <c r="C19" s="1492"/>
    </row>
    <row r="20" spans="1:3">
      <c r="A20" s="8" t="s">
        <v>120</v>
      </c>
      <c r="B20" s="2792" t="s">
        <v>2971</v>
      </c>
      <c r="C20" s="1492"/>
    </row>
    <row r="21" spans="1:3">
      <c r="A21" s="8" t="s">
        <v>121</v>
      </c>
      <c r="B21" s="3282" t="s">
        <v>3557</v>
      </c>
      <c r="C21" s="1492"/>
    </row>
    <row r="22" spans="1:3">
      <c r="A22" s="8" t="s">
        <v>122</v>
      </c>
      <c r="B22" s="8" t="s">
        <v>1631</v>
      </c>
      <c r="C22" s="1492"/>
    </row>
    <row r="23" spans="1:3">
      <c r="A23" s="8" t="s">
        <v>123</v>
      </c>
      <c r="B23" s="8" t="s">
        <v>1631</v>
      </c>
      <c r="C23" s="1492"/>
    </row>
    <row r="24" spans="1:3">
      <c r="A24" s="8" t="s">
        <v>12</v>
      </c>
      <c r="B24" s="8" t="s">
        <v>1631</v>
      </c>
      <c r="C24" s="1492"/>
    </row>
    <row r="25" spans="1:3">
      <c r="A25" s="8" t="s">
        <v>124</v>
      </c>
      <c r="B25" s="8" t="s">
        <v>1631</v>
      </c>
      <c r="C25" s="1492"/>
    </row>
    <row r="26" spans="1:3">
      <c r="A26" s="8" t="s">
        <v>125</v>
      </c>
      <c r="B26" s="8" t="s">
        <v>1631</v>
      </c>
      <c r="C26" s="1492"/>
    </row>
    <row r="27" spans="1:3">
      <c r="A27" s="2792" t="s">
        <v>3012</v>
      </c>
      <c r="B27" s="8" t="s">
        <v>1631</v>
      </c>
      <c r="C27" s="1492"/>
    </row>
    <row r="28" spans="1:3">
      <c r="A28" s="2792" t="s">
        <v>3014</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40"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c r="D53" s="1685"/>
      <c r="E53" s="1685"/>
    </row>
    <row r="54" spans="1:5">
      <c r="A54" s="3340"/>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0"/>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0"/>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0"/>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不动产收益法-自持住宅</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住宅租金</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'不动产收益法-自持住宅'!Print_Area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2021-06-08T03:53:52Z</dcterms:modified>
</cp:coreProperties>
</file>