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1840" windowHeight="5760"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万达广场"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7" hidden="1">'比较法-万达广场'!$A$1:$L$50</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7">'比较法-万达广场'!$A$1:$K$55,'比较法-万达广场'!$A$58:$M$132</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'比较法-万达广场'!$B$119:$M$119</definedName>
    <definedName name="办公朝向">'比较法-万达广场'!$B$91:$M$91</definedName>
    <definedName name="办公道路级别">'比较法-万达广场'!$B$87:$M$87</definedName>
    <definedName name="办公公共部分装修">'比较法-万达广场'!$B$108:$M$108</definedName>
    <definedName name="办公基础设施水平">'比较法-万达广场'!$B$117:$M$117</definedName>
    <definedName name="办公集聚程度">定义!$M$1:$M$6</definedName>
    <definedName name="办公建筑结构">'比较法-万达广场'!$B$106:$M$106</definedName>
    <definedName name="办公建筑类型">'比较法-万达广场'!$B$101:$M$101</definedName>
    <definedName name="办公交易情况">'比较法-万达广场'!$A$62:$M$62</definedName>
    <definedName name="办公楼层">'比较法-万达广场'!$B$89:$M$89</definedName>
    <definedName name="办公内部装修">'比较法-万达广场'!$B$123:$M$123</definedName>
    <definedName name="办公物业管理">'比较法-万达广场'!$B$115:$M$115</definedName>
    <definedName name="办公用途">'比较法-万达广场'!$B$64:$M$64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'比较法-万达广场'!$B$113:$M$113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2" i="34" l="1"/>
  <c r="G42" i="34"/>
  <c r="C42" i="34"/>
  <c r="E42" i="34" s="1"/>
  <c r="I34" i="34"/>
  <c r="G34" i="34"/>
  <c r="B14" i="74" l="1"/>
  <c r="E4" i="80" l="1"/>
  <c r="E34" i="34"/>
  <c r="G25" i="34"/>
  <c r="I25" i="34" s="1"/>
  <c r="C29" i="34"/>
  <c r="G29" i="34" s="1"/>
  <c r="I29" i="34" s="1"/>
  <c r="E3" i="80"/>
  <c r="A3" i="80"/>
  <c r="A4" i="80" s="1"/>
  <c r="E29" i="34" l="1"/>
  <c r="D35" i="80"/>
  <c r="D34" i="80"/>
  <c r="D33" i="80"/>
  <c r="D32" i="80"/>
  <c r="E2" i="80" l="1"/>
  <c r="I48" i="34" l="1"/>
  <c r="G48" i="34"/>
  <c r="E48" i="34" l="1"/>
  <c r="I5" i="34"/>
  <c r="E5" i="34"/>
  <c r="G37" i="34" l="1"/>
  <c r="I37" i="34" s="1"/>
  <c r="G5" i="34" l="1"/>
  <c r="D90" i="36" l="1"/>
  <c r="D92" i="35"/>
  <c r="E92" i="35" s="1"/>
  <c r="F92" i="35" s="1"/>
  <c r="G92" i="35" s="1"/>
  <c r="H92" i="35" s="1"/>
  <c r="I92" i="35" s="1"/>
  <c r="J92" i="35" s="1"/>
  <c r="K92" i="35" s="1"/>
  <c r="L92" i="35" s="1"/>
  <c r="M92" i="35" s="1"/>
  <c r="E54" i="36" l="1"/>
  <c r="F54" i="36" s="1"/>
  <c r="G54" i="36" s="1"/>
  <c r="D54" i="36"/>
  <c r="E56" i="35"/>
  <c r="F56" i="35" s="1"/>
  <c r="G56" i="35" s="1"/>
  <c r="D56" i="35"/>
  <c r="E67" i="34"/>
  <c r="F67" i="34" s="1"/>
  <c r="G67" i="34" s="1"/>
  <c r="D67" i="34"/>
  <c r="E92" i="37"/>
  <c r="F92" i="37" s="1"/>
  <c r="G92" i="37" s="1"/>
  <c r="D92" i="37"/>
  <c r="G102" i="37"/>
  <c r="F102" i="37"/>
  <c r="E102" i="37"/>
  <c r="D102" i="37"/>
  <c r="C102" i="37"/>
  <c r="D60" i="37"/>
  <c r="E60" i="37" s="1"/>
  <c r="F60" i="37" s="1"/>
  <c r="G60" i="37" s="1"/>
  <c r="G117" i="34" l="1"/>
  <c r="F117" i="34"/>
  <c r="E117" i="34"/>
  <c r="D117" i="34"/>
  <c r="C117" i="34"/>
  <c r="G112" i="33"/>
  <c r="F112" i="33"/>
  <c r="E112" i="33"/>
  <c r="D112" i="33"/>
  <c r="C112" i="33"/>
  <c r="E104" i="33" l="1"/>
  <c r="F104" i="33" s="1"/>
  <c r="G104" i="33" s="1"/>
  <c r="D104" i="33"/>
  <c r="E89" i="33"/>
  <c r="F89" i="33" s="1"/>
  <c r="G89" i="33" s="1"/>
  <c r="D89" i="33"/>
  <c r="D66" i="33"/>
  <c r="E66" i="33" s="1"/>
  <c r="F66" i="33" s="1"/>
  <c r="F122" i="21"/>
  <c r="E122" i="21"/>
  <c r="D122" i="21"/>
  <c r="C122" i="21"/>
  <c r="G116" i="21"/>
  <c r="F116" i="21"/>
  <c r="E116" i="21"/>
  <c r="D116" i="21"/>
  <c r="C116" i="21"/>
  <c r="E104" i="21"/>
  <c r="F104" i="21" s="1"/>
  <c r="G104" i="21" s="1"/>
  <c r="D104" i="21"/>
  <c r="E66" i="21"/>
  <c r="F66" i="21" s="1"/>
  <c r="G66" i="21" s="1"/>
  <c r="H66" i="21" s="1"/>
  <c r="I66" i="21" s="1"/>
  <c r="D66" i="21"/>
  <c r="J52" i="67"/>
  <c r="J49" i="67"/>
  <c r="J52" i="15"/>
  <c r="J49" i="15"/>
  <c r="C66" i="9"/>
  <c r="D14" i="9"/>
  <c r="B35" i="1"/>
  <c r="B21" i="1"/>
  <c r="N18" i="1"/>
  <c r="N20" i="1" s="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AA25" i="71" s="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27" i="71"/>
  <c r="P27" i="71"/>
  <c r="Q27" i="71"/>
  <c r="AB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O68" i="71" s="1"/>
  <c r="B68" i="71"/>
  <c r="S68" i="71"/>
  <c r="B67" i="71"/>
  <c r="D65" i="71"/>
  <c r="Q64" i="71"/>
  <c r="P64" i="71"/>
  <c r="O64" i="71"/>
  <c r="N64" i="71"/>
  <c r="Q63" i="71"/>
  <c r="P63" i="71"/>
  <c r="O63" i="71"/>
  <c r="N63" i="71"/>
  <c r="Q62" i="71"/>
  <c r="P62" i="71"/>
  <c r="O62" i="71"/>
  <c r="N62" i="71"/>
  <c r="Q61" i="71"/>
  <c r="F62" i="71" s="1"/>
  <c r="F63" i="71"/>
  <c r="F64" i="71" s="1"/>
  <c r="V64" i="71" s="1"/>
  <c r="P61" i="71"/>
  <c r="E62" i="71"/>
  <c r="E63" i="71" s="1"/>
  <c r="E64" i="71" s="1"/>
  <c r="U64"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AB37" i="71"/>
  <c r="X38" i="71"/>
  <c r="AA38" i="71"/>
  <c r="C28" i="71"/>
  <c r="X25" i="71"/>
  <c r="C31" i="71"/>
  <c r="D31" i="71" s="1"/>
  <c r="C51" i="71"/>
  <c r="D51" i="71" s="1"/>
  <c r="P28" i="71"/>
  <c r="E55" i="71"/>
  <c r="E56" i="71" s="1"/>
  <c r="U56" i="71" s="1"/>
  <c r="E59" i="71"/>
  <c r="E60" i="71" s="1"/>
  <c r="U60" i="71" s="1"/>
  <c r="E67" i="71"/>
  <c r="E66" i="71" s="1"/>
  <c r="Q28" i="71"/>
  <c r="C59" i="71"/>
  <c r="D59" i="71" s="1"/>
  <c r="C63" i="71"/>
  <c r="C64" i="71" s="1"/>
  <c r="N67" i="71"/>
  <c r="B66" i="71"/>
  <c r="T68" i="71"/>
  <c r="D68" i="71"/>
  <c r="Q68" i="71"/>
  <c r="C71" i="71"/>
  <c r="D71" i="71" s="1"/>
  <c r="E71" i="71"/>
  <c r="E70" i="71" s="1"/>
  <c r="D72" i="71"/>
  <c r="D76" i="71"/>
  <c r="C79" i="71"/>
  <c r="C78" i="71" s="1"/>
  <c r="D78" i="71" s="1"/>
  <c r="E79" i="71"/>
  <c r="E78" i="71" s="1"/>
  <c r="D80" i="71"/>
  <c r="C83" i="71"/>
  <c r="D83" i="71" s="1"/>
  <c r="C87" i="71"/>
  <c r="D87" i="71" s="1"/>
  <c r="T28" i="71"/>
  <c r="F28" i="71"/>
  <c r="F27" i="71" s="1"/>
  <c r="F26" i="71" s="1"/>
  <c r="AB25" i="71"/>
  <c r="E28" i="71"/>
  <c r="E27" i="71" s="1"/>
  <c r="E26" i="71" s="1"/>
  <c r="AA27" i="71"/>
  <c r="D28" i="71"/>
  <c r="D63" i="71"/>
  <c r="C82" i="71"/>
  <c r="D82" i="71" s="1"/>
  <c r="N65" i="71"/>
  <c r="N66" i="71"/>
  <c r="C86" i="71"/>
  <c r="D86" i="71" s="1"/>
  <c r="D79" i="71"/>
  <c r="C70" i="71"/>
  <c r="D70" i="71" s="1"/>
  <c r="C60" i="71"/>
  <c r="T60" i="71" s="1"/>
  <c r="P67" i="71"/>
  <c r="C32" i="71"/>
  <c r="T32" i="71" s="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9" i="39"/>
  <c r="S21" i="37"/>
  <c r="AB21" i="34"/>
  <c r="AB21" i="33"/>
  <c r="AA21" i="33"/>
  <c r="AB18" i="35"/>
  <c r="J21" i="37"/>
  <c r="W21" i="37" s="1"/>
  <c r="J21" i="34"/>
  <c r="AC21" i="34" s="1"/>
  <c r="J21" i="33"/>
  <c r="W21" i="33" s="1"/>
  <c r="F83" i="21"/>
  <c r="G83" i="21" s="1"/>
  <c r="H21" i="21"/>
  <c r="U21" i="21" s="1"/>
  <c r="F38" i="69"/>
  <c r="E37" i="69"/>
  <c r="F36" i="69"/>
  <c r="F35" i="69"/>
  <c r="F21" i="69"/>
  <c r="F40" i="69" s="1"/>
  <c r="F20" i="69"/>
  <c r="F39" i="69" s="1"/>
  <c r="E10" i="69"/>
  <c r="E9" i="69"/>
  <c r="C7" i="69"/>
  <c r="AC21" i="37"/>
  <c r="AC21" i="33"/>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H34" i="35" s="1"/>
  <c r="AB34" i="35" s="1"/>
  <c r="B77" i="35"/>
  <c r="B75" i="35"/>
  <c r="J24" i="35" s="1"/>
  <c r="B73" i="35"/>
  <c r="H23" i="35" s="1"/>
  <c r="U23" i="35" s="1"/>
  <c r="B57" i="35"/>
  <c r="B61" i="35"/>
  <c r="B59" i="35"/>
  <c r="B131" i="34"/>
  <c r="B129" i="34"/>
  <c r="H46" i="34" s="1"/>
  <c r="B127" i="34"/>
  <c r="B99" i="34"/>
  <c r="B97" i="34"/>
  <c r="B95" i="34"/>
  <c r="B93" i="34"/>
  <c r="B75" i="34"/>
  <c r="B73" i="34"/>
  <c r="B71" i="34"/>
  <c r="H12" i="34" s="1"/>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c r="Q44" i="33"/>
  <c r="Z44" i="33"/>
  <c r="Q43" i="33"/>
  <c r="Z43" i="33"/>
  <c r="Q42" i="33"/>
  <c r="Z42" i="33"/>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s="1"/>
  <c r="Q29" i="33"/>
  <c r="Z29" i="33" s="1"/>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J10" i="21"/>
  <c r="AC10" i="21" s="1"/>
  <c r="H26" i="21"/>
  <c r="AB26" i="21" s="1"/>
  <c r="AB19" i="21"/>
  <c r="J19" i="21"/>
  <c r="W19" i="21" s="1"/>
  <c r="H12" i="21"/>
  <c r="AB12" i="21" s="1"/>
  <c r="J26" i="21"/>
  <c r="W26" i="21" s="1"/>
  <c r="F26" i="21"/>
  <c r="S26" i="21" s="1"/>
  <c r="S41" i="21"/>
  <c r="AA41" i="21"/>
  <c r="F45" i="39"/>
  <c r="S45" i="39" s="1"/>
  <c r="J45" i="39"/>
  <c r="W45" i="39" s="1"/>
  <c r="J44" i="39"/>
  <c r="AC44" i="39" s="1"/>
  <c r="F36" i="39"/>
  <c r="S36" i="39" s="1"/>
  <c r="H36" i="39"/>
  <c r="AB36" i="39" s="1"/>
  <c r="J35" i="39"/>
  <c r="AC35" i="39" s="1"/>
  <c r="F35" i="39"/>
  <c r="AA35" i="39" s="1"/>
  <c r="J36" i="39"/>
  <c r="AC36" i="39" s="1"/>
  <c r="U9" i="39"/>
  <c r="W40" i="39"/>
  <c r="U30" i="37"/>
  <c r="F39" i="37"/>
  <c r="S39" i="37" s="1"/>
  <c r="F29" i="36"/>
  <c r="AA29" i="36" s="1"/>
  <c r="F16" i="36"/>
  <c r="AA16" i="36" s="1"/>
  <c r="H22" i="35"/>
  <c r="AB22" i="35" s="1"/>
  <c r="W28" i="35"/>
  <c r="U31" i="35"/>
  <c r="W36" i="35"/>
  <c r="S31" i="35"/>
  <c r="U34" i="35"/>
  <c r="J35" i="34"/>
  <c r="W35" i="34" s="1"/>
  <c r="W9" i="34"/>
  <c r="H39" i="33"/>
  <c r="AB39" i="33" s="1"/>
  <c r="F26" i="33"/>
  <c r="AA26" i="33" s="1"/>
  <c r="S40" i="33"/>
  <c r="W33" i="33"/>
  <c r="H39" i="37"/>
  <c r="AB39" i="37" s="1"/>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H40" i="34"/>
  <c r="U40" i="34" s="1"/>
  <c r="E114" i="34"/>
  <c r="H36" i="34"/>
  <c r="U36" i="34" s="1"/>
  <c r="F37" i="34"/>
  <c r="AA37" i="34" s="1"/>
  <c r="F28" i="34"/>
  <c r="AA28" i="34" s="1"/>
  <c r="F25" i="34"/>
  <c r="S25" i="34" s="1"/>
  <c r="H23" i="34"/>
  <c r="U23" i="34" s="1"/>
  <c r="J23" i="34"/>
  <c r="AC23" i="34" s="1"/>
  <c r="F19" i="34"/>
  <c r="AA19" i="34" s="1"/>
  <c r="H17" i="34"/>
  <c r="U17" i="34" s="1"/>
  <c r="F15" i="34"/>
  <c r="S15" i="34" s="1"/>
  <c r="J15" i="34"/>
  <c r="W15" i="34" s="1"/>
  <c r="H15" i="34"/>
  <c r="AB15" i="34" s="1"/>
  <c r="J28" i="34"/>
  <c r="W28" i="34" s="1"/>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J40" i="34"/>
  <c r="W40" i="34" s="1"/>
  <c r="F114" i="34"/>
  <c r="G114" i="34"/>
  <c r="H114" i="34" s="1"/>
  <c r="I114" i="34" s="1"/>
  <c r="J114" i="34" s="1"/>
  <c r="K114" i="34" s="1"/>
  <c r="L114" i="34" s="1"/>
  <c r="M114" i="34" s="1"/>
  <c r="H38" i="34"/>
  <c r="AB38" i="34" s="1"/>
  <c r="J36" i="34"/>
  <c r="W36" i="34" s="1"/>
  <c r="H37" i="34"/>
  <c r="U37"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c r="H11" i="33"/>
  <c r="AB11" i="33" s="1"/>
  <c r="F28" i="40"/>
  <c r="AA28" i="40" s="1"/>
  <c r="AA29" i="35"/>
  <c r="J37" i="34"/>
  <c r="AC37" i="34" s="1"/>
  <c r="J11" i="33"/>
  <c r="W11" i="33" s="1"/>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s="1"/>
  <c r="F27" i="33"/>
  <c r="AA27" i="33" s="1"/>
  <c r="J13" i="33"/>
  <c r="W13" i="33" s="1"/>
  <c r="H13" i="33"/>
  <c r="U13" i="33" s="1"/>
  <c r="F13" i="33"/>
  <c r="S13" i="33" s="1"/>
  <c r="J29" i="33"/>
  <c r="H29" i="33"/>
  <c r="U29" i="33" s="1"/>
  <c r="F29" i="33"/>
  <c r="S29" i="33" s="1"/>
  <c r="J31" i="33"/>
  <c r="W31" i="33" s="1"/>
  <c r="H31" i="33"/>
  <c r="U31" i="33" s="1"/>
  <c r="F31" i="33"/>
  <c r="H45" i="33"/>
  <c r="J45" i="33"/>
  <c r="W45" i="33" s="1"/>
  <c r="F45" i="33"/>
  <c r="AA45" i="33" s="1"/>
  <c r="J14" i="34"/>
  <c r="W14" i="34" s="1"/>
  <c r="F14" i="34"/>
  <c r="H14" i="34"/>
  <c r="AB14" i="34" s="1"/>
  <c r="H30" i="34"/>
  <c r="U30" i="34" s="1"/>
  <c r="F30" i="34"/>
  <c r="S30" i="34" s="1"/>
  <c r="J30" i="34"/>
  <c r="W30" i="34" s="1"/>
  <c r="H32" i="34"/>
  <c r="U32" i="34" s="1"/>
  <c r="F32" i="34"/>
  <c r="S32" i="34" s="1"/>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H13" i="36"/>
  <c r="AB13" i="36"/>
  <c r="J13" i="36"/>
  <c r="F13" i="36"/>
  <c r="S13" i="36" s="1"/>
  <c r="J29" i="37"/>
  <c r="W29" i="37" s="1"/>
  <c r="F29" i="37"/>
  <c r="S29" i="37" s="1"/>
  <c r="H36" i="37"/>
  <c r="AB36" i="37" s="1"/>
  <c r="J37" i="37"/>
  <c r="H40" i="37"/>
  <c r="U40" i="37" s="1"/>
  <c r="J40" i="37"/>
  <c r="AC40" i="37" s="1"/>
  <c r="F40" i="37"/>
  <c r="AA40" i="37" s="1"/>
  <c r="AC12" i="40"/>
  <c r="W12" i="40"/>
  <c r="F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U46" i="33"/>
  <c r="J36" i="37"/>
  <c r="AC36" i="37" s="1"/>
  <c r="J10" i="36"/>
  <c r="AC10" i="36" s="1"/>
  <c r="AC13" i="36"/>
  <c r="W13" i="36"/>
  <c r="AC30" i="34"/>
  <c r="S45" i="33"/>
  <c r="AB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AZ494" i="3" s="1"/>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c r="AZ563" i="3" s="1"/>
  <c r="BQ561" i="3"/>
  <c r="BL561" i="3"/>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BQ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35" i="35"/>
  <c r="W14" i="37"/>
  <c r="AB28" i="37"/>
  <c r="U33" i="37"/>
  <c r="U39" i="37"/>
  <c r="W26" i="37"/>
  <c r="U26" i="37"/>
  <c r="AC31" i="33"/>
  <c r="AC45" i="33"/>
  <c r="W44" i="33"/>
  <c r="U11" i="33"/>
  <c r="U19" i="21"/>
  <c r="W44" i="21"/>
  <c r="AC46" i="21"/>
  <c r="F43" i="33"/>
  <c r="S43" i="33" s="1"/>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G4" i="4"/>
  <c r="I4" i="4"/>
  <c r="A2" i="9"/>
  <c r="F61" i="43"/>
  <c r="H64" i="43" s="1"/>
  <c r="AZ24" i="3"/>
  <c r="AZ28" i="3"/>
  <c r="BL549" i="3"/>
  <c r="AZ502" i="3"/>
  <c r="AZ522"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AZ203" i="3" s="1"/>
  <c r="BL204" i="3"/>
  <c r="AZ204" i="3" s="1"/>
  <c r="AZ51" i="3"/>
  <c r="AZ55" i="3"/>
  <c r="AZ67" i="3"/>
  <c r="AZ71" i="3"/>
  <c r="AZ83" i="3"/>
  <c r="AZ168" i="3"/>
  <c r="AZ200" i="3"/>
  <c r="AZ85"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6" i="3"/>
  <c r="AZ162" i="3"/>
  <c r="AZ178" i="3"/>
  <c r="AZ194" i="3"/>
  <c r="AZ206" i="3"/>
  <c r="AZ500" i="3"/>
  <c r="BA16" i="3"/>
  <c r="AZ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87" i="3"/>
  <c r="AZ295" i="3"/>
  <c r="AZ299" i="3"/>
  <c r="BO5" i="3"/>
  <c r="BM5" i="3"/>
  <c r="BJ5" i="3"/>
  <c r="BH5" i="3"/>
  <c r="BF5" i="3"/>
  <c r="BD5" i="3"/>
  <c r="AZ317" i="3"/>
  <c r="AZ333" i="3"/>
  <c r="AC5" i="3"/>
  <c r="AZ506" i="3"/>
  <c r="AZ496" i="3"/>
  <c r="G548" i="3"/>
  <c r="G538" i="3"/>
  <c r="G520" i="3"/>
  <c r="G502" i="3"/>
  <c r="BS5" i="3"/>
  <c r="BP5" i="3"/>
  <c r="BN5" i="3"/>
  <c r="BK5" i="3"/>
  <c r="BI5" i="3"/>
  <c r="BG5" i="3"/>
  <c r="BE5" i="3"/>
  <c r="BC5" i="3"/>
  <c r="G17" i="3"/>
  <c r="BA17" i="3"/>
  <c r="BT5" i="3"/>
  <c r="AZ356" i="3"/>
  <c r="AZ368" i="3"/>
  <c r="BA15" i="3"/>
  <c r="BB5" i="3"/>
  <c r="BR5" i="3"/>
  <c r="AZ380" i="3"/>
  <c r="AZ388" i="3"/>
  <c r="AZ396" i="3"/>
  <c r="AZ509" i="3"/>
  <c r="G509" i="3"/>
  <c r="BL493" i="3"/>
  <c r="U36" i="40"/>
  <c r="F83" i="43"/>
  <c r="H85" i="43" s="1"/>
  <c r="F50" i="43"/>
  <c r="H54" i="43" s="1"/>
  <c r="F72" i="43"/>
  <c r="H75" i="43" s="1"/>
  <c r="U17" i="39"/>
  <c r="S14" i="35"/>
  <c r="G8" i="1"/>
  <c r="G10" i="1"/>
  <c r="AC11" i="39"/>
  <c r="AZ501" i="3"/>
  <c r="W44" i="34"/>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8" i="3"/>
  <c r="AZ117" i="3"/>
  <c r="AZ133" i="3"/>
  <c r="AZ21" i="3"/>
  <c r="AZ50" i="3"/>
  <c r="AZ53" i="3"/>
  <c r="AZ66" i="3"/>
  <c r="AZ69" i="3"/>
  <c r="AZ72" i="3"/>
  <c r="AZ74" i="3"/>
  <c r="AZ82" i="3"/>
  <c r="AZ86" i="3"/>
  <c r="AZ94"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28" i="3"/>
  <c r="AZ433" i="3"/>
  <c r="AZ465" i="3"/>
  <c r="AC12" i="33"/>
  <c r="AA32" i="36"/>
  <c r="S32" i="36"/>
  <c r="AZ408" i="3"/>
  <c r="AZ457" i="3"/>
  <c r="AZ473" i="3"/>
  <c r="AZ490" i="3"/>
  <c r="BL14" i="3"/>
  <c r="U30" i="33"/>
  <c r="AC13" i="34"/>
  <c r="W28" i="37"/>
  <c r="S19" i="39"/>
  <c r="F12" i="33"/>
  <c r="S12" i="33" s="1"/>
  <c r="H12" i="39"/>
  <c r="AB12" i="39" s="1"/>
  <c r="F39" i="40"/>
  <c r="BA14" i="3"/>
  <c r="AZ14" i="3" s="1"/>
  <c r="AZ213" i="3"/>
  <c r="AZ234" i="3"/>
  <c r="AZ250" i="3"/>
  <c r="AZ286" i="3"/>
  <c r="AZ297" i="3"/>
  <c r="AZ157" i="3"/>
  <c r="AZ173" i="3"/>
  <c r="AZ189" i="3"/>
  <c r="AZ19" i="3"/>
  <c r="AZ26" i="3"/>
  <c r="B12" i="1"/>
  <c r="E12" i="1" s="1"/>
  <c r="B10" i="1"/>
  <c r="E10" i="1" s="1"/>
  <c r="AZ80" i="3"/>
  <c r="AZ84" i="3"/>
  <c r="AZ88" i="3"/>
  <c r="K12" i="1"/>
  <c r="M12" i="1" s="1"/>
  <c r="S13" i="1"/>
  <c r="AR13" i="1" s="1"/>
  <c r="R13" i="1"/>
  <c r="J51" i="67"/>
  <c r="C42" i="1"/>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AB8" i="34"/>
  <c r="AC42" i="34"/>
  <c r="AB41" i="34"/>
  <c r="AA45" i="34"/>
  <c r="AA25" i="34"/>
  <c r="U28" i="34"/>
  <c r="AA29"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36" i="21"/>
  <c r="W41" i="21"/>
  <c r="AB39"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S9" i="36"/>
  <c r="AB20" i="35"/>
  <c r="AC25" i="35"/>
  <c r="U25" i="35"/>
  <c r="U24" i="35"/>
  <c r="S35" i="35"/>
  <c r="W35" i="35"/>
  <c r="W36" i="37"/>
  <c r="S27" i="37"/>
  <c r="S28" i="37"/>
  <c r="W32" i="37"/>
  <c r="U36" i="37"/>
  <c r="S40" i="37"/>
  <c r="U38" i="37"/>
  <c r="U19" i="37"/>
  <c r="AA29" i="37"/>
  <c r="U8" i="37"/>
  <c r="AB40" i="34"/>
  <c r="AA30" i="34"/>
  <c r="AB45" i="34"/>
  <c r="AB36" i="34"/>
  <c r="AC32" i="34"/>
  <c r="AC29" i="34"/>
  <c r="W29" i="34"/>
  <c r="AA32" i="34"/>
  <c r="S37" i="34"/>
  <c r="S19" i="34"/>
  <c r="AA8" i="34"/>
  <c r="AB9" i="34"/>
  <c r="U9" i="34"/>
  <c r="AB32" i="34"/>
  <c r="U14" i="34"/>
  <c r="W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AA23"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AB17" i="33" s="1"/>
  <c r="F17" i="33"/>
  <c r="S17" i="33" s="1"/>
  <c r="W17" i="33"/>
  <c r="AC17" i="33"/>
  <c r="S37"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AA23" i="33"/>
  <c r="S23" i="33"/>
  <c r="U17" i="33"/>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3" i="67"/>
  <c r="F16" i="67"/>
  <c r="M26" i="67"/>
  <c r="D6" i="73"/>
  <c r="B10" i="76"/>
  <c r="F6" i="73"/>
  <c r="F38" i="67"/>
  <c r="E8" i="76"/>
  <c r="F8" i="15"/>
  <c r="M28" i="15"/>
  <c r="M9" i="15"/>
  <c r="J15" i="67"/>
  <c r="D4" i="73"/>
  <c r="L48" i="15"/>
  <c r="F13" i="67"/>
  <c r="M22" i="15"/>
  <c r="M26" i="15"/>
  <c r="L47" i="15"/>
  <c r="F38" i="15"/>
  <c r="F7" i="73"/>
  <c r="F43" i="67"/>
  <c r="M28" i="67"/>
  <c r="F7" i="15"/>
  <c r="F36" i="15"/>
  <c r="F40" i="67"/>
  <c r="C19" i="9"/>
  <c r="D19" i="9"/>
  <c r="B9" i="76"/>
  <c r="E2" i="69"/>
  <c r="B8" i="76"/>
  <c r="F42" i="15"/>
  <c r="M8" i="67"/>
  <c r="F13" i="15"/>
  <c r="AO13" i="1"/>
  <c r="E12" i="76"/>
  <c r="B12" i="76"/>
  <c r="F20" i="31"/>
  <c r="F6" i="67"/>
  <c r="E9" i="76"/>
  <c r="M6" i="15"/>
  <c r="D3" i="73"/>
  <c r="F42" i="67"/>
  <c r="C76" i="67"/>
  <c r="F5" i="73"/>
  <c r="M23" i="15"/>
  <c r="F26" i="15"/>
  <c r="D5" i="73"/>
  <c r="L48" i="67"/>
  <c r="F4" i="73"/>
  <c r="F37" i="15"/>
  <c r="F9" i="67"/>
  <c r="F8" i="67"/>
  <c r="F36" i="67"/>
  <c r="E7" i="76"/>
  <c r="F7" i="67"/>
  <c r="D7" i="73"/>
  <c r="M24" i="15"/>
  <c r="C20" i="9"/>
  <c r="F37" i="67"/>
  <c r="M8" i="15"/>
  <c r="D20" i="9"/>
  <c r="L47" i="67"/>
  <c r="C76" i="15"/>
  <c r="E13" i="76"/>
  <c r="B7" i="76"/>
  <c r="M22" i="67"/>
  <c r="E10" i="76"/>
  <c r="F43" i="15"/>
  <c r="F3" i="73"/>
  <c r="B13" i="76"/>
  <c r="E11" i="76"/>
  <c r="J15" i="15"/>
  <c r="B11" i="76"/>
  <c r="M29" i="67"/>
  <c r="F26" i="67"/>
  <c r="M9" i="67"/>
  <c r="M6" i="67"/>
  <c r="F9" i="15"/>
  <c r="M24" i="67"/>
  <c r="F16" i="15"/>
  <c r="E2" i="68"/>
  <c r="F40" i="15"/>
  <c r="F6" i="15"/>
  <c r="M29" i="15"/>
  <c r="AB47" i="34" l="1"/>
  <c r="BL503" i="3"/>
  <c r="AZ503" i="3" s="1"/>
  <c r="BQ5" i="3"/>
  <c r="F28" i="6" s="1"/>
  <c r="AZ493" i="3"/>
  <c r="AZ497" i="3"/>
  <c r="AZ549" i="3"/>
  <c r="S44" i="33"/>
  <c r="AA44" i="33"/>
  <c r="S14" i="33"/>
  <c r="AA14" i="33"/>
  <c r="AC37" i="37"/>
  <c r="W37" i="37"/>
  <c r="AA11" i="36"/>
  <c r="S11" i="36"/>
  <c r="S14" i="34"/>
  <c r="AA14" i="34"/>
  <c r="U45" i="33"/>
  <c r="AB45" i="33"/>
  <c r="AC29" i="33"/>
  <c r="W29" i="33"/>
  <c r="AA23" i="21"/>
  <c r="U44" i="34"/>
  <c r="AB27" i="40"/>
  <c r="AZ338" i="3"/>
  <c r="S11" i="39"/>
  <c r="AZ505" i="3"/>
  <c r="AZ515" i="3"/>
  <c r="AZ533" i="3"/>
  <c r="AZ537" i="3"/>
  <c r="AZ555" i="3"/>
  <c r="AZ561" i="3"/>
  <c r="AZ565" i="3"/>
  <c r="AZ558" i="3"/>
  <c r="W31" i="34"/>
  <c r="AB14" i="40"/>
  <c r="U14" i="40"/>
  <c r="AC35" i="40"/>
  <c r="W35" i="40"/>
  <c r="BL586" i="3"/>
  <c r="AZ586" i="3" s="1"/>
  <c r="BL585" i="3"/>
  <c r="AZ585" i="3" s="1"/>
  <c r="E84" i="35"/>
  <c r="F84" i="35" s="1"/>
  <c r="G84" i="35" s="1"/>
  <c r="H84" i="35" s="1"/>
  <c r="I84" i="35" s="1"/>
  <c r="J84" i="35" s="1"/>
  <c r="K84" i="35" s="1"/>
  <c r="L84" i="35" s="1"/>
  <c r="M84" i="35" s="1"/>
  <c r="H28" i="35"/>
  <c r="AB28" i="35" s="1"/>
  <c r="J12" i="35"/>
  <c r="F12" i="35"/>
  <c r="AZ373" i="3"/>
  <c r="AZ382" i="3"/>
  <c r="AZ371" i="3"/>
  <c r="AZ342" i="3"/>
  <c r="AZ336" i="3"/>
  <c r="AZ321" i="3"/>
  <c r="AZ304" i="3"/>
  <c r="AZ394" i="3"/>
  <c r="AZ511" i="3"/>
  <c r="AZ519" i="3"/>
  <c r="AZ569" i="3"/>
  <c r="AZ577" i="3"/>
  <c r="AZ495" i="3"/>
  <c r="AZ513" i="3"/>
  <c r="AZ517" i="3"/>
  <c r="AZ567" i="3"/>
  <c r="AZ571" i="3"/>
  <c r="AZ575" i="3"/>
  <c r="AZ579" i="3"/>
  <c r="AZ568" i="3"/>
  <c r="AZ576" i="3"/>
  <c r="S40" i="21"/>
  <c r="F36" i="34"/>
  <c r="S36" i="34" s="1"/>
  <c r="W34" i="35"/>
  <c r="AC27" i="35"/>
  <c r="J33" i="36"/>
  <c r="AC33" i="36" s="1"/>
  <c r="AB41" i="21"/>
  <c r="J12" i="21"/>
  <c r="H36" i="21"/>
  <c r="U36" i="21" s="1"/>
  <c r="J43" i="21"/>
  <c r="J12" i="34"/>
  <c r="E124" i="34"/>
  <c r="F124" i="34" s="1"/>
  <c r="G124" i="34" s="1"/>
  <c r="H124" i="34" s="1"/>
  <c r="I124" i="34" s="1"/>
  <c r="J124" i="34" s="1"/>
  <c r="K124" i="34" s="1"/>
  <c r="L124" i="34" s="1"/>
  <c r="M124" i="34" s="1"/>
  <c r="H43" i="34"/>
  <c r="F28" i="35"/>
  <c r="AA28" i="35" s="1"/>
  <c r="F34" i="35"/>
  <c r="J9" i="36"/>
  <c r="E64" i="36"/>
  <c r="F64" i="36" s="1"/>
  <c r="G64" i="36" s="1"/>
  <c r="J16" i="36"/>
  <c r="W16" i="36" s="1"/>
  <c r="G551" i="3"/>
  <c r="BL550" i="3"/>
  <c r="BA550" i="3"/>
  <c r="AZ550" i="3" s="1"/>
  <c r="G578" i="3"/>
  <c r="G562" i="3"/>
  <c r="BA551" i="3"/>
  <c r="AZ551" i="3" s="1"/>
  <c r="BL548" i="3"/>
  <c r="AZ548" i="3" s="1"/>
  <c r="G14" i="3"/>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AZ429" i="3"/>
  <c r="AZ435" i="3"/>
  <c r="AZ444" i="3"/>
  <c r="AZ451" i="3"/>
  <c r="AZ456" i="3"/>
  <c r="AZ458" i="3"/>
  <c r="AZ462" i="3"/>
  <c r="AZ466" i="3"/>
  <c r="AZ469" i="3"/>
  <c r="AZ212" i="3"/>
  <c r="AZ217" i="3"/>
  <c r="AZ228" i="3"/>
  <c r="AZ244" i="3"/>
  <c r="AZ247" i="3"/>
  <c r="AZ260"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AZ23" i="3"/>
  <c r="AZ289" i="3"/>
  <c r="G205" i="3"/>
  <c r="BL205" i="3"/>
  <c r="AZ205" i="3" s="1"/>
  <c r="G18" i="3"/>
  <c r="BL18" i="3"/>
  <c r="AZ18" i="3" s="1"/>
  <c r="BL20" i="3"/>
  <c r="AZ20" i="3" s="1"/>
  <c r="G23" i="3"/>
  <c r="BL23" i="3"/>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W29" i="39"/>
  <c r="P27" i="6"/>
  <c r="D32" i="71"/>
  <c r="C52" i="71"/>
  <c r="U28" i="71"/>
  <c r="C75" i="71"/>
  <c r="C67" i="71"/>
  <c r="AA3" i="71"/>
  <c r="D34" i="71"/>
  <c r="X27" i="71"/>
  <c r="C27" i="71"/>
  <c r="Y37" i="71"/>
  <c r="Z37" i="71" s="1"/>
  <c r="X32" i="71"/>
  <c r="X30" i="71"/>
  <c r="AA30" i="71"/>
  <c r="AA33" i="71"/>
  <c r="B43" i="71"/>
  <c r="B44" i="71" s="1"/>
  <c r="S44" i="71" s="1"/>
  <c r="B47" i="71"/>
  <c r="B48" i="71" s="1"/>
  <c r="S48" i="71" s="1"/>
  <c r="K56" i="9"/>
  <c r="V24" i="71"/>
  <c r="H25" i="34"/>
  <c r="AB25" i="34" s="1"/>
  <c r="AA40" i="34"/>
  <c r="AA36" i="34"/>
  <c r="S42" i="34"/>
  <c r="U42" i="34"/>
  <c r="AB30" i="34"/>
  <c r="AA31" i="34"/>
  <c r="AC14" i="34"/>
  <c r="W19" i="34"/>
  <c r="W41" i="34"/>
  <c r="U39" i="34"/>
  <c r="U31" i="34"/>
  <c r="AB17" i="34"/>
  <c r="AB35" i="34"/>
  <c r="AB13" i="34"/>
  <c r="AC17" i="34"/>
  <c r="AC15" i="34"/>
  <c r="AA33" i="34"/>
  <c r="F90" i="34"/>
  <c r="G90" i="34" s="1"/>
  <c r="H90" i="34" s="1"/>
  <c r="I90" i="34" s="1"/>
  <c r="J90" i="34" s="1"/>
  <c r="K90" i="34" s="1"/>
  <c r="L90" i="34" s="1"/>
  <c r="M90" i="34" s="1"/>
  <c r="H27" i="34"/>
  <c r="AB27" i="34" s="1"/>
  <c r="F27" i="34"/>
  <c r="AA27" i="34" s="1"/>
  <c r="AA47" i="34"/>
  <c r="W46" i="34"/>
  <c r="AC43" i="34"/>
  <c r="S43" i="34"/>
  <c r="AC45" i="34"/>
  <c r="AC28" i="34"/>
  <c r="S28" i="34"/>
  <c r="U25" i="34"/>
  <c r="W25" i="34"/>
  <c r="U15" i="34"/>
  <c r="S17" i="34"/>
  <c r="AA15" i="34"/>
  <c r="B79" i="43"/>
  <c r="D126" i="9"/>
  <c r="I7" i="21"/>
  <c r="E7" i="21"/>
  <c r="G7" i="21"/>
  <c r="C48" i="35"/>
  <c r="D48" i="35" s="1"/>
  <c r="I7" i="35"/>
  <c r="E7" i="35"/>
  <c r="G7" i="35" s="1"/>
  <c r="I7" i="34"/>
  <c r="E7" i="34"/>
  <c r="G7" i="34"/>
  <c r="G7" i="33"/>
  <c r="I7" i="33"/>
  <c r="E7" i="33"/>
  <c r="I7" i="36"/>
  <c r="G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C16" i="15"/>
  <c r="G1" i="73"/>
  <c r="C74" i="71" l="1"/>
  <c r="D74" i="71" s="1"/>
  <c r="D75" i="71"/>
  <c r="T52" i="71"/>
  <c r="D52" i="71"/>
  <c r="AZ422" i="3"/>
  <c r="AZ477" i="3"/>
  <c r="AZ459" i="3"/>
  <c r="AZ442" i="3"/>
  <c r="AZ5" i="3" s="1"/>
  <c r="AC9" i="36"/>
  <c r="W9" i="36"/>
  <c r="AC43" i="21"/>
  <c r="W43" i="21"/>
  <c r="AC12" i="21"/>
  <c r="W12" i="21"/>
  <c r="W12" i="35"/>
  <c r="AC12" i="35"/>
  <c r="BA5" i="3"/>
  <c r="O67" i="71"/>
  <c r="C66" i="71"/>
  <c r="D67" i="71"/>
  <c r="AA34" i="35"/>
  <c r="S34" i="35"/>
  <c r="AB43" i="34"/>
  <c r="U43" i="34"/>
  <c r="W12" i="34"/>
  <c r="AC12" i="34"/>
  <c r="S12" i="35"/>
  <c r="AA12" i="35"/>
  <c r="U27" i="34"/>
  <c r="S27" i="34"/>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3" i="6" l="1"/>
  <c r="AY6" i="3"/>
  <c r="D66" i="71"/>
  <c r="O65" i="71"/>
  <c r="O66" i="7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C8" i="74" l="1"/>
  <c r="C7" i="74"/>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50" i="34"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M48" i="34" l="1"/>
  <c r="M49" i="34" s="1"/>
  <c r="N48" i="34"/>
  <c r="N49" i="34" s="1"/>
  <c r="E10" i="74"/>
  <c r="B10" i="74" s="1"/>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8" i="12" l="1"/>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9" i="68" l="1"/>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92" i="9" l="1"/>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D34" i="9"/>
  <c r="C35" i="9" l="1"/>
  <c r="C34" i="9"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D2" i="34"/>
  <c r="L51" i="15"/>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AO12" i="1"/>
  <c r="AO7" i="1"/>
  <c r="AO10" i="1"/>
  <c r="AO9" i="1"/>
  <c r="AO8" i="1"/>
  <c r="L46" i="15" l="1"/>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C104" i="9" s="1"/>
  <c r="G118" i="9" l="1"/>
  <c r="G4" i="52" s="1"/>
  <c r="B52" i="72" s="1"/>
  <c r="F119" i="9"/>
  <c r="F5" i="52" s="1"/>
  <c r="B53" i="72" s="1"/>
  <c r="H101" i="9"/>
  <c r="I118" i="9"/>
  <c r="D119" i="9"/>
  <c r="D5" i="52" s="1"/>
  <c r="B49" i="72" s="1"/>
  <c r="H119" i="9"/>
  <c r="H5" i="52" s="1"/>
  <c r="H4" i="52"/>
  <c r="D5" i="53" l="1"/>
  <c r="M48" i="9"/>
  <c r="H107" i="9"/>
  <c r="D45" i="9"/>
  <c r="C105" i="9"/>
  <c r="I4" i="52"/>
  <c r="H102" i="9"/>
  <c r="D7" i="53" s="1"/>
  <c r="B21" i="72" s="1"/>
  <c r="E118" i="9"/>
  <c r="E4" i="52" s="1"/>
  <c r="B48" i="72" s="1"/>
  <c r="D53" i="9" l="1"/>
  <c r="C78" i="9"/>
  <c r="C73" i="9" s="1"/>
  <c r="D52" i="9"/>
  <c r="C93" i="9"/>
  <c r="C86" i="9" s="1"/>
  <c r="C72" i="9"/>
  <c r="C64" i="9"/>
  <c r="C63" i="9" s="1"/>
  <c r="C67" i="9" s="1"/>
  <c r="C85" i="9"/>
  <c r="D55" i="9"/>
  <c r="M53" i="9" s="1"/>
  <c r="E14" i="74"/>
  <c r="B5" i="74"/>
  <c r="F14" i="74"/>
  <c r="B20" i="72"/>
  <c r="D6" i="53"/>
  <c r="B22" i="72" s="1"/>
  <c r="D122" i="9"/>
  <c r="D13" i="53"/>
  <c r="M49" i="9"/>
  <c r="B6" i="74"/>
  <c r="H108" i="9"/>
  <c r="D15" i="53" s="1"/>
  <c r="B31" i="72" s="1"/>
  <c r="C79" i="9" l="1"/>
  <c r="C80" i="9" s="1"/>
  <c r="E80" i="9" s="1"/>
  <c r="E81" i="9" s="1"/>
  <c r="C95" i="9"/>
  <c r="C96" i="9" s="1"/>
  <c r="E96" i="9" s="1"/>
  <c r="E97" i="9" s="1"/>
  <c r="L65" i="9"/>
  <c r="M65" i="9" s="1"/>
  <c r="L64" i="9"/>
  <c r="M64" i="9" s="1"/>
  <c r="L67" i="9"/>
  <c r="M67" i="9" s="1"/>
  <c r="L68" i="9"/>
  <c r="M68" i="9" s="1"/>
  <c r="L66" i="9"/>
  <c r="M66" i="9" s="1"/>
  <c r="L63" i="9"/>
  <c r="M63" i="9" s="1"/>
  <c r="M69" i="9" s="1"/>
  <c r="N69" i="9" s="1"/>
  <c r="D5" i="74"/>
  <c r="C5" i="74"/>
  <c r="C68" i="9"/>
  <c r="D54" i="9" s="1"/>
  <c r="D48" i="9" s="1"/>
  <c r="M52" i="9" s="1"/>
  <c r="D59" i="9"/>
  <c r="M55" i="9" s="1"/>
  <c r="D8" i="52"/>
  <c r="D123" i="9"/>
  <c r="D9" i="52" s="1"/>
  <c r="D6" i="74"/>
  <c r="C6" i="74"/>
  <c r="D14" i="53"/>
  <c r="B32" i="72" s="1"/>
  <c r="B30" i="72"/>
  <c r="C81" i="9"/>
  <c r="C97" i="9" l="1"/>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<sst xmlns="http://schemas.openxmlformats.org/spreadsheetml/2006/main" count="8343" uniqueCount="3597">
  <si>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</si>
  <si>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</si>
  <si>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</si>
  <si>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</si>
  <si>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</si>
  <si>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</si>
  <si>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</si>
  <si>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</si>
  <si>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</si>
  <si>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</si>
  <si>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</si>
  <si>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</si>
  <si>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</si>
  <si>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</si>
  <si>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</si>
  <si>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</si>
  <si>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</si>
  <si>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</si>
  <si>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</si>
  <si>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</si>
  <si>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</si>
  <si>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</si>
  <si>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</si>
  <si>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</si>
  <si>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</si>
  <si>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</si>
  <si>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</si>
  <si>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</si>
  <si>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</si>
  <si>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</si>
  <si>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</si>
  <si>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</si>
  <si>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</si>
  <si>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</si>
  <si>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</si>
  <si>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</si>
  <si>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</si>
  <si>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</si>
  <si>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</si>
  <si>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</si>
  <si>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</si>
  <si>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</si>
  <si>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</si>
  <si>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</si>
  <si>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</si>
  <si>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</si>
  <si>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</si>
  <si>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</si>
  <si>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</si>
  <si>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</si>
  <si>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</si>
  <si>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</si>
  <si>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</si>
  <si>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</si>
  <si>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</si>
  <si>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</si>
  <si>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</si>
  <si>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</si>
  <si>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</si>
  <si>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</si>
  <si>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</si>
  <si>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</si>
  <si>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</si>
  <si>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</si>
  <si>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</si>
  <si>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</si>
  <si>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</si>
  <si>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</si>
  <si>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</si>
  <si>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</si>
  <si>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</si>
  <si>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</si>
  <si>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</si>
  <si>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</si>
  <si>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</si>
  <si>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</si>
  <si>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</si>
  <si>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</si>
  <si>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</si>
  <si>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</si>
  <si>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</si>
  <si>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</si>
  <si>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</si>
  <si>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</si>
  <si>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</si>
  <si>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</si>
  <si>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</si>
  <si>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</si>
  <si>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</si>
  <si>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</si>
  <si>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</si>
  <si>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</si>
  <si>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</si>
  <si>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</si>
  <si>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</si>
  <si>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</si>
  <si>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</si>
  <si>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</si>
  <si>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</si>
  <si>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</si>
  <si>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</si>
  <si>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</si>
  <si>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</si>
  <si>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</si>
  <si>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</si>
  <si>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</si>
  <si>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</si>
  <si>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</si>
  <si>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</si>
  <si>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</si>
  <si>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</si>
  <si>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</si>
  <si>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</si>
  <si>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</si>
  <si>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</si>
  <si>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</si>
  <si>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</si>
  <si>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</si>
  <si>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</si>
  <si>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</si>
  <si>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</si>
  <si>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</si>
  <si>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</si>
  <si>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</si>
  <si>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</si>
  <si>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</si>
  <si>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</si>
  <si>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</si>
  <si>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</si>
  <si>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</si>
  <si>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</si>
  <si>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</si>
  <si>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</si>
  <si>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</si>
  <si>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</si>
  <si>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</si>
  <si>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</si>
  <si>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</si>
  <si>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</si>
  <si>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</si>
  <si>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</si>
  <si>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</si>
  <si>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</si>
  <si>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</si>
  <si>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</si>
  <si>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</si>
  <si>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</si>
  <si>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</si>
  <si>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</si>
  <si>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</si>
  <si>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</si>
  <si>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</si>
  <si>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</si>
  <si>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</si>
  <si>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</si>
  <si>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</si>
  <si>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</si>
  <si>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</si>
  <si>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</si>
  <si>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</si>
  <si>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</si>
  <si>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</si>
  <si>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</si>
  <si>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</si>
  <si>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</si>
  <si>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</si>
  <si>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</si>
  <si>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</si>
  <si>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</si>
  <si>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</si>
  <si>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</si>
  <si>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</si>
  <si>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</si>
  <si>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</si>
  <si>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</si>
  <si>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</si>
  <si>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</si>
  <si>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</si>
  <si>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</si>
  <si>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</si>
  <si>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</si>
  <si>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</si>
  <si>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</si>
  <si>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</si>
  <si>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</si>
  <si>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</si>
  <si>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</si>
  <si>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</si>
  <si>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</si>
  <si>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</si>
  <si>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</si>
  <si>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</si>
  <si>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</si>
  <si>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</si>
  <si>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</si>
  <si>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</si>
  <si>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</si>
  <si>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</si>
  <si>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</si>
  <si>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</si>
  <si>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</si>
  <si>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</si>
  <si>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</si>
  <si>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</si>
  <si>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</si>
  <si>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</si>
  <si>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</si>
  <si>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</si>
  <si>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</si>
  <si>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</si>
  <si>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</si>
  <si>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</si>
  <si>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</si>
  <si>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</si>
  <si>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</si>
  <si>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</si>
  <si>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</si>
  <si>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</si>
  <si>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</si>
  <si>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</si>
  <si>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</si>
  <si>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</si>
  <si>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</si>
  <si>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</si>
  <si>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</si>
  <si>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</si>
  <si>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</si>
  <si>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</si>
  <si>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</si>
  <si>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</si>
  <si>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</si>
  <si>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</si>
  <si>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</si>
  <si>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</si>
  <si>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</si>
  <si>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</si>
  <si>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</si>
  <si>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</si>
  <si>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</si>
  <si>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</si>
  <si>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</si>
  <si>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</si>
  <si>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</si>
  <si>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</si>
  <si>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</si>
  <si>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</si>
  <si>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</si>
  <si>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</si>
  <si>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</si>
  <si>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</si>
  <si>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</si>
  <si>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</si>
  <si>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</si>
  <si>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</si>
  <si>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</si>
  <si>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</si>
  <si>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</si>
  <si>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</si>
  <si>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</si>
  <si>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</si>
  <si>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</si>
  <si>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</si>
  <si>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</si>
  <si>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</si>
  <si>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</si>
  <si>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</si>
  <si>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</si>
  <si>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</si>
  <si>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</si>
  <si>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</si>
  <si>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</si>
  <si>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</si>
  <si>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</si>
  <si>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</si>
  <si>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</si>
  <si>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</si>
  <si>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</si>
  <si>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</si>
  <si>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</si>
  <si>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</si>
  <si>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</si>
  <si>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</si>
  <si>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</si>
  <si>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</si>
  <si>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</si>
  <si>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</si>
  <si>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</si>
  <si>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</si>
  <si>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</si>
  <si>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</si>
  <si>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</si>
  <si>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</si>
  <si>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</si>
  <si>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</si>
  <si>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</si>
  <si>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</si>
  <si>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</si>
  <si>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</si>
  <si>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</si>
  <si>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</si>
  <si>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</si>
  <si>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</si>
  <si>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</si>
  <si>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</si>
  <si>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</si>
  <si>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</si>
  <si>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</si>
  <si>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</si>
  <si>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</si>
  <si>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</si>
  <si>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</si>
  <si>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</si>
  <si>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</si>
  <si>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</si>
  <si>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</si>
  <si>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</si>
  <si>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</si>
  <si>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</si>
  <si>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</si>
  <si>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</si>
  <si>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</si>
  <si>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</si>
  <si>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</si>
  <si>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</si>
  <si>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</si>
  <si>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</si>
  <si>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</si>
  <si>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</si>
  <si>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</si>
  <si>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</si>
  <si>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</si>
  <si>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</si>
  <si>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</si>
  <si>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</si>
  <si>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</si>
  <si>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</si>
  <si>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</si>
  <si>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</si>
  <si>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</si>
  <si>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</si>
  <si>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</si>
  <si>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</si>
  <si>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</si>
  <si>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</si>
  <si>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</si>
  <si>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</si>
  <si>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</si>
  <si>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</si>
  <si>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</si>
  <si>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</si>
  <si>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</si>
  <si>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</si>
  <si>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</si>
  <si>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</si>
  <si>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</si>
  <si>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</si>
  <si>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</si>
  <si>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</si>
  <si>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</si>
  <si>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</si>
  <si>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</si>
  <si>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</si>
  <si>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</si>
  <si>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</si>
  <si>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</si>
  <si>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</si>
  <si>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</si>
  <si>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</si>
  <si>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</si>
  <si>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</si>
  <si>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</si>
  <si>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</si>
  <si>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</si>
  <si>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</si>
  <si>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</si>
  <si>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</si>
  <si>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</si>
  <si>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</si>
  <si>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</si>
  <si>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</si>
  <si>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</si>
  <si>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</si>
  <si>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</si>
  <si>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</si>
  <si>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</si>
  <si>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</si>
  <si>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</si>
  <si>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</si>
  <si>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</si>
  <si>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</si>
  <si>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</si>
  <si>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</si>
  <si>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</si>
  <si>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</si>
  <si>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</si>
  <si>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</si>
  <si>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</si>
  <si>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</si>
  <si>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</si>
  <si>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</si>
  <si>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</si>
  <si>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</si>
  <si>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</si>
  <si>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</si>
  <si>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</si>
  <si>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</si>
  <si>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</si>
  <si>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</si>
  <si>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</si>
  <si>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</si>
  <si>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</si>
  <si>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</si>
  <si>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</si>
  <si>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</si>
  <si>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</si>
  <si>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</si>
  <si>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</si>
  <si>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</si>
  <si>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</si>
  <si>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</si>
  <si>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</si>
  <si>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</si>
  <si>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</si>
  <si>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</si>
  <si>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</si>
  <si>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</si>
  <si>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</si>
  <si>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</si>
  <si>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</si>
  <si>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</si>
  <si>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</si>
  <si>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</si>
  <si>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</si>
  <si>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</si>
  <si>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</si>
  <si>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</si>
  <si>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</si>
  <si>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</si>
  <si>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</si>
  <si>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</si>
  <si>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</si>
  <si>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</si>
  <si>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</si>
  <si>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</si>
  <si>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</si>
  <si>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</si>
  <si>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</si>
  <si>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</si>
  <si>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</si>
  <si>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</si>
  <si>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</si>
  <si>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</si>
  <si>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</si>
  <si>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</si>
  <si>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</si>
  <si>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</si>
  <si>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</si>
  <si>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</si>
  <si>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</si>
  <si>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</si>
  <si>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</si>
  <si>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</si>
  <si>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</si>
  <si>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</si>
  <si>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</si>
  <si>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</si>
  <si>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</si>
  <si>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</si>
  <si>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</si>
  <si>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</si>
  <si>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</si>
  <si>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</si>
  <si>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</si>
  <si>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</si>
  <si>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</si>
  <si>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</si>
  <si>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</si>
  <si>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</si>
  <si>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</si>
  <si>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</si>
  <si>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</si>
  <si>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</si>
  <si>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</si>
  <si>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</si>
  <si>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</si>
  <si>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</si>
  <si>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</si>
  <si>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</si>
  <si>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</si>
  <si>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</si>
  <si>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</si>
  <si>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</si>
  <si>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</si>
  <si>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</si>
  <si>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</si>
  <si>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</si>
  <si>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</si>
  <si>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</si>
  <si>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</si>
  <si>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</si>
  <si>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</si>
  <si>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</si>
  <si>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</si>
  <si>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</si>
  <si>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</si>
  <si>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</si>
  <si>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</si>
  <si>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</si>
  <si>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</si>
  <si>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</si>
  <si>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</si>
  <si>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</si>
  <si>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</si>
  <si>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</si>
  <si>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</si>
  <si>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</si>
  <si>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</si>
  <si>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</si>
  <si>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</si>
  <si>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</si>
  <si>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</si>
  <si>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</si>
  <si>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</si>
  <si>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</si>
  <si>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</si>
  <si>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</si>
  <si>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</si>
  <si>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</si>
  <si>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</si>
  <si>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</si>
  <si>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</si>
  <si>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</si>
  <si>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</si>
  <si>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</si>
  <si>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</si>
  <si>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</si>
  <si>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</si>
  <si>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</si>
  <si>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</si>
  <si>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</si>
  <si>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</si>
  <si>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</si>
  <si>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</si>
  <si>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</si>
  <si>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</si>
  <si>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</si>
  <si>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</si>
  <si>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</si>
  <si>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</si>
  <si>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</si>
  <si>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</si>
  <si>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</si>
  <si>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</si>
  <si>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</si>
  <si>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</si>
  <si>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</si>
  <si>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</si>
  <si>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</si>
  <si>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</si>
  <si>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</si>
  <si>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</si>
  <si>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</si>
  <si>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</si>
  <si>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</si>
  <si>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</si>
  <si>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</si>
  <si>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</si>
  <si>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</si>
  <si>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</si>
  <si>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</si>
  <si>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</si>
  <si>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</si>
  <si>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</si>
  <si>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</si>
  <si>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</si>
  <si>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</si>
  <si>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</si>
  <si>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</si>
  <si>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</si>
  <si>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</si>
  <si>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</si>
  <si>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</si>
  <si>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</si>
  <si>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</si>
  <si>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</si>
  <si>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</si>
  <si>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</si>
  <si>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</si>
  <si>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</si>
  <si>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</si>
  <si>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</si>
  <si>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</si>
  <si>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</si>
  <si>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</si>
  <si>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</si>
  <si>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</si>
  <si>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</si>
  <si>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</si>
  <si>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</si>
  <si>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</si>
  <si>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</si>
  <si>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</si>
  <si>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</si>
  <si>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</si>
  <si>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</si>
  <si>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</si>
  <si>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</si>
  <si>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</si>
  <si>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</si>
  <si>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</si>
  <si>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</si>
  <si>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</si>
  <si>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</si>
  <si>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</si>
  <si>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</si>
  <si>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</si>
  <si>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</si>
  <si>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</si>
  <si>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</si>
  <si>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</si>
  <si>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</si>
  <si>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</si>
  <si>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</si>
  <si>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</si>
  <si>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</si>
  <si>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</si>
  <si>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</si>
  <si>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</si>
  <si>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</si>
  <si>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</si>
  <si>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</si>
  <si>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</si>
  <si>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</si>
  <si>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</si>
  <si>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</si>
  <si>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</si>
  <si>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</si>
  <si>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</si>
  <si>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</si>
  <si>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</si>
  <si>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</si>
  <si>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</si>
  <si>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</si>
  <si>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</si>
  <si>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</si>
  <si>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</si>
  <si>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</si>
  <si>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</si>
  <si>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</si>
  <si>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</si>
  <si>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</si>
  <si>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</si>
  <si>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</si>
  <si>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</si>
  <si>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</si>
  <si>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</si>
  <si>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</si>
  <si>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</si>
  <si>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</si>
  <si>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</si>
  <si>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</si>
  <si>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</si>
  <si>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</si>
  <si>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</si>
  <si>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</si>
  <si>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</si>
  <si>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</si>
  <si>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</si>
  <si>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</si>
  <si>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</si>
  <si>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</si>
  <si>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</si>
  <si>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</si>
  <si>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</si>
  <si>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</si>
  <si>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</si>
  <si>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</si>
  <si>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</si>
  <si>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</si>
  <si>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</si>
  <si>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</si>
  <si>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</si>
  <si>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</si>
  <si>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</si>
  <si>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</si>
  <si>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</si>
  <si>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</si>
  <si>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</si>
  <si>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</si>
  <si>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</si>
  <si>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</si>
  <si>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</si>
  <si>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</si>
  <si>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</si>
  <si>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</si>
  <si>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</si>
  <si>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</si>
  <si>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</si>
  <si>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</si>
  <si>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</si>
  <si>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</si>
  <si>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</si>
  <si>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</si>
  <si>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</si>
  <si>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</si>
  <si>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</si>
  <si>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</si>
  <si>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</si>
  <si>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</si>
  <si>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</si>
  <si>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</si>
  <si>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</si>
  <si>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</si>
  <si>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</si>
  <si>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</si>
  <si>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</si>
  <si>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</si>
  <si>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</si>
  <si>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</si>
  <si>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</si>
  <si>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</si>
  <si>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</si>
  <si>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</si>
  <si>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</si>
  <si>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</si>
  <si>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</si>
  <si>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</si>
  <si>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</si>
  <si>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</si>
  <si>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</si>
  <si>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</si>
  <si>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</si>
  <si>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</si>
  <si>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</si>
  <si>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</si>
  <si>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</si>
  <si>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</si>
  <si>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</si>
  <si>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</si>
  <si>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</si>
  <si>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</si>
  <si>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</si>
  <si>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</si>
  <si>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</si>
  <si>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</si>
  <si>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</si>
  <si>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</si>
  <si>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</si>
  <si>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</si>
  <si>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</si>
  <si>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</si>
  <si>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</si>
  <si>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</si>
  <si>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</si>
  <si>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</si>
  <si>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</si>
  <si>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</si>
  <si>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</si>
  <si>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</si>
  <si>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</si>
  <si>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</si>
  <si>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</si>
  <si>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</si>
  <si>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</si>
  <si>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</si>
  <si>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</si>
  <si>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</si>
  <si>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</si>
  <si>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</si>
  <si>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</si>
  <si>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</si>
  <si>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</si>
  <si>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</si>
  <si>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</si>
  <si>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</si>
  <si>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</si>
  <si>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</si>
  <si>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</si>
  <si>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</si>
  <si>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</si>
  <si>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</si>
  <si>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</si>
  <si>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</si>
  <si>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</si>
  <si>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</si>
  <si>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</si>
  <si>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</si>
  <si>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</si>
  <si>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</si>
  <si>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</si>
  <si>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</si>
  <si>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</si>
  <si>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</si>
  <si>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</si>
  <si>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</si>
  <si>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</si>
  <si>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</si>
  <si>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</si>
  <si>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</si>
  <si>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</si>
  <si>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</si>
  <si>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</si>
  <si>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</si>
  <si>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</si>
  <si>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</si>
  <si>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</si>
  <si>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</si>
  <si>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</si>
  <si>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</si>
  <si>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</si>
  <si>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</si>
  <si>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</si>
  <si>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</si>
  <si>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</si>
  <si>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</si>
  <si>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</si>
  <si>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</si>
  <si>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</si>
  <si>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</si>
  <si>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</si>
  <si>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</si>
  <si>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</si>
  <si>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</si>
  <si>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</si>
  <si>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</si>
  <si>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</si>
  <si>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</si>
  <si>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</si>
  <si>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</si>
  <si>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</si>
  <si>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</si>
  <si>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</si>
  <si>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</si>
  <si>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</si>
  <si>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</si>
  <si>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</si>
  <si>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</si>
  <si>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</si>
  <si>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</si>
  <si>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</si>
  <si>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</si>
  <si>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</si>
  <si>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</si>
  <si>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</si>
  <si>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</si>
  <si>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</si>
  <si>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</si>
  <si>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</si>
  <si>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</si>
  <si>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</si>
  <si>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</si>
  <si>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</si>
  <si>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</si>
  <si>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</si>
  <si>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</si>
  <si>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</si>
  <si>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</si>
  <si>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</si>
  <si>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</si>
  <si>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</si>
  <si>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</si>
  <si>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</si>
  <si>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</si>
  <si>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</si>
  <si>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</si>
  <si>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</si>
  <si>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</si>
  <si>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</si>
  <si>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</si>
  <si>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</si>
  <si>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</si>
  <si>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</si>
  <si>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</si>
  <si>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</si>
  <si>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</si>
  <si>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</si>
  <si>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</si>
  <si>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</si>
  <si>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</si>
  <si>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</si>
  <si>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</si>
  <si>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</si>
  <si>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</si>
  <si>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</si>
  <si>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</si>
  <si>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</si>
  <si>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</si>
  <si>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</si>
  <si>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</si>
  <si>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</si>
  <si>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</si>
  <si>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</si>
  <si>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</si>
  <si>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</si>
  <si>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</si>
  <si>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</si>
  <si>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</si>
  <si>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</si>
  <si>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</si>
  <si>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</si>
  <si>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</si>
  <si>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</si>
  <si>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</si>
  <si>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</si>
  <si>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</si>
  <si>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</si>
  <si>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</si>
  <si>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</si>
  <si>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</si>
  <si>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</si>
  <si>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</si>
  <si>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</si>
  <si>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</si>
  <si>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</si>
  <si>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</si>
  <si>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</si>
  <si>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</si>
  <si>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</si>
  <si>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</si>
  <si>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</si>
  <si>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</si>
  <si>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</si>
  <si>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</si>
  <si>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</si>
  <si>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</si>
  <si>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</si>
  <si>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</si>
  <si>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</si>
  <si>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</si>
  <si>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</si>
  <si>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</si>
  <si>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</si>
  <si>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</si>
  <si>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</si>
  <si>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</si>
  <si>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</si>
  <si>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</si>
  <si>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</si>
  <si>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</si>
  <si>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</si>
  <si>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</si>
  <si>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</si>
  <si>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</si>
  <si>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</si>
  <si>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</si>
  <si>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</si>
  <si>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</si>
  <si>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</si>
  <si>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</si>
  <si>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</si>
  <si>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</si>
  <si>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</si>
  <si>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</si>
  <si>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</si>
  <si>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</si>
  <si>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</si>
  <si>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</si>
  <si>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</si>
  <si>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</si>
  <si>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</si>
  <si>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</si>
  <si>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</si>
  <si>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</si>
  <si>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</si>
  <si>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</si>
  <si>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</si>
  <si>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</si>
  <si>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</si>
  <si>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</si>
  <si>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</si>
  <si>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</si>
  <si>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</si>
  <si>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</si>
  <si>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</si>
  <si>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</si>
  <si>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</si>
  <si>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</si>
  <si>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</si>
  <si>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</si>
  <si>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</si>
  <si>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</si>
  <si>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</si>
  <si>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</si>
  <si>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</si>
  <si>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</si>
  <si>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</si>
  <si>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</si>
  <si>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</si>
  <si>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</si>
  <si>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</si>
  <si>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</si>
  <si>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</si>
  <si>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</si>
  <si>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</si>
  <si>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</si>
  <si>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</si>
  <si>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</si>
  <si>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</si>
  <si>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</si>
  <si>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</si>
  <si>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</si>
  <si>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</si>
  <si>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</si>
  <si>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</si>
  <si>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</si>
  <si>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</si>
  <si>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</si>
  <si>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</si>
  <si>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</si>
  <si>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</si>
  <si>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</si>
  <si>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</si>
  <si>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</si>
  <si>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</si>
  <si>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</si>
  <si>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</si>
  <si>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</si>
  <si>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</si>
  <si>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</si>
  <si>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</si>
  <si>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</si>
  <si>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</si>
  <si>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</si>
  <si>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</si>
  <si>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</si>
  <si>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</si>
  <si>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</si>
  <si>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</si>
  <si>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</si>
  <si>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</si>
  <si>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</si>
  <si>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</si>
  <si>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</si>
  <si>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</si>
  <si>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</si>
  <si>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</si>
  <si>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</si>
  <si>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</si>
  <si>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</si>
  <si>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</si>
  <si>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</si>
  <si>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</si>
  <si>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</si>
  <si>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</si>
  <si>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</si>
  <si>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</si>
  <si>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</si>
  <si>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</si>
  <si>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</si>
  <si>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</si>
  <si>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</si>
  <si>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</si>
  <si>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</si>
  <si>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</si>
  <si>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</si>
  <si>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</si>
  <si>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</si>
  <si>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</si>
  <si>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</si>
  <si>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</si>
  <si>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</si>
  <si>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</si>
  <si>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</si>
  <si>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</si>
  <si>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</si>
  <si>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</si>
  <si>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</si>
  <si>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</si>
  <si>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</si>
  <si>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</si>
  <si>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</si>
  <si>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</si>
  <si>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</si>
  <si>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</si>
  <si>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</si>
  <si>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</si>
  <si>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</si>
  <si>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</si>
  <si>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</si>
  <si>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</si>
  <si>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</si>
  <si>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</si>
  <si>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</si>
  <si>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</si>
  <si>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</si>
  <si>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</si>
  <si>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</si>
  <si>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</si>
  <si>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</si>
  <si>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</si>
  <si>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</si>
  <si>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</si>
  <si>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</si>
  <si>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</si>
  <si>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</si>
  <si>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</si>
  <si>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</si>
  <si>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</si>
  <si>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</si>
  <si>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</si>
  <si>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</si>
  <si>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</si>
  <si>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</si>
  <si>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</si>
  <si>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</si>
  <si>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</si>
  <si>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</si>
  <si>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</si>
  <si>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</si>
  <si>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</si>
  <si>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</si>
  <si>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</si>
  <si>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</si>
  <si>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</si>
  <si>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</si>
  <si>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</si>
  <si>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</si>
  <si>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</si>
  <si>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</si>
  <si>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</si>
  <si>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</si>
  <si>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</si>
  <si>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</si>
  <si>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</si>
  <si>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</si>
  <si>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</si>
  <si>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</si>
  <si>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</si>
  <si>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</si>
  <si>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</si>
  <si>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</si>
  <si>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</si>
  <si>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</si>
  <si>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</si>
  <si>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</si>
  <si>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</si>
  <si>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</si>
  <si>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</si>
  <si>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</si>
  <si>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</si>
  <si>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</si>
  <si>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</si>
  <si>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</si>
  <si>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</si>
  <si>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</si>
  <si>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</si>
  <si>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</si>
  <si>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</si>
  <si>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</si>
  <si>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</si>
  <si>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</si>
  <si>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</si>
  <si>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</si>
  <si>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</si>
  <si>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</si>
  <si>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</si>
  <si>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</si>
  <si>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</si>
  <si>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</si>
  <si>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</si>
  <si>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</si>
  <si>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</si>
  <si>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</si>
  <si>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</si>
  <si>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</si>
  <si>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</si>
  <si>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</si>
  <si>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</si>
  <si>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</si>
  <si>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</si>
  <si>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</si>
  <si>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</si>
  <si>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</si>
  <si>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</si>
  <si>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</si>
  <si>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</si>
  <si>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</si>
  <si>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</si>
  <si>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</si>
  <si>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</si>
  <si>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</si>
  <si>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</si>
  <si>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</si>
  <si>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</si>
  <si>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</si>
  <si>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</si>
  <si>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</si>
  <si>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</si>
  <si>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</si>
  <si>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</si>
  <si>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</si>
  <si>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</si>
  <si>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</si>
  <si>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</si>
  <si>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</si>
  <si>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</si>
  <si>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</si>
  <si>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</si>
  <si>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</si>
  <si>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</si>
  <si>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</si>
  <si>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</si>
  <si>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</si>
  <si>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</si>
  <si>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</si>
  <si>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</si>
  <si>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</si>
  <si>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</si>
  <si>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</si>
  <si>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</si>
  <si>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</si>
  <si>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</si>
  <si>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</si>
  <si>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</si>
  <si>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</si>
  <si>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</si>
  <si>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</si>
  <si>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</si>
  <si>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</si>
  <si>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</si>
  <si>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</si>
  <si>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</si>
  <si>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</si>
  <si>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</si>
  <si>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</si>
  <si>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</si>
  <si>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</si>
  <si>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</si>
  <si>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</si>
  <si>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</si>
  <si>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</si>
  <si>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</si>
  <si>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</si>
  <si>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</si>
  <si>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</si>
  <si>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</si>
  <si>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</si>
  <si>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</si>
  <si>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</si>
  <si>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</si>
  <si>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</si>
  <si>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</si>
  <si>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</si>
  <si>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</si>
  <si>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</si>
  <si>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</si>
  <si>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</si>
  <si>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</si>
  <si>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</si>
  <si>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</si>
  <si>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</si>
  <si>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</si>
  <si>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</si>
  <si>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</si>
  <si>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</si>
  <si>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</si>
  <si>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</si>
  <si>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</si>
  <si>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</si>
  <si>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</si>
  <si>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</si>
  <si>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</si>
  <si>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</si>
  <si>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</si>
  <si>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</si>
  <si>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</si>
  <si>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</si>
  <si>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</si>
  <si>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</si>
  <si>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</si>
  <si>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</si>
  <si>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</si>
  <si>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</si>
  <si>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</si>
  <si>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</si>
  <si>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</si>
  <si>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</si>
  <si>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</si>
  <si>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</si>
  <si>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</si>
  <si>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</si>
  <si>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</si>
  <si>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</si>
  <si>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</si>
  <si>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</si>
  <si>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</si>
  <si>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</si>
  <si>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</si>
  <si>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</si>
  <si>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</si>
  <si>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</si>
  <si>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</si>
  <si>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</si>
  <si>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</si>
  <si>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</si>
  <si>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</si>
  <si>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</si>
  <si>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</si>
  <si>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</si>
  <si>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</si>
  <si>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</si>
  <si>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</si>
  <si>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</si>
  <si>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</si>
  <si>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</si>
  <si>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</si>
  <si>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</si>
  <si>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</si>
  <si>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</si>
  <si>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</si>
  <si>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</si>
  <si>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</si>
  <si>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</si>
  <si>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</si>
  <si>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</si>
  <si>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</si>
  <si>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</si>
  <si>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</si>
  <si>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</si>
  <si>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</si>
  <si>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</si>
  <si>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</si>
  <si>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</si>
  <si>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</si>
  <si>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</si>
  <si>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</si>
  <si>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</si>
  <si>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</si>
  <si>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</si>
  <si>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</si>
  <si>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</si>
  <si>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</si>
  <si>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</si>
  <si>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</si>
  <si>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</si>
  <si>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</si>
  <si>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</si>
  <si>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</si>
  <si>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</si>
  <si>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</si>
  <si>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</si>
  <si>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</si>
  <si>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</si>
  <si>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</si>
  <si>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</si>
  <si>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</si>
  <si>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</si>
  <si>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</si>
  <si>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</si>
  <si>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</si>
  <si>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</si>
  <si>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</si>
  <si>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</si>
  <si>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</si>
  <si>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</si>
  <si>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</si>
  <si>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</si>
  <si>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</si>
  <si>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</si>
  <si>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</si>
  <si>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</si>
  <si>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</si>
  <si>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</si>
  <si>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</si>
  <si>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</si>
  <si>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</si>
  <si>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</si>
  <si>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</si>
  <si>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</si>
  <si>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</si>
  <si>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</si>
  <si>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</si>
  <si>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</si>
  <si>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</si>
  <si>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</si>
  <si>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</si>
  <si>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</si>
  <si>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</si>
  <si>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</si>
  <si>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</si>
  <si>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</si>
  <si>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</si>
  <si>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</si>
  <si>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</si>
  <si>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</si>
  <si>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</si>
  <si>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</si>
  <si>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</si>
  <si>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</si>
  <si>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</si>
  <si>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</si>
  <si>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</si>
  <si>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</si>
  <si>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</si>
  <si>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</si>
  <si>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</si>
  <si>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</si>
  <si>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</si>
  <si>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</si>
  <si>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</si>
  <si>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</si>
  <si>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</si>
  <si>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</si>
  <si>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</si>
  <si>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</si>
  <si>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</si>
  <si>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</si>
  <si>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</si>
  <si>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</si>
  <si>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</si>
  <si>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</si>
  <si>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</si>
  <si>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</si>
  <si>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</si>
  <si>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</si>
  <si>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</si>
  <si>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</si>
  <si>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</si>
  <si>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</si>
  <si>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</si>
  <si>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</si>
  <si>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</si>
  <si>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</si>
  <si>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</si>
  <si>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</si>
  <si>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</si>
  <si>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</si>
  <si>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</si>
  <si>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</si>
  <si>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</si>
  <si>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</si>
  <si>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</si>
  <si>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</si>
  <si>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</si>
  <si>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</si>
  <si>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</si>
  <si>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</si>
  <si>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</si>
  <si>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</si>
  <si>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</si>
  <si>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</si>
  <si>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</si>
  <si>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</si>
  <si>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</si>
  <si>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</si>
  <si>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</si>
  <si>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</si>
  <si>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</si>
  <si>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</si>
  <si>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</si>
  <si>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</si>
  <si>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</si>
  <si>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</si>
  <si>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</si>
  <si>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</si>
  <si>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</si>
  <si>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</si>
  <si>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</si>
  <si>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</si>
  <si>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</si>
  <si>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</si>
  <si>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</si>
  <si>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</si>
  <si>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</si>
  <si>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</si>
  <si>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</si>
  <si>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</si>
  <si>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</si>
  <si>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</si>
  <si>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</si>
  <si>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</si>
  <si>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</si>
  <si>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</si>
  <si>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</si>
  <si>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</si>
  <si>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</si>
  <si>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</si>
  <si>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</si>
  <si>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</si>
  <si>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</si>
  <si>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</si>
  <si>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</si>
  <si>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</si>
  <si>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</si>
  <si>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</si>
  <si>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</si>
  <si>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</si>
  <si>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</si>
  <si>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</si>
  <si>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</si>
  <si>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</si>
  <si>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</si>
  <si>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</si>
  <si>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</si>
  <si>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</si>
  <si>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</si>
  <si>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</si>
  <si>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</si>
  <si>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</si>
  <si>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</si>
  <si>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</si>
  <si>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</si>
  <si>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</si>
  <si>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</si>
  <si>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</si>
  <si>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</si>
  <si>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</si>
  <si>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</si>
  <si>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</si>
  <si>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</si>
  <si>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</si>
  <si>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</si>
  <si>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</si>
  <si>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</si>
  <si>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</si>
  <si>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</si>
  <si>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</si>
  <si>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</si>
  <si>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</si>
  <si>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</si>
  <si>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</si>
  <si>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</si>
  <si>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</si>
  <si>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</si>
  <si>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</si>
  <si>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</si>
  <si>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</si>
  <si>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</si>
  <si>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</si>
  <si>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</si>
  <si>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</si>
  <si>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</si>
  <si>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</si>
  <si>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</si>
  <si>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</si>
  <si>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</si>
  <si>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</si>
  <si>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</si>
  <si>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</si>
  <si>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</si>
  <si>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</si>
  <si>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</si>
  <si>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</si>
  <si>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</si>
  <si>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</si>
  <si>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</si>
  <si>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</si>
  <si>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</si>
  <si>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</si>
  <si>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</si>
  <si>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</si>
  <si>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</si>
  <si>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</si>
  <si>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</si>
  <si>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</si>
  <si>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</si>
  <si>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</si>
  <si>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</si>
  <si>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</si>
  <si>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</si>
  <si>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</si>
  <si>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</si>
  <si>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</si>
  <si>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</si>
  <si>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</si>
  <si>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</si>
  <si>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</si>
  <si>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</si>
  <si>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</si>
  <si>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</si>
  <si>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</si>
  <si>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</si>
  <si>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</si>
  <si>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</si>
  <si>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</si>
  <si>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</si>
  <si>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</si>
  <si>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</si>
  <si>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</si>
  <si>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</si>
  <si>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</si>
  <si>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</si>
  <si>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</si>
  <si>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</si>
  <si>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</si>
  <si>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</si>
  <si>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</si>
  <si>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</si>
  <si>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</si>
  <si>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</si>
  <si>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</si>
  <si>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</si>
  <si>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</si>
  <si>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</si>
  <si>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</si>
  <si>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</si>
  <si>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</si>
  <si>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</si>
  <si>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</si>
  <si>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</si>
  <si>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</si>
  <si>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</si>
  <si>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</si>
  <si>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</si>
  <si>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</si>
  <si>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</si>
  <si>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</si>
  <si>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</si>
  <si>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</si>
  <si>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</si>
  <si>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</si>
  <si>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</si>
  <si>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</si>
  <si>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</si>
  <si>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</si>
  <si>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</si>
  <si>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</si>
  <si>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</si>
  <si>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</si>
  <si>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</si>
  <si>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</si>
  <si>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</si>
  <si>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</si>
  <si>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</si>
  <si>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</si>
  <si>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</si>
  <si>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</si>
  <si>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</si>
  <si>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</si>
  <si>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</si>
  <si>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</si>
  <si>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</si>
  <si>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</si>
  <si>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</si>
  <si>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</si>
  <si>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</si>
  <si>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</si>
  <si>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</si>
  <si>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</si>
  <si>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</si>
  <si>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</si>
  <si>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</si>
  <si>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</si>
  <si>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</si>
  <si>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</si>
  <si>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</si>
  <si>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</si>
  <si>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</si>
  <si>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</si>
  <si>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</si>
  <si>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</si>
  <si>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</si>
  <si>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</si>
  <si>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</si>
  <si>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</si>
  <si>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</si>
  <si>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</si>
  <si>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</si>
  <si>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</si>
  <si>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</si>
  <si>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</si>
  <si>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</si>
  <si>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</si>
  <si>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</si>
  <si>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</si>
  <si>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</si>
  <si>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</si>
  <si>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</si>
  <si>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</si>
  <si>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</si>
  <si>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</si>
  <si>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</si>
  <si>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</si>
  <si>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</si>
  <si>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</si>
  <si>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</si>
  <si>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</si>
  <si>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</si>
  <si>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</si>
  <si>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</si>
  <si>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</si>
  <si>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</si>
  <si>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</si>
  <si>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</si>
  <si>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</si>
  <si>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</si>
  <si>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</si>
  <si>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</si>
  <si>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</si>
  <si>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</si>
  <si>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</si>
  <si>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</si>
  <si>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</si>
  <si>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</si>
  <si>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</si>
  <si>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</si>
  <si>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</si>
  <si>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</si>
  <si>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</si>
  <si>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</si>
  <si>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</si>
  <si>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</si>
  <si>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</si>
  <si>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</si>
  <si>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</si>
  <si>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</si>
  <si>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</si>
  <si>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</si>
  <si>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</si>
  <si>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</si>
  <si>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</si>
  <si>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</si>
  <si>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</si>
  <si>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</si>
  <si>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</si>
  <si>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</si>
  <si>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</si>
  <si>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</si>
  <si>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</si>
  <si>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</si>
  <si>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</si>
  <si>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</si>
  <si>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</si>
  <si>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</si>
  <si>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</si>
  <si>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</si>
  <si>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</si>
  <si>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</si>
  <si>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</si>
  <si>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</si>
  <si>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</si>
  <si>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</si>
  <si>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</si>
  <si>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</si>
  <si>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</si>
  <si>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</si>
  <si>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</si>
  <si>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</si>
  <si>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</si>
  <si>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</si>
  <si>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</si>
  <si>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</si>
  <si>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</si>
  <si>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</si>
  <si>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</si>
  <si>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</si>
  <si>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</si>
  <si>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</si>
  <si>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</si>
  <si>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</si>
  <si>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</si>
  <si>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</si>
  <si>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</si>
  <si>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</si>
  <si>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</si>
  <si>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</si>
  <si>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</si>
  <si>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</si>
  <si>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</si>
  <si>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</si>
  <si>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</si>
  <si>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</si>
  <si>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</si>
  <si>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</si>
  <si>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</si>
  <si>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</si>
  <si>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</si>
  <si>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</si>
  <si>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</si>
  <si>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</si>
  <si>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</si>
  <si>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</si>
  <si>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</si>
  <si>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</si>
  <si>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</si>
  <si>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</si>
  <si>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</si>
  <si>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</si>
  <si>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</si>
  <si>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</si>
  <si>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</si>
  <si>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</si>
  <si>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</si>
  <si>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</si>
  <si>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</si>
  <si>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</si>
  <si>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</si>
  <si>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</si>
  <si>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</si>
  <si>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</si>
  <si>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</si>
  <si>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</si>
  <si>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</si>
  <si>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</si>
  <si>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</si>
  <si>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</si>
  <si>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</si>
  <si>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</si>
  <si>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</si>
  <si>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</si>
  <si>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</si>
  <si>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</si>
  <si>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</si>
  <si>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</si>
  <si>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</si>
  <si>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</si>
  <si>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</si>
  <si>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</si>
  <si>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</si>
  <si>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</si>
  <si>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</si>
  <si>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</si>
  <si>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</si>
  <si>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</si>
  <si>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</si>
  <si>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</si>
  <si>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</si>
  <si>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</si>
  <si>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</si>
  <si>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</si>
  <si>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</si>
  <si>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</si>
  <si>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</si>
  <si>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</si>
  <si>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</si>
  <si>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</si>
  <si>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</si>
  <si>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</si>
  <si>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</si>
  <si>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</si>
  <si>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</si>
  <si>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</si>
  <si>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</si>
  <si>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</si>
  <si>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</si>
  <si>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</si>
  <si>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</si>
  <si>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</si>
  <si>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</si>
  <si>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</si>
  <si>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</si>
  <si>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</si>
  <si>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</si>
  <si>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</si>
  <si>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</si>
  <si>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</si>
  <si>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</si>
  <si>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</si>
  <si>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</si>
  <si>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</si>
  <si>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</si>
  <si>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</si>
  <si>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</si>
  <si>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</si>
  <si>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</si>
  <si>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</si>
  <si>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</si>
  <si>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</si>
  <si>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</si>
  <si>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</si>
  <si>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</si>
  <si>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</si>
  <si>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</si>
  <si>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</si>
  <si>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</si>
  <si>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</si>
  <si>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</si>
  <si>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</si>
  <si>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</si>
  <si>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</si>
  <si>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</si>
  <si>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</si>
  <si>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</si>
  <si>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</si>
  <si>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</si>
  <si>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</si>
  <si>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</si>
  <si>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</si>
  <si>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</si>
  <si>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</si>
  <si>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</si>
  <si>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</si>
  <si>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</si>
  <si>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</si>
  <si>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</si>
  <si>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</si>
  <si>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</si>
  <si>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</si>
  <si>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</si>
  <si>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</si>
  <si>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</si>
  <si>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</si>
  <si>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</si>
  <si>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</si>
  <si>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</si>
  <si>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</si>
  <si>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</si>
  <si>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</si>
  <si>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</si>
  <si>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</si>
  <si>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</si>
  <si>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</si>
  <si>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</si>
  <si>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</si>
  <si>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</si>
  <si>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</si>
  <si>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</si>
  <si>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</si>
  <si>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</si>
  <si>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</si>
  <si>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</si>
  <si>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</si>
  <si>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</si>
  <si>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</si>
  <si>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</si>
  <si>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</si>
  <si>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</si>
  <si>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</si>
  <si>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</si>
  <si>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</si>
  <si>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</si>
  <si>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</si>
  <si>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</si>
  <si>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</si>
  <si>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</si>
  <si>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</si>
  <si>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</si>
  <si>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</si>
  <si>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</si>
  <si>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</si>
  <si>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</si>
  <si>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</si>
  <si>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</si>
  <si>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</si>
  <si>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</si>
  <si>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</si>
  <si>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</si>
  <si>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</si>
  <si>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</si>
  <si>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</si>
  <si>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</si>
  <si>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</si>
  <si>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</si>
  <si>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</si>
  <si>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</si>
  <si>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</si>
  <si>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</si>
  <si>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</si>
  <si>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</si>
  <si>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</si>
  <si>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</si>
  <si>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</si>
  <si>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</si>
  <si>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</si>
  <si>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</si>
  <si>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</si>
  <si>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</si>
  <si>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</si>
  <si>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</si>
  <si>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</si>
  <si>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</si>
  <si>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</si>
  <si>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</si>
  <si>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</si>
  <si>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</si>
  <si>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</si>
  <si>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</si>
  <si>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</si>
  <si>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</si>
  <si>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</si>
  <si>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</si>
  <si>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</si>
  <si>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</si>
  <si>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</si>
  <si>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</si>
  <si>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</si>
  <si>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</si>
  <si>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</si>
  <si>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</si>
  <si>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</si>
  <si>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</si>
  <si>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</si>
  <si>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</si>
  <si>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</si>
  <si>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</si>
  <si>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</si>
  <si>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</si>
  <si>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</si>
  <si>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</si>
  <si>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</si>
  <si>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</si>
  <si>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</si>
  <si>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</si>
  <si>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</si>
  <si>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</si>
  <si>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</si>
  <si>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</si>
  <si>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</si>
  <si>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</si>
  <si>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</si>
  <si>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</si>
  <si>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</si>
  <si>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</si>
  <si>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</si>
  <si>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</si>
  <si>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</si>
  <si>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</si>
  <si>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</si>
  <si>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</si>
  <si>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</si>
  <si>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</si>
  <si>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</si>
  <si>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</si>
  <si>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</si>
  <si>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</si>
  <si>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</si>
  <si>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</si>
  <si>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</si>
  <si>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</si>
  <si>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</si>
  <si>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</si>
  <si>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</si>
  <si>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</si>
  <si>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</si>
  <si>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</si>
  <si>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</si>
  <si>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</si>
  <si>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</si>
  <si>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</si>
  <si>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</si>
  <si>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</si>
  <si>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</si>
  <si>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</si>
  <si>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</si>
  <si>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</si>
  <si>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</si>
  <si>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</si>
  <si>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</si>
  <si>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</si>
  <si>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</si>
  <si>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</si>
  <si>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</si>
  <si>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</si>
  <si>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</si>
  <si>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</si>
  <si>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</si>
  <si>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</si>
  <si>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</si>
  <si>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</si>
  <si>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</si>
  <si>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</si>
  <si>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</si>
  <si>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</si>
  <si>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</si>
  <si>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</si>
  <si>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</si>
  <si>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</si>
  <si>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</si>
  <si>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</si>
  <si>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</si>
  <si>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</si>
  <si>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</si>
  <si>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</si>
  <si>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</si>
  <si>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</si>
  <si>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</si>
  <si>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</si>
  <si>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</si>
  <si>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</si>
  <si>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</si>
  <si>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</si>
  <si>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</si>
  <si>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</si>
  <si>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</si>
  <si>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</si>
  <si>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</si>
  <si>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</si>
  <si>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</si>
  <si>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</si>
  <si>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</si>
  <si>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</si>
  <si>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</si>
  <si>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</si>
  <si>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</si>
  <si>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</si>
  <si>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</si>
  <si>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</si>
  <si>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</si>
  <si>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</si>
  <si>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</si>
  <si>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</si>
  <si>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</si>
  <si>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</si>
  <si>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</si>
  <si>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</si>
  <si>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</si>
  <si>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</si>
  <si>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</si>
  <si>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</si>
  <si>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</si>
  <si>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</si>
  <si>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</si>
  <si>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</si>
  <si>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</si>
  <si>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</si>
  <si>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</si>
  <si>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</si>
  <si>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</si>
  <si>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</si>
  <si>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</si>
  <si>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</si>
  <si>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</si>
  <si>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</si>
  <si>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</si>
  <si>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</si>
  <si>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</si>
  <si>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</si>
  <si>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</si>
  <si>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</si>
  <si>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</si>
  <si>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</si>
  <si>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</si>
  <si>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</si>
  <si>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</si>
  <si>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</si>
  <si>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</si>
  <si>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</si>
  <si>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</si>
  <si>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</si>
  <si>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</si>
  <si>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</si>
  <si>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</si>
  <si>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</si>
  <si>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</si>
  <si>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</si>
  <si>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</si>
  <si>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</si>
  <si>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</si>
  <si>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</si>
  <si>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</si>
  <si>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</si>
  <si>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</si>
  <si>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</si>
  <si>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</si>
  <si>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</si>
  <si>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</si>
  <si>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</si>
  <si>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</si>
  <si>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</si>
  <si>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</si>
  <si>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</si>
  <si>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</si>
  <si>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</si>
  <si>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</si>
  <si>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</si>
  <si>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</si>
  <si>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</si>
  <si>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</si>
  <si>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</si>
  <si>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</si>
  <si>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</si>
  <si>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</si>
  <si>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</si>
  <si>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</si>
  <si>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</si>
  <si>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</si>
  <si>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</si>
  <si>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</si>
  <si>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</si>
  <si>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</si>
  <si>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</si>
  <si>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</si>
  <si>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</si>
  <si>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</si>
  <si>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</si>
  <si>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</si>
  <si>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</si>
  <si>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</si>
  <si>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</si>
  <si>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</si>
  <si>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</si>
  <si>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</si>
  <si>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</si>
  <si>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</si>
  <si>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</si>
  <si>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</si>
  <si>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</si>
  <si>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</si>
  <si>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</si>
  <si>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</si>
  <si>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</si>
  <si>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</si>
  <si>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</si>
  <si>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</si>
  <si>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</si>
  <si>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</si>
  <si>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</si>
  <si>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</si>
  <si>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</si>
  <si>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</si>
  <si>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</si>
  <si>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</si>
  <si>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</si>
  <si>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</si>
  <si>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</si>
  <si>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</si>
  <si>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</si>
  <si>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</si>
  <si>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</si>
  <si>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</si>
  <si>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</si>
  <si>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</si>
  <si>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</si>
  <si>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</si>
  <si>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</si>
  <si>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</si>
  <si>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</si>
  <si>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</si>
  <si>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</si>
  <si>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</si>
  <si>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</si>
  <si>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</si>
  <si>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</si>
  <si>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</si>
  <si>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</si>
  <si>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</si>
  <si>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</si>
  <si>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</si>
  <si>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</si>
  <si>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</si>
  <si>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</si>
  <si>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</si>
  <si>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</si>
  <si>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</si>
  <si>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</si>
  <si>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</si>
  <si>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</si>
  <si>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</si>
  <si>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</si>
  <si>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</si>
  <si>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</si>
  <si>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</si>
  <si>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</si>
  <si>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</si>
  <si>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</si>
  <si>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</si>
  <si>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</si>
  <si>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</si>
  <si>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</si>
  <si>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</si>
  <si>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</si>
  <si>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</si>
  <si>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</si>
  <si>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</si>
  <si>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</si>
  <si>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</si>
  <si>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</si>
  <si>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</si>
  <si>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</si>
  <si>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</si>
  <si>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</si>
  <si>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</si>
  <si>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</si>
  <si>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</si>
  <si>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</si>
  <si>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</si>
  <si>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</si>
  <si>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</si>
  <si>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</si>
  <si>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</si>
  <si>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</si>
  <si>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</si>
  <si>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</si>
  <si>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</si>
  <si>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</si>
  <si>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</si>
  <si>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</si>
  <si>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</si>
  <si>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</si>
  <si>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</si>
  <si>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</si>
  <si>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</si>
  <si>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</si>
  <si>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</si>
  <si>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</si>
  <si>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</si>
  <si>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</si>
  <si>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</si>
  <si>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</si>
  <si>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</si>
  <si>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</si>
  <si>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</si>
  <si>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</si>
  <si>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</si>
  <si>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</si>
  <si>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</si>
  <si>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</si>
  <si>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</si>
  <si>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</si>
  <si>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</si>
  <si>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</si>
  <si>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</si>
  <si>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</si>
  <si>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</si>
  <si>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</si>
  <si>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</si>
  <si>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</si>
  <si>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</si>
  <si>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</si>
  <si>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</si>
  <si>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</si>
  <si>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</si>
  <si>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</si>
  <si>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</si>
  <si>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</si>
  <si>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</si>
  <si>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</si>
  <si>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</si>
  <si>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</si>
  <si>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</si>
  <si>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</si>
  <si>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</si>
  <si>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</si>
  <si>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</si>
  <si>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</si>
  <si>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</si>
  <si>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</si>
  <si>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</si>
  <si>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</si>
  <si>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</si>
  <si>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</si>
  <si>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</si>
  <si>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</si>
  <si>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</si>
  <si>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</si>
  <si>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</si>
  <si>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</si>
  <si>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</si>
  <si>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</si>
  <si>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</si>
  <si>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</si>
  <si>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</si>
  <si>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</si>
  <si>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</si>
  <si>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</si>
  <si>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</si>
  <si>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</si>
  <si>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</si>
  <si>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</si>
  <si>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</si>
  <si>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</si>
  <si>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</si>
  <si>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</si>
  <si>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</si>
  <si>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</si>
  <si>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</si>
  <si>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</si>
  <si>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</si>
  <si>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</si>
  <si>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</si>
  <si>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</si>
  <si>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</si>
  <si>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</si>
  <si>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</si>
  <si>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</si>
  <si>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</si>
  <si>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</si>
  <si>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</si>
  <si>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</si>
  <si>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</si>
  <si>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</si>
  <si>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</si>
  <si>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</si>
  <si>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</si>
  <si>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</si>
  <si>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</si>
  <si>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</si>
  <si>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</si>
  <si>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</si>
  <si>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</si>
  <si>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</si>
  <si>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</si>
  <si>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</si>
  <si>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</si>
  <si>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</si>
  <si>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</si>
  <si>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</si>
  <si>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</si>
  <si>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</si>
  <si>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</si>
  <si>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</si>
  <si>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</si>
  <si>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</si>
  <si>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</si>
  <si>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</si>
  <si>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</si>
  <si>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</si>
  <si>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</si>
  <si>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</si>
  <si>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</si>
  <si>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</si>
  <si>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</si>
  <si>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</si>
  <si>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</si>
  <si>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</si>
  <si>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</si>
  <si>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</si>
  <si>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</si>
  <si>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</si>
  <si>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</si>
  <si>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</si>
  <si>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</si>
  <si>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</si>
  <si>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</si>
  <si>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</si>
  <si>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</si>
  <si>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</si>
  <si>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</si>
  <si>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</si>
  <si>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</si>
  <si>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</si>
  <si>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</si>
  <si>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</si>
  <si>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</si>
  <si>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</si>
  <si>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</si>
  <si>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</si>
  <si>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</si>
  <si>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</si>
  <si>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</si>
  <si>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</si>
  <si>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</si>
  <si>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</si>
  <si>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</si>
  <si>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</si>
  <si>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</si>
  <si>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</si>
  <si>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</si>
  <si>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</si>
  <si>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</si>
  <si>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</si>
  <si>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</si>
  <si>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</si>
  <si>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</si>
  <si>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</si>
  <si>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</si>
  <si>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</si>
  <si>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</si>
  <si>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</si>
  <si>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</si>
  <si>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</si>
  <si>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</si>
  <si>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</si>
  <si>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</si>
  <si>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</si>
  <si>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</si>
  <si>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</si>
  <si>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</si>
  <si>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</si>
  <si>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</si>
  <si>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</si>
  <si>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</si>
  <si>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</si>
  <si>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</si>
  <si>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</si>
  <si>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</si>
  <si>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</si>
  <si>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</si>
  <si>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</si>
  <si>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</si>
  <si>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</si>
  <si>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</si>
  <si>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</si>
  <si>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</si>
  <si>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</si>
  <si>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</si>
  <si>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</si>
  <si>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</si>
  <si>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</si>
  <si>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</si>
  <si>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</si>
  <si>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</si>
  <si>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</si>
  <si>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</si>
  <si>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</si>
  <si>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</si>
  <si>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</si>
  <si>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</si>
  <si>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</si>
  <si>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</si>
  <si>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</si>
  <si>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</si>
  <si>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</si>
  <si>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</si>
  <si>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</si>
  <si>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</si>
  <si>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</si>
  <si>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</si>
  <si>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</si>
  <si>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</si>
  <si>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</si>
  <si>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</si>
  <si>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</si>
  <si>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</si>
  <si>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</si>
  <si>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</si>
  <si>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</si>
  <si>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</si>
  <si>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</si>
  <si>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</si>
  <si>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</si>
  <si>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</si>
  <si>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</si>
  <si>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</si>
  <si>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</si>
  <si>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</si>
  <si>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</si>
  <si>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</si>
  <si>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</si>
  <si>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</si>
  <si>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</si>
  <si>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</si>
  <si>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</si>
  <si>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</si>
  <si>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</si>
  <si>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</si>
  <si>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</si>
  <si>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</si>
  <si>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</si>
  <si>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</si>
  <si>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</si>
  <si>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</si>
  <si>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</si>
  <si>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</si>
  <si>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</si>
  <si>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</si>
  <si>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</si>
  <si>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</si>
  <si>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</si>
  <si>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</si>
  <si>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</si>
  <si>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</si>
  <si>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</si>
  <si>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</si>
  <si>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</si>
  <si>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</si>
  <si>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</si>
  <si>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</si>
  <si>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</si>
  <si>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</si>
  <si>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</si>
  <si>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</si>
  <si>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</si>
  <si>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</si>
  <si>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</si>
  <si>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</si>
  <si>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</si>
  <si>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</si>
  <si>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</si>
  <si>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</si>
  <si>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</si>
  <si>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</si>
  <si>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</si>
  <si>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</si>
  <si>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</si>
  <si>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</si>
  <si>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</si>
  <si>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</si>
  <si>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</si>
  <si>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</si>
  <si>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</si>
  <si>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</si>
  <si>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</si>
  <si>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</si>
  <si>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</si>
  <si>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</si>
  <si>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</si>
  <si>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</si>
  <si>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</si>
  <si>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</si>
  <si>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</si>
  <si>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</si>
  <si>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</si>
  <si>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</si>
  <si>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</si>
  <si>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</si>
  <si>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</si>
  <si>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</si>
  <si>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</si>
  <si>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</si>
  <si>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</si>
  <si>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</si>
  <si>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</si>
  <si>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</si>
  <si>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</si>
  <si>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</si>
  <si>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</si>
  <si>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</si>
  <si>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</si>
  <si>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</si>
  <si>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</si>
  <si>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</si>
  <si>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</si>
  <si>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</si>
  <si>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</si>
  <si>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</si>
  <si>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</si>
  <si>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</si>
  <si>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</si>
  <si>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</si>
  <si>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</si>
  <si>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</si>
  <si>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</si>
  <si>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</si>
  <si>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</si>
  <si>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</si>
  <si>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</si>
  <si>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</si>
  <si>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</si>
  <si>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</si>
  <si>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</si>
  <si>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</si>
  <si>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</si>
  <si>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</si>
  <si>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</si>
  <si>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</si>
  <si>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</si>
  <si>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</si>
  <si>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</si>
  <si>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</si>
  <si>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</si>
  <si>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</si>
  <si>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</si>
  <si>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</si>
  <si>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</si>
  <si>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</si>
  <si>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</si>
  <si>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</si>
  <si>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</si>
  <si>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</si>
  <si>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</si>
  <si>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</si>
  <si>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</si>
  <si>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</si>
  <si>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</si>
  <si>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</si>
  <si>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</si>
  <si>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</si>
  <si>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</si>
  <si>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</si>
  <si>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</si>
  <si>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</si>
  <si>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</si>
  <si>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</si>
  <si>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</si>
  <si>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</si>
  <si>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</si>
  <si>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</si>
  <si>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</si>
  <si>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</si>
  <si>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</si>
  <si>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</si>
  <si>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</si>
  <si>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</si>
  <si>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</si>
  <si>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</si>
  <si>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</si>
  <si>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</si>
  <si>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</si>
  <si>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</si>
  <si>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</si>
  <si>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</si>
  <si>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</si>
  <si>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</si>
  <si>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</si>
  <si>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</si>
  <si>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</si>
  <si>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</si>
  <si>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</si>
  <si>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</si>
  <si>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</si>
  <si>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</si>
  <si>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</si>
  <si>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</si>
  <si>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</si>
  <si>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</si>
  <si>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</si>
  <si>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</si>
  <si>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</si>
  <si>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</si>
  <si>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</si>
  <si>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</si>
  <si>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</si>
  <si>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</si>
  <si>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</si>
  <si>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</si>
  <si>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</si>
  <si>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</si>
  <si>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</si>
  <si>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</si>
  <si>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</si>
  <si>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</si>
  <si>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</si>
  <si>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</si>
  <si>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</si>
  <si>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</si>
  <si>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</si>
  <si>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</si>
  <si>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</si>
  <si>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</si>
  <si>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</si>
  <si>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</si>
  <si>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</si>
  <si>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</si>
  <si>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</si>
  <si>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</si>
  <si>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</si>
  <si>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</si>
  <si>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</si>
  <si>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</si>
  <si>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</si>
  <si>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</si>
  <si>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</si>
  <si>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</si>
  <si>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</si>
  <si>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</si>
  <si>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</si>
  <si>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</si>
  <si>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</si>
  <si>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</si>
  <si>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</si>
  <si>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</si>
  <si>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</si>
  <si>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</si>
  <si>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</si>
  <si>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</si>
  <si>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</si>
  <si>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</si>
  <si>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</si>
  <si>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</si>
  <si>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</si>
  <si>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</si>
  <si>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</si>
  <si>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</si>
  <si>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</si>
  <si>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</si>
  <si>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</si>
  <si>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</si>
  <si>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</si>
  <si>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</si>
  <si>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</si>
  <si>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</si>
  <si>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</si>
  <si>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</si>
  <si>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</si>
  <si>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</si>
  <si>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</si>
  <si>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</si>
  <si>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</si>
  <si>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</si>
  <si>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</si>
  <si>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</si>
  <si>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</si>
  <si>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</si>
  <si>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</si>
  <si>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</si>
  <si>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</si>
  <si>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</si>
  <si>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</si>
  <si>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</si>
  <si>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</si>
  <si>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</si>
  <si>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</si>
  <si>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</si>
  <si>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</si>
  <si>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</si>
  <si>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</si>
  <si>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</si>
  <si>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</si>
  <si>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</si>
  <si>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</si>
  <si>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</si>
  <si>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</si>
  <si>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</si>
  <si>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</si>
  <si>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</si>
  <si>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</si>
  <si>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</si>
  <si>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</si>
  <si>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</si>
  <si>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</si>
  <si>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</si>
  <si>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</si>
  <si>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</si>
  <si>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</si>
  <si>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</si>
  <si>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</si>
  <si>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</si>
  <si>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</si>
  <si>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</si>
  <si>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</si>
  <si>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</si>
  <si>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</si>
  <si>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</si>
  <si>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</si>
  <si>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</si>
  <si>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</si>
  <si>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</si>
  <si>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</si>
  <si>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</si>
  <si>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</si>
  <si>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</si>
  <si>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</si>
  <si>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</si>
  <si>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</si>
  <si>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</si>
  <si>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</si>
  <si>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</si>
  <si>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</si>
  <si>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</si>
  <si>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</si>
  <si>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</si>
  <si>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</si>
  <si>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</si>
  <si>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</si>
  <si>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</si>
  <si>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</si>
  <si>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</si>
  <si>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</si>
  <si>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</si>
  <si>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</si>
  <si>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</si>
  <si>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</si>
  <si>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</si>
  <si>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</si>
  <si>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</si>
  <si>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</si>
  <si>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</si>
  <si>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</si>
  <si>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</si>
  <si>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</si>
  <si>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</si>
  <si>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</si>
  <si>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</si>
  <si>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</si>
  <si>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</si>
  <si>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</si>
  <si>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</si>
  <si>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</si>
  <si>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</si>
  <si>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</si>
  <si>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</si>
  <si>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</si>
  <si>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</si>
  <si>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</si>
  <si>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</si>
  <si>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</si>
  <si>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</si>
  <si>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</si>
  <si>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</si>
  <si>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</si>
  <si>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</si>
  <si>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</si>
  <si>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</si>
  <si>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</si>
  <si>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</si>
  <si>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</si>
  <si>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</si>
  <si>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</si>
  <si>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</si>
  <si>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</si>
  <si>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</si>
  <si>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</si>
  <si>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</si>
  <si>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</si>
  <si>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</si>
  <si>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</si>
  <si>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</si>
  <si>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</si>
  <si>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</si>
  <si>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</si>
  <si>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</si>
  <si>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</si>
  <si>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</si>
  <si>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</si>
  <si>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</si>
  <si>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</si>
  <si>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</si>
  <si>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</si>
  <si>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</si>
  <si>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</si>
  <si>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</si>
  <si>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</si>
  <si>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</si>
  <si>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</si>
  <si>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</si>
  <si>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</si>
  <si>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</si>
  <si>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</si>
  <si>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</si>
  <si>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</si>
  <si>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</si>
  <si>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</si>
  <si>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</si>
  <si>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</si>
  <si>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</si>
  <si>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</si>
  <si>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</si>
  <si>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</si>
  <si>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</si>
  <si>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</si>
  <si>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</si>
  <si>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</si>
  <si>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</si>
  <si>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</si>
  <si>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</si>
  <si>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</si>
  <si>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</si>
  <si>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</si>
  <si>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</si>
  <si>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</si>
  <si>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</si>
  <si>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</si>
  <si>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</si>
  <si>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</si>
  <si>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</si>
  <si>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</si>
  <si>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</si>
  <si>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</si>
  <si>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</si>
  <si>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</si>
  <si>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</si>
  <si>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</si>
  <si>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</si>
  <si>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</si>
  <si>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</si>
  <si>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</si>
  <si>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</si>
  <si>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</si>
  <si>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</si>
  <si>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</si>
  <si>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</si>
  <si>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</si>
  <si>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</si>
  <si>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</si>
  <si>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</si>
  <si>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</si>
  <si>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</si>
  <si>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</si>
  <si>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</si>
  <si>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</si>
  <si>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</si>
  <si>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</si>
  <si>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</si>
  <si>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</si>
  <si>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</si>
  <si>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</si>
  <si>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</si>
  <si>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</si>
  <si>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</si>
  <si>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</si>
  <si>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</si>
  <si>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</si>
  <si>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</si>
  <si>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</si>
  <si>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</si>
  <si>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</si>
  <si>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</si>
  <si>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</si>
  <si>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</si>
  <si>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</si>
  <si>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</si>
  <si>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</si>
  <si>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</si>
  <si>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</si>
  <si>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</si>
  <si>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</si>
  <si>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</si>
  <si>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</si>
  <si>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</si>
  <si>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</si>
  <si>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</si>
  <si>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</si>
  <si>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</si>
  <si>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</si>
  <si>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</si>
  <si>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</si>
  <si>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</si>
  <si>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</si>
  <si>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</si>
  <si>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</si>
  <si>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</si>
  <si>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</si>
  <si>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</si>
  <si>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</si>
  <si>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</si>
  <si>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</si>
  <si>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</si>
  <si>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</si>
  <si>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</si>
  <si>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</si>
  <si>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</si>
  <si>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</si>
  <si>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</si>
  <si>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</si>
  <si>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</si>
  <si>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</si>
  <si>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</si>
  <si>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</si>
  <si>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</si>
  <si>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</si>
  <si>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</si>
  <si>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</si>
  <si>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</si>
  <si>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</si>
  <si>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</si>
  <si>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</si>
  <si>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</si>
  <si>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</si>
  <si>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</si>
  <si>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</si>
  <si>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</si>
  <si>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</si>
  <si>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</si>
  <si>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</si>
  <si>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</si>
  <si>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</si>
  <si>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</si>
  <si>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</si>
  <si>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</si>
  <si>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</si>
  <si>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</si>
  <si>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</si>
  <si>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</si>
  <si>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</si>
  <si>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</si>
  <si>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</si>
  <si>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</si>
  <si>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</si>
  <si>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</si>
  <si>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</si>
  <si>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</si>
  <si>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</si>
  <si>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</si>
  <si>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</si>
  <si>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</si>
  <si>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</si>
  <si>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</si>
  <si>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</si>
  <si>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</si>
  <si>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</si>
  <si>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</si>
  <si>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</si>
  <si>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</si>
  <si>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</si>
  <si>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</si>
  <si>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</si>
  <si>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</si>
  <si>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</si>
  <si>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</si>
  <si>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</si>
  <si>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</si>
  <si>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</si>
  <si>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</si>
  <si>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</si>
  <si>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</si>
  <si>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</si>
  <si>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</si>
  <si>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</si>
  <si>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</si>
  <si>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</si>
  <si>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</si>
  <si>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</si>
  <si>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</si>
  <si>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</si>
  <si>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</si>
  <si>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</si>
  <si>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</si>
  <si>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</si>
  <si>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</si>
  <si>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</si>
  <si>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</si>
  <si>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</si>
  <si>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</si>
  <si>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</si>
  <si>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</si>
  <si>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</si>
  <si>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</si>
  <si>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</si>
  <si>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</si>
  <si>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</si>
  <si>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</si>
  <si>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</si>
  <si>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</si>
  <si>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</si>
  <si>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</si>
  <si>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</si>
  <si>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</si>
  <si>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</si>
  <si>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</si>
  <si>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</si>
  <si>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</si>
  <si>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</si>
  <si>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</si>
  <si>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</si>
  <si>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</si>
  <si>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</si>
  <si>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</si>
  <si>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</si>
  <si>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</si>
  <si>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</si>
  <si>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</si>
  <si>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</si>
  <si>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</si>
  <si>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</si>
  <si>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</si>
  <si>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</si>
  <si>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</si>
  <si>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</si>
  <si>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</si>
  <si>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</si>
  <si>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</si>
  <si>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</si>
  <si>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</si>
  <si>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</si>
  <si>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</si>
  <si>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</si>
  <si>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</si>
  <si>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</si>
  <si>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</si>
  <si>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</si>
  <si>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</si>
  <si>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</si>
  <si>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</si>
  <si>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</si>
  <si>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</si>
  <si>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</si>
  <si>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</si>
  <si>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</si>
  <si>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</si>
  <si>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</si>
  <si>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</si>
  <si>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</si>
  <si>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</si>
  <si>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</si>
  <si>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</si>
  <si>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</si>
  <si>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</si>
  <si>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</si>
  <si>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</si>
  <si>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</si>
  <si>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</si>
  <si>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</si>
  <si>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</si>
  <si>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</si>
  <si>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</si>
  <si>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</si>
  <si>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</si>
  <si>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</si>
  <si>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</si>
  <si>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</si>
  <si>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</si>
  <si>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</si>
  <si>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</si>
  <si>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</si>
  <si>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</si>
  <si>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</si>
  <si>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</si>
  <si>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</si>
  <si>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</si>
  <si>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</si>
  <si>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</si>
  <si>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</si>
  <si>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</si>
  <si>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</si>
  <si>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</si>
  <si>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</si>
  <si>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</si>
  <si>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</si>
  <si>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</si>
  <si>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</si>
  <si>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</si>
  <si>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</si>
  <si>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</si>
  <si>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</si>
  <si>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</si>
  <si>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</si>
  <si>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</si>
  <si>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</si>
  <si>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</si>
  <si>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</si>
  <si>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</si>
  <si>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</si>
  <si>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</si>
  <si>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</si>
  <si>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</si>
  <si>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</si>
  <si>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</si>
  <si>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</si>
  <si>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</si>
  <si>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</si>
  <si>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</si>
  <si>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</si>
  <si>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</si>
  <si>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</si>
  <si>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</si>
  <si>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</si>
  <si>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</si>
  <si>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</si>
  <si>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</si>
  <si>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</si>
  <si>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</si>
  <si>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</si>
  <si>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</si>
  <si>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</si>
  <si>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</si>
  <si>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</si>
  <si>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</si>
  <si>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</si>
  <si>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</si>
  <si>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</si>
  <si>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</si>
  <si>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</si>
  <si>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</si>
  <si>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</si>
  <si>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</si>
  <si>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</si>
  <si>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</si>
  <si>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</si>
  <si>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</si>
  <si>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</si>
  <si>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</si>
  <si>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</si>
  <si>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</si>
  <si>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</si>
  <si>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</si>
  <si>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</si>
  <si>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</si>
  <si>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</si>
  <si>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</si>
  <si>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</si>
  <si>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</si>
  <si>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</si>
  <si>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</si>
  <si>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</si>
  <si>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</si>
  <si>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</si>
  <si>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</si>
  <si>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</si>
  <si>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</si>
  <si>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</si>
  <si>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</si>
  <si>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</si>
  <si>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</si>
  <si>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</si>
  <si>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</si>
  <si>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</si>
  <si>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</si>
  <si>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</si>
  <si>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</si>
  <si>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</si>
  <si>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</si>
  <si>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</si>
  <si>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</si>
  <si>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</si>
  <si>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</si>
  <si>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</si>
  <si>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</si>
  <si>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</si>
  <si>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</si>
  <si>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</si>
  <si>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</si>
  <si>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</si>
  <si>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</si>
  <si>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</si>
  <si>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</si>
  <si>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</si>
  <si>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</si>
  <si>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</si>
  <si>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</si>
  <si>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</si>
  <si>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</si>
  <si>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</si>
  <si>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</si>
  <si>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</si>
  <si>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</si>
  <si>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</si>
  <si>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</si>
  <si>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</si>
  <si>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</si>
  <si>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</si>
  <si>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</si>
  <si>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</si>
  <si>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</si>
  <si>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</si>
  <si>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</si>
  <si>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</si>
  <si>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</si>
  <si>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</si>
  <si>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</si>
  <si>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</si>
  <si>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</si>
  <si>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</si>
  <si>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</si>
  <si>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</si>
  <si>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</si>
  <si>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</si>
  <si>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</si>
  <si>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</si>
  <si>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</si>
  <si>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</si>
  <si>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</si>
  <si>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</si>
  <si>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</si>
  <si>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</si>
  <si>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</si>
  <si>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</si>
  <si>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</si>
  <si>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</si>
  <si>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</si>
  <si>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</si>
  <si>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</si>
  <si>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</si>
  <si>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</si>
  <si>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</si>
  <si>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</si>
  <si>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</si>
  <si>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</si>
  <si>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</si>
  <si>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</si>
  <si>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</si>
  <si>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</si>
  <si>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</si>
  <si>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</si>
  <si>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</si>
  <si>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</si>
  <si>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</si>
  <si>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</si>
  <si>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</si>
  <si>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</si>
  <si>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</si>
  <si>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</si>
  <si>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</si>
  <si>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</si>
  <si>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</si>
  <si>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</si>
  <si>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</si>
  <si>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</si>
  <si>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</si>
  <si>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</si>
  <si>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</si>
  <si>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</si>
  <si>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</si>
  <si>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</si>
  <si>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</si>
  <si>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</si>
  <si>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</si>
  <si>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</si>
  <si>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</si>
  <si>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</si>
  <si>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</si>
  <si>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</si>
  <si>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</si>
  <si>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</si>
  <si>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</si>
  <si>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</si>
  <si>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</si>
  <si>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</si>
  <si>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</si>
  <si>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</si>
  <si>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</si>
  <si>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</si>
  <si>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</si>
  <si>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</si>
  <si>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</si>
  <si>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</si>
  <si>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</si>
  <si>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</si>
  <si>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</si>
  <si>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</si>
  <si>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</si>
  <si>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</si>
  <si>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</si>
  <si>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</si>
  <si>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</si>
  <si>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</si>
  <si>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</si>
  <si>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</si>
  <si>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</si>
  <si>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</si>
  <si>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</si>
  <si>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</si>
  <si>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</si>
  <si>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</si>
  <si>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</si>
  <si>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</si>
  <si>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</si>
  <si>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</si>
  <si>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</si>
  <si>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</si>
  <si>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</si>
  <si>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</si>
  <si>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</si>
  <si>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</si>
  <si>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</si>
  <si>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</si>
  <si>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</si>
  <si>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</si>
  <si>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</si>
  <si>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</si>
  <si>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</si>
  <si>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</si>
  <si>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</si>
  <si>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</si>
  <si>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</si>
  <si>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</si>
  <si>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</si>
  <si>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</si>
  <si>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</si>
  <si>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</si>
  <si>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</si>
  <si>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</si>
  <si>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</si>
  <si>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</si>
  <si>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</si>
  <si>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</si>
  <si>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</si>
  <si>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</si>
  <si>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</si>
  <si>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</si>
  <si>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</si>
  <si>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</si>
  <si>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</si>
  <si>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</si>
  <si>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</si>
  <si>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</si>
  <si>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</si>
  <si>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</si>
  <si>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</si>
  <si>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</si>
  <si>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</si>
  <si>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</si>
  <si>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</si>
  <si>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</si>
  <si>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</si>
  <si>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</si>
  <si>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</si>
  <si>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</si>
  <si>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</si>
  <si>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</si>
  <si>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</si>
  <si>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</si>
  <si>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</si>
  <si>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</si>
  <si>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</si>
  <si>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</si>
  <si>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</si>
  <si>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</si>
  <si>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</si>
  <si>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</si>
  <si>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</si>
  <si>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</si>
  <si>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</si>
  <si>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</si>
  <si>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</si>
  <si>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</si>
  <si>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</si>
  <si>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</si>
  <si>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</si>
  <si>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</si>
  <si>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</si>
  <si>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</si>
  <si>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</si>
  <si>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</si>
  <si>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</si>
  <si>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</si>
  <si>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</si>
  <si>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</si>
  <si>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</si>
  <si>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</si>
  <si>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</si>
  <si>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</si>
  <si>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</si>
  <si>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</si>
  <si>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</si>
  <si>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</si>
  <si>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</si>
  <si>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</si>
  <si>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</si>
  <si>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</si>
  <si>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</si>
  <si>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</si>
  <si>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</si>
  <si>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</si>
  <si>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</si>
  <si>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</si>
  <si>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</si>
  <si>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</si>
  <si>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</si>
  <si>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</si>
  <si>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</si>
  <si>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</si>
  <si>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</si>
  <si>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</si>
  <si>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</si>
  <si>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</si>
  <si>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</si>
  <si>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</si>
  <si>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</si>
  <si>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</si>
  <si>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</si>
  <si>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</si>
  <si>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</si>
  <si>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</si>
  <si>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</si>
  <si>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</si>
  <si>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</si>
  <si>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</si>
  <si>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</si>
  <si>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</si>
  <si>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</si>
  <si>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</si>
  <si>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</si>
  <si>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</si>
  <si>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</si>
  <si>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</si>
  <si>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</si>
  <si>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</si>
  <si>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</si>
  <si>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</si>
  <si>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</si>
  <si>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</si>
  <si>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</si>
  <si>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</si>
  <si>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</si>
  <si>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</si>
  <si>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</si>
  <si>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</si>
  <si>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</si>
  <si>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</si>
  <si>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</si>
  <si>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</si>
  <si>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</si>
  <si>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</si>
  <si>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</si>
  <si>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</si>
  <si>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</si>
  <si>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</si>
  <si>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项目名称</t>
    <phoneticPr fontId="134" type="noConversion"/>
  </si>
  <si>
    <t>面积</t>
    <phoneticPr fontId="134" type="noConversion"/>
  </si>
  <si>
    <t>租金</t>
  </si>
  <si>
    <t>租金</t>
    <phoneticPr fontId="134" type="noConversion"/>
  </si>
  <si>
    <t>楼层</t>
    <phoneticPr fontId="134" type="noConversion"/>
  </si>
  <si>
    <t>房地产市场价值</t>
  </si>
  <si>
    <t>城市次干道</t>
  </si>
  <si>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</si>
  <si>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</si>
  <si>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</si>
  <si>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</si>
  <si>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</si>
  <si>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园区内道路</t>
    <phoneticPr fontId="31" type="noConversion"/>
  </si>
  <si>
    <t xml:space="preserve"> </t>
    <phoneticPr fontId="31" type="noConversion"/>
  </si>
  <si>
    <t>有</t>
    <phoneticPr fontId="31" type="noConversion"/>
  </si>
  <si>
    <t>无</t>
    <phoneticPr fontId="31" type="noConversion"/>
  </si>
  <si>
    <t>有</t>
    <phoneticPr fontId="31" type="noConversion"/>
  </si>
  <si>
    <t>标准写字楼</t>
    <phoneticPr fontId="31" type="noConversion"/>
  </si>
  <si>
    <t>非标层高</t>
    <phoneticPr fontId="31" type="noConversion"/>
  </si>
  <si>
    <t>标准层高</t>
  </si>
  <si>
    <t>标准层高</t>
    <phoneticPr fontId="31" type="noConversion"/>
  </si>
  <si>
    <t>不含物业费</t>
    <phoneticPr fontId="134" type="noConversion"/>
  </si>
  <si>
    <t xml:space="preserve"> </t>
    <phoneticPr fontId="40" type="noConversion"/>
  </si>
  <si>
    <t>较好</t>
    <phoneticPr fontId="40" type="noConversion"/>
  </si>
  <si>
    <t xml:space="preserve"> </t>
    <phoneticPr fontId="31" type="noConversion"/>
  </si>
  <si>
    <t xml:space="preserve"> </t>
    <phoneticPr fontId="134" type="noConversion"/>
  </si>
  <si>
    <t xml:space="preserve"> </t>
    <phoneticPr fontId="134" type="noConversion"/>
  </si>
  <si>
    <t>物业费</t>
    <phoneticPr fontId="134" type="noConversion"/>
  </si>
  <si>
    <t>不含物业费</t>
    <phoneticPr fontId="134" type="noConversion"/>
  </si>
  <si>
    <t>万达广场</t>
    <phoneticPr fontId="31" type="noConversion"/>
  </si>
  <si>
    <t>环线位置</t>
    <phoneticPr fontId="31" type="noConversion"/>
  </si>
  <si>
    <r>
      <t>4-5</t>
    </r>
    <r>
      <rPr>
        <sz val="11"/>
        <color indexed="8"/>
        <rFont val="宋体"/>
        <family val="3"/>
        <charset val="134"/>
      </rPr>
      <t>环</t>
    </r>
    <phoneticPr fontId="31" type="noConversion"/>
  </si>
  <si>
    <r>
      <t>5-6</t>
    </r>
    <r>
      <rPr>
        <sz val="11"/>
        <color indexed="8"/>
        <rFont val="宋体"/>
        <family val="3"/>
        <charset val="134"/>
      </rPr>
      <t>环</t>
    </r>
    <phoneticPr fontId="31" type="noConversion"/>
  </si>
  <si>
    <t>石景山路</t>
    <phoneticPr fontId="31" type="noConversion"/>
  </si>
  <si>
    <t>鲁谷路</t>
    <phoneticPr fontId="31" type="noConversion"/>
  </si>
  <si>
    <t>城市主干道</t>
  </si>
  <si>
    <t>中区</t>
  </si>
  <si>
    <t>高区</t>
  </si>
  <si>
    <t>含物业</t>
    <phoneticPr fontId="134" type="noConversion"/>
  </si>
  <si>
    <t>实际</t>
    <phoneticPr fontId="134" type="noConversion"/>
  </si>
  <si>
    <t>建成</t>
    <phoneticPr fontId="134" type="noConversion"/>
  </si>
  <si>
    <t>普通物业</t>
  </si>
  <si>
    <t>下浮</t>
    <phoneticPr fontId="3" type="noConversion"/>
  </si>
  <si>
    <t>上浮</t>
    <phoneticPr fontId="3" type="noConversion"/>
  </si>
  <si>
    <t>年租金</t>
    <phoneticPr fontId="3" type="noConversion"/>
  </si>
  <si>
    <t>好</t>
    <phoneticPr fontId="24" type="noConversion"/>
  </si>
  <si>
    <t>泰禾长安中心</t>
    <phoneticPr fontId="134" type="noConversion"/>
  </si>
  <si>
    <t>单套</t>
    <phoneticPr fontId="31" type="noConversion"/>
  </si>
  <si>
    <t>整层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</si>
</sst>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0" borderId="5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3"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protection locked="0"/>
    </xf>
    <xf numFmtId="0" fontId="94" fillId="12" borderId="0" xfId="0" applyFont="1" applyFill="1" applyBorder="1" applyAlignment="1" applyProtection="1">
      <alignment horizontal="center" vertical="center"/>
      <protection locked="0"/>
    </xf>
    <xf numFmtId="0" fontId="51" fillId="12" borderId="0" xfId="0" applyNumberFormat="1" applyFont="1" applyFill="1" applyBorder="1" applyAlignment="1" applyProtection="1">
      <alignment horizontal="center" vertical="center"/>
      <protection locked="0"/>
    </xf>
    <xf numFmtId="181" fontId="94" fillId="12" borderId="0" xfId="0" applyNumberFormat="1" applyFont="1" applyFill="1" applyBorder="1" applyAlignment="1" applyProtection="1">
      <alignment vertical="center" wrapText="1"/>
      <protection locked="0"/>
    </xf>
    <xf numFmtId="0" fontId="58" fillId="16" borderId="11" xfId="0" applyNumberFormat="1"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114299</xdr:rowOff>
    </xdr:from>
    <xdr:to>
      <xdr:col>9</xdr:col>
      <xdr:colOff>358153</xdr:colOff>
      <xdr:row>30</xdr:row>
      <xdr:rowOff>65974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57349"/>
          <a:ext cx="6530353" cy="3552125"/>
        </a:xfrm>
        <a:prstGeom prst="rect">
          <a:avLst/>
        </a:prstGeom>
      </xdr:spPr>
    </xdr:pic>
    <xdr:clientData/>
  </xdr:twoCellAnchor>
  <xdr:twoCellAnchor editAs="oneCell">
    <xdr:from>
      <xdr:col>9</xdr:col>
      <xdr:colOff>372817</xdr:colOff>
      <xdr:row>9</xdr:row>
      <xdr:rowOff>9525</xdr:rowOff>
    </xdr:from>
    <xdr:to>
      <xdr:col>17</xdr:col>
      <xdr:colOff>533400</xdr:colOff>
      <xdr:row>41</xdr:row>
      <xdr:rowOff>60912</xdr:rowOff>
    </xdr:to>
    <xdr:pic>
      <xdr:nvPicPr>
        <xdr:cNvPr id="4" name="图片 3"/>
        <xdr:cNvPicPr>
          <a:picLocks noChangeAspect="1"/>
        </xdr:cNvPicPr>
      </xdr:nvPicPr>
      <xdr:blipFill>
        <a:blip xmlns:r="http://schemas.openxmlformats.org/officeDocument/2006/relationships" r:embed="rId2"/>
        <a:stretch>
          <a:fillRect/>
        </a:stretch>
      </xdr:blipFill>
      <xdr:spPr>
        <a:xfrm>
          <a:off x="6545017" y="1552575"/>
          <a:ext cx="5646983" cy="5537787"/>
        </a:xfrm>
        <a:prstGeom prst="rect">
          <a:avLst/>
        </a:prstGeom>
      </xdr:spPr>
    </xdr:pic>
    <xdr:clientData/>
  </xdr:twoCellAnchor>
  <xdr:twoCellAnchor editAs="oneCell">
    <xdr:from>
      <xdr:col>7</xdr:col>
      <xdr:colOff>600075</xdr:colOff>
      <xdr:row>0</xdr:row>
      <xdr:rowOff>0</xdr:rowOff>
    </xdr:from>
    <xdr:to>
      <xdr:col>11</xdr:col>
      <xdr:colOff>266399</xdr:colOff>
      <xdr:row>13</xdr:row>
      <xdr:rowOff>133055</xdr:rowOff>
    </xdr:to>
    <xdr:pic>
      <xdr:nvPicPr>
        <xdr:cNvPr id="5" name="图片 4"/>
        <xdr:cNvPicPr>
          <a:picLocks noChangeAspect="1"/>
        </xdr:cNvPicPr>
      </xdr:nvPicPr>
      <xdr:blipFill>
        <a:blip xmlns:r="http://schemas.openxmlformats.org/officeDocument/2006/relationships" r:embed="rId3"/>
        <a:stretch>
          <a:fillRect/>
        </a:stretch>
      </xdr:blipFill>
      <xdr:spPr>
        <a:xfrm>
          <a:off x="5400675" y="0"/>
          <a:ext cx="2409524"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e">
        <f>'预评函-1'!A7</f>
        <v>#DIV/0!</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e">
        <f>'预评函-1'!A10</f>
        <v>#DIV/0!</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2023年5月30日（评估专业人员实地查勘之日）</v>
      </c>
    </row>
    <row r="13" spans="1:2" s="1200" customFormat="1">
      <c r="A13" s="1198" t="s">
        <v>529</v>
      </c>
      <c r="B13" s="1199"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0</v>
      </c>
    </row>
    <row r="44" spans="1:2" s="1200" customFormat="1">
      <c r="A44" s="1198" t="s">
        <v>575</v>
      </c>
      <c r="B44" s="1199" t="str">
        <f>'预评函-3'!C2</f>
        <v>(分摊)土地面积</v>
      </c>
    </row>
    <row r="45" spans="1:2" s="1200" customFormat="1">
      <c r="A45" s="1198" t="s">
        <v>547</v>
      </c>
      <c r="B45" s="1199" t="e">
        <f>'预评函-3'!C4</f>
        <v>#DIV/0!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3335</v>
      </c>
    </row>
    <row r="8" spans="1:23">
      <c r="A8" s="1543" t="s">
        <v>1026</v>
      </c>
      <c r="B8" s="1543" t="s">
        <v>1027</v>
      </c>
      <c r="C8" s="1544" t="s">
        <v>319</v>
      </c>
      <c r="F8" s="1545" t="s">
        <v>1028</v>
      </c>
      <c r="H8" s="1545" t="s">
        <v>2568</v>
      </c>
      <c r="I8" s="1545" t="s">
        <v>3336</v>
      </c>
    </row>
    <row r="9" spans="1:23">
      <c r="A9" s="1543" t="s">
        <v>1029</v>
      </c>
      <c r="B9" s="1543" t="s">
        <v>1030</v>
      </c>
      <c r="C9" s="1544" t="s">
        <v>320</v>
      </c>
      <c r="F9" s="1545" t="s">
        <v>1031</v>
      </c>
      <c r="H9" s="1545"/>
      <c r="I9" s="1548" t="s">
        <v>3337</v>
      </c>
    </row>
    <row r="10" spans="1:23">
      <c r="A10" s="1543" t="s">
        <v>1032</v>
      </c>
      <c r="B10" s="1543" t="s">
        <v>1033</v>
      </c>
      <c r="C10" s="1544" t="s">
        <v>321</v>
      </c>
      <c r="F10" s="1545" t="s">
        <v>2569</v>
      </c>
      <c r="I10" s="1548" t="s">
        <v>3338</v>
      </c>
    </row>
    <row r="11" spans="1:23">
      <c r="A11" s="1543" t="s">
        <v>1034</v>
      </c>
      <c r="B11" s="1543" t="s">
        <v>1035</v>
      </c>
      <c r="C11" s="1544" t="s">
        <v>322</v>
      </c>
      <c r="F11" s="1545" t="s">
        <v>13</v>
      </c>
      <c r="I11" s="1548" t="s">
        <v>3339</v>
      </c>
    </row>
    <row r="12" spans="1:23">
      <c r="A12" s="1543" t="s">
        <v>1036</v>
      </c>
      <c r="B12" s="1543" t="s">
        <v>1037</v>
      </c>
      <c r="C12" s="1544" t="s">
        <v>323</v>
      </c>
      <c r="I12" s="1548" t="s">
        <v>3340</v>
      </c>
    </row>
    <row r="13" spans="1:23">
      <c r="A13" s="1543" t="s">
        <v>1038</v>
      </c>
      <c r="B13" s="1543" t="s">
        <v>1039</v>
      </c>
      <c r="C13" s="1544" t="s">
        <v>324</v>
      </c>
      <c r="I13" s="1548" t="s">
        <v>3341</v>
      </c>
    </row>
    <row r="14" spans="1:23">
      <c r="A14" s="1543" t="s">
        <v>1040</v>
      </c>
      <c r="B14" s="1543" t="s">
        <v>1041</v>
      </c>
      <c r="C14" s="1545" t="s">
        <v>13</v>
      </c>
      <c r="I14" s="1548" t="s">
        <v>3342</v>
      </c>
    </row>
    <row r="15" spans="1:23">
      <c r="A15" s="1543" t="s">
        <v>1042</v>
      </c>
      <c r="B15" s="1543" t="s">
        <v>1043</v>
      </c>
      <c r="C15" s="1544"/>
      <c r="I15" s="1548" t="s">
        <v>3343</v>
      </c>
    </row>
    <row r="16" spans="1:23">
      <c r="A16" s="1543" t="s">
        <v>1044</v>
      </c>
      <c r="B16" s="1543" t="s">
        <v>312</v>
      </c>
      <c r="C16" s="1544"/>
    </row>
    <row r="17" spans="1:3">
      <c r="A17" s="1543" t="s">
        <v>1045</v>
      </c>
      <c r="B17" s="1543" t="s">
        <v>2281</v>
      </c>
      <c r="C17" s="1544"/>
    </row>
    <row r="18" spans="1:3">
      <c r="A18" s="1543" t="s">
        <v>1046</v>
      </c>
      <c r="B18" s="1543" t="s">
        <v>2424</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1" t="s">
        <v>385</v>
      </c>
      <c r="C54" s="1548" t="s">
        <v>583</v>
      </c>
    </row>
    <row r="55" spans="1:4">
      <c r="A55" s="3511"/>
      <c r="B55" s="1551" t="s">
        <v>386</v>
      </c>
      <c r="C55" s="1548" t="s">
        <v>584</v>
      </c>
    </row>
    <row r="56" spans="1:4">
      <c r="A56" s="3511"/>
      <c r="B56" s="1551" t="s">
        <v>387</v>
      </c>
      <c r="C56" s="1548" t="s">
        <v>588</v>
      </c>
    </row>
    <row r="57" spans="1:4">
      <c r="A57" s="351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2491</v>
      </c>
      <c r="B1" s="3005"/>
      <c r="C1" s="3005"/>
      <c r="D1" s="3005"/>
      <c r="E1" s="3005"/>
      <c r="F1" s="3006"/>
      <c r="I1" s="3428" t="s">
        <v>2584</v>
      </c>
      <c r="J1" s="3217"/>
      <c r="K1" s="3217"/>
      <c r="L1" s="3217"/>
      <c r="M1" s="3217"/>
      <c r="N1" s="3429"/>
      <c r="O1" s="3429"/>
      <c r="P1" s="3429"/>
      <c r="Q1" s="3429"/>
      <c r="R1" s="3429"/>
    </row>
    <row r="2" spans="1:18">
      <c r="A2" s="3008"/>
      <c r="B2" s="3009"/>
      <c r="C2" s="3009"/>
      <c r="D2" s="3009"/>
      <c r="E2" s="3009"/>
      <c r="F2" s="3010"/>
      <c r="I2" s="3512" t="s">
        <v>2571</v>
      </c>
      <c r="J2" s="3512"/>
      <c r="K2" s="3512"/>
      <c r="L2" s="3512"/>
      <c r="M2" s="3512"/>
      <c r="N2" s="3512"/>
      <c r="O2" s="3512"/>
      <c r="P2" s="3512"/>
      <c r="Q2" s="3512"/>
      <c r="R2" s="3512"/>
    </row>
    <row r="3" spans="1:18">
      <c r="A3" s="3011" t="s">
        <v>2492</v>
      </c>
      <c r="B3" s="3012">
        <f>项目基本情况!D3</f>
        <v>45076</v>
      </c>
      <c r="C3" s="3014"/>
      <c r="D3" s="3014"/>
      <c r="E3" s="3014"/>
      <c r="F3" s="3010"/>
      <c r="I3" s="3430"/>
      <c r="J3" s="3430" t="s">
        <v>2575</v>
      </c>
      <c r="K3" s="3430" t="s">
        <v>2576</v>
      </c>
      <c r="L3" s="3430" t="s">
        <v>2577</v>
      </c>
      <c r="M3" s="3430" t="s">
        <v>2578</v>
      </c>
      <c r="N3" s="3431" t="s">
        <v>2579</v>
      </c>
      <c r="O3" s="3431" t="s">
        <v>2580</v>
      </c>
      <c r="P3" s="3431" t="s">
        <v>2581</v>
      </c>
      <c r="Q3" s="3431" t="s">
        <v>2582</v>
      </c>
      <c r="R3" s="3431" t="s">
        <v>2583</v>
      </c>
    </row>
    <row r="4" spans="1:18">
      <c r="A4" s="3011" t="s">
        <v>2493</v>
      </c>
      <c r="B4" s="3014" t="s">
        <v>2494</v>
      </c>
      <c r="C4" s="3014" t="s">
        <v>2495</v>
      </c>
      <c r="D4" s="3014" t="s">
        <v>2496</v>
      </c>
      <c r="E4" s="3014" t="s">
        <v>2497</v>
      </c>
      <c r="F4" s="3010"/>
      <c r="I4" s="3430" t="s">
        <v>2572</v>
      </c>
      <c r="J4" s="3430">
        <v>80</v>
      </c>
      <c r="K4" s="3430">
        <v>70</v>
      </c>
      <c r="L4" s="3430">
        <v>20</v>
      </c>
      <c r="M4" s="3430">
        <v>30</v>
      </c>
      <c r="N4" s="3014">
        <v>45</v>
      </c>
      <c r="O4" s="3014">
        <v>60</v>
      </c>
      <c r="P4" s="3014">
        <v>50</v>
      </c>
      <c r="Q4" s="3014">
        <v>20</v>
      </c>
      <c r="R4" s="3014">
        <v>375</v>
      </c>
    </row>
    <row r="5" spans="1:18">
      <c r="A5" s="3015">
        <v>40</v>
      </c>
      <c r="B5" s="3012">
        <v>46375</v>
      </c>
      <c r="C5" s="3014">
        <f>ROUNDDOWN(MIN((B5-B3)/365,A5),2)</f>
        <v>3.55</v>
      </c>
      <c r="D5" s="3016">
        <f>IF(ISERROR(ROUND(POWER(1+E5,A5-C5)*(POWER(1+E5,C5)-1)/(POWER(1+E5,A5)-1),3)),0,ROUND(POWER(1+E5,A5-C5)*(POWER(1+E5,C5)-1)/(POWER(1+E5,A5)-1),4))</f>
        <v>0.16420000000000001</v>
      </c>
      <c r="E5" s="3017">
        <v>0.04</v>
      </c>
      <c r="F5" s="3010"/>
      <c r="I5" s="3430" t="s">
        <v>2573</v>
      </c>
      <c r="J5" s="3430">
        <v>70</v>
      </c>
      <c r="K5" s="3430">
        <v>60</v>
      </c>
      <c r="L5" s="3430">
        <v>15</v>
      </c>
      <c r="M5" s="3430">
        <v>25</v>
      </c>
      <c r="N5" s="3014">
        <v>40</v>
      </c>
      <c r="O5" s="3014">
        <v>50</v>
      </c>
      <c r="P5" s="3014">
        <v>40</v>
      </c>
      <c r="Q5" s="3014">
        <v>15</v>
      </c>
      <c r="R5" s="3014">
        <v>315</v>
      </c>
    </row>
    <row r="6" spans="1:18">
      <c r="A6" s="3015">
        <v>50</v>
      </c>
      <c r="B6" s="3012">
        <v>50028</v>
      </c>
      <c r="C6" s="3014">
        <f>ROUNDDOWN(MIN((B6-B3)/365,A6),2)</f>
        <v>13.56</v>
      </c>
      <c r="D6" s="3016">
        <f>IF(ISERROR(ROUND(POWER(1+E6,A6-C6)*(POWER(1+E6,C6)-1)/(POWER(1+E6,A6)-1),3)),0,ROUND(POWER(1+E6,A6-C6)*(POWER(1+E6,C6)-1)/(POWER(1+E6,A6)-1),4))</f>
        <v>0.48</v>
      </c>
      <c r="E6" s="3017">
        <v>0.04</v>
      </c>
      <c r="F6" s="3010"/>
      <c r="I6" s="3430" t="s">
        <v>2574</v>
      </c>
      <c r="J6" s="3430">
        <v>60</v>
      </c>
      <c r="K6" s="3430">
        <v>50</v>
      </c>
      <c r="L6" s="3430">
        <v>10</v>
      </c>
      <c r="M6" s="3430">
        <v>20</v>
      </c>
      <c r="N6" s="3014">
        <v>35</v>
      </c>
      <c r="O6" s="3014">
        <v>40</v>
      </c>
      <c r="P6" s="3014">
        <v>30</v>
      </c>
      <c r="Q6" s="3014">
        <v>10</v>
      </c>
      <c r="R6" s="3014">
        <v>255</v>
      </c>
    </row>
    <row r="7" spans="1:18">
      <c r="A7" s="3015">
        <v>70</v>
      </c>
      <c r="B7" s="3012">
        <v>57333</v>
      </c>
      <c r="C7" s="3014">
        <f>ROUNDDOWN(MIN((B7-B3)/365,A7),2)</f>
        <v>33.58</v>
      </c>
      <c r="D7" s="3016">
        <f>IF(ISERROR(ROUND(POWER(1+E7,A7-C7)*(POWER(1+E7,C7)-1)/(POWER(1+E7,A7)-1),3)),0,ROUND(POWER(1+E7,A7-C7)*(POWER(1+E7,C7)-1)/(POWER(1+E7,A7)-1),4))</f>
        <v>0.7823</v>
      </c>
      <c r="E7" s="3017">
        <v>0.04</v>
      </c>
      <c r="F7" s="3010"/>
    </row>
    <row r="8" spans="1:18">
      <c r="A8" s="3008"/>
      <c r="B8" s="3009"/>
      <c r="C8" s="3009"/>
      <c r="D8" s="3009"/>
      <c r="E8" s="3009"/>
      <c r="F8" s="3010"/>
    </row>
    <row r="9" spans="1:18">
      <c r="A9" s="3011" t="s">
        <v>2498</v>
      </c>
      <c r="B9" s="3014"/>
      <c r="C9" s="3014"/>
      <c r="D9" s="3014"/>
      <c r="E9" s="3014"/>
      <c r="F9" s="3018"/>
    </row>
    <row r="10" spans="1:18">
      <c r="A10" s="3011" t="s">
        <v>2499</v>
      </c>
      <c r="B10" s="3014"/>
      <c r="C10" s="3014"/>
      <c r="D10" s="3014" t="s">
        <v>2497</v>
      </c>
      <c r="E10" s="3014"/>
      <c r="F10" s="3018" t="s">
        <v>2496</v>
      </c>
    </row>
    <row r="11" spans="1:18">
      <c r="A11" s="3011" t="s">
        <v>2500</v>
      </c>
      <c r="B11" s="3019">
        <v>70</v>
      </c>
      <c r="C11" s="3014" t="s">
        <v>2501</v>
      </c>
      <c r="D11" s="3020">
        <v>4.4999999999999998E-2</v>
      </c>
      <c r="E11" s="3014" t="s">
        <v>2502</v>
      </c>
      <c r="F11" s="3021">
        <f>ROUND(1-(1/(POWER(1+D11,B11))),4)</f>
        <v>0.95409999999999995</v>
      </c>
    </row>
    <row r="12" spans="1:18">
      <c r="A12" s="3011" t="s">
        <v>2503</v>
      </c>
      <c r="B12" s="3019">
        <v>40</v>
      </c>
      <c r="C12" s="3014" t="s">
        <v>2504</v>
      </c>
      <c r="D12" s="3020">
        <v>4.4999999999999998E-2</v>
      </c>
      <c r="E12" s="3014" t="s">
        <v>2505</v>
      </c>
      <c r="F12" s="3021">
        <f>ROUND(1-(1/(POWER(1+D12,B12))),4)</f>
        <v>0.82809999999999995</v>
      </c>
    </row>
    <row r="13" spans="1:18">
      <c r="A13" s="3011" t="s">
        <v>2506</v>
      </c>
      <c r="B13" s="3014"/>
      <c r="C13" s="3014"/>
      <c r="D13" s="3009"/>
      <c r="E13" s="3009"/>
      <c r="F13" s="3010"/>
    </row>
    <row r="14" spans="1:18">
      <c r="A14" s="3011" t="s">
        <v>2507</v>
      </c>
      <c r="B14" s="3019">
        <v>5000</v>
      </c>
      <c r="C14" s="3013"/>
      <c r="D14" s="3009"/>
      <c r="E14" s="3009"/>
      <c r="F14" s="3010"/>
    </row>
    <row r="15" spans="1:18">
      <c r="A15" s="3011" t="s">
        <v>2508</v>
      </c>
      <c r="B15" s="3014">
        <f>ROUND(B14*F12/F11,2)</f>
        <v>4339.6899999999996</v>
      </c>
      <c r="C15" s="3014">
        <f>ROUND(F12/F11,4)</f>
        <v>0.8679</v>
      </c>
      <c r="D15" s="3009"/>
      <c r="E15" s="3009"/>
      <c r="F15" s="3010"/>
    </row>
    <row r="16" spans="1:18">
      <c r="A16" s="3011" t="s">
        <v>2509</v>
      </c>
      <c r="B16" s="3014"/>
      <c r="C16" s="3014"/>
      <c r="D16" s="3009"/>
      <c r="E16" s="3009"/>
      <c r="F16" s="3010"/>
    </row>
    <row r="17" spans="1:13">
      <c r="A17" s="3011" t="s">
        <v>2508</v>
      </c>
      <c r="B17" s="3020">
        <v>4810</v>
      </c>
      <c r="C17" s="3013"/>
      <c r="D17" s="3009"/>
      <c r="E17" s="3009"/>
      <c r="F17" s="3010"/>
    </row>
    <row r="18" spans="1:13" ht="14.25" thickBot="1">
      <c r="A18" s="3022" t="s">
        <v>2507</v>
      </c>
      <c r="B18" s="3023">
        <f>ROUND(B17*F11/F12,2)</f>
        <v>5541.87</v>
      </c>
      <c r="C18" s="3023">
        <f>ROUND(F11/F12,4)</f>
        <v>1.1521999999999999</v>
      </c>
      <c r="D18" s="3024"/>
      <c r="E18" s="3024"/>
      <c r="F18" s="3025"/>
    </row>
    <row r="19" spans="1:13" ht="14.25" thickBot="1"/>
    <row r="20" spans="1:13" s="3060" customFormat="1" ht="14.25" thickTop="1">
      <c r="A20" s="3057" t="s">
        <v>2510</v>
      </c>
      <c r="B20" s="3058"/>
      <c r="C20" s="3058"/>
      <c r="D20" s="3058"/>
      <c r="E20" s="3058"/>
      <c r="F20" s="3058"/>
      <c r="G20" s="3059"/>
      <c r="I20" s="3061" t="s">
        <v>2555</v>
      </c>
      <c r="J20" s="3061" t="s">
        <v>2560</v>
      </c>
      <c r="K20" s="3061"/>
      <c r="L20" s="3061"/>
      <c r="M20" s="3061"/>
    </row>
    <row r="21" spans="1:13">
      <c r="A21" s="3026"/>
      <c r="B21" s="3027" t="s">
        <v>2511</v>
      </c>
      <c r="C21" s="3027" t="s">
        <v>2512</v>
      </c>
      <c r="D21" s="3027" t="s">
        <v>2513</v>
      </c>
      <c r="E21" s="3027" t="s">
        <v>2514</v>
      </c>
      <c r="F21" s="3027" t="s">
        <v>2515</v>
      </c>
      <c r="G21" s="3028" t="s">
        <v>2516</v>
      </c>
      <c r="I21" s="3049">
        <v>5</v>
      </c>
      <c r="J21" s="3049">
        <v>54.2</v>
      </c>
    </row>
    <row r="22" spans="1:13">
      <c r="A22" s="3026" t="s">
        <v>2517</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2518</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2558</v>
      </c>
      <c r="M23" s="3049" t="s">
        <v>2559</v>
      </c>
    </row>
    <row r="24" spans="1:13">
      <c r="A24" s="3026" t="s">
        <v>2519</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2557</v>
      </c>
      <c r="M24" s="3049">
        <v>10</v>
      </c>
    </row>
    <row r="25" spans="1:13">
      <c r="A25" s="3026" t="s">
        <v>2520</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2561</v>
      </c>
      <c r="M25" s="3049">
        <v>8</v>
      </c>
    </row>
    <row r="26" spans="1:13">
      <c r="A26" s="3031"/>
      <c r="B26" s="3032"/>
      <c r="C26" s="3032"/>
      <c r="D26" s="3032"/>
      <c r="E26" s="3032"/>
      <c r="F26" s="3032"/>
      <c r="G26" s="3033"/>
      <c r="I26" s="3049">
        <v>30</v>
      </c>
      <c r="J26" s="3049">
        <v>90.5</v>
      </c>
      <c r="K26" s="3049">
        <f t="shared" si="2"/>
        <v>4.2000000000000028</v>
      </c>
      <c r="L26" s="3049" t="s">
        <v>2562</v>
      </c>
      <c r="M26" s="3049">
        <v>5</v>
      </c>
    </row>
    <row r="27" spans="1:13">
      <c r="A27" s="3031" t="s">
        <v>2521</v>
      </c>
      <c r="B27" s="3032"/>
      <c r="C27" s="3032"/>
      <c r="D27" s="3032"/>
      <c r="E27" s="3032"/>
      <c r="F27" s="3032"/>
      <c r="G27" s="3033"/>
      <c r="I27" s="3049">
        <v>35</v>
      </c>
      <c r="J27" s="3049">
        <v>93.8</v>
      </c>
      <c r="K27" s="3049">
        <f t="shared" si="2"/>
        <v>3.2999999999999972</v>
      </c>
      <c r="L27" s="3049" t="s">
        <v>2563</v>
      </c>
      <c r="M27" s="3049">
        <v>3</v>
      </c>
    </row>
    <row r="28" spans="1:13">
      <c r="A28" s="3031" t="s">
        <v>2522</v>
      </c>
      <c r="B28" s="3032"/>
      <c r="C28" s="3032"/>
      <c r="D28" s="3032"/>
      <c r="E28" s="3032"/>
      <c r="F28" s="3032"/>
      <c r="G28" s="3033"/>
      <c r="I28" s="3049">
        <v>40</v>
      </c>
      <c r="J28" s="3049">
        <v>96.4</v>
      </c>
      <c r="K28" s="3049">
        <f t="shared" si="2"/>
        <v>2.6000000000000085</v>
      </c>
      <c r="L28" s="3049" t="s">
        <v>2564</v>
      </c>
      <c r="M28" s="3049">
        <v>2</v>
      </c>
    </row>
    <row r="29" spans="1:13">
      <c r="A29" s="3031" t="s">
        <v>2523</v>
      </c>
      <c r="B29" s="3032"/>
      <c r="C29" s="3032"/>
      <c r="D29" s="3032"/>
      <c r="E29" s="3032"/>
      <c r="F29" s="3032"/>
      <c r="G29" s="3033"/>
      <c r="I29" s="3049">
        <v>45</v>
      </c>
      <c r="J29" s="3049">
        <v>98.4</v>
      </c>
      <c r="K29" s="3049">
        <f t="shared" si="2"/>
        <v>2</v>
      </c>
    </row>
    <row r="30" spans="1:13">
      <c r="A30" s="3031" t="s">
        <v>2524</v>
      </c>
      <c r="B30" s="3032"/>
      <c r="C30" s="3032"/>
      <c r="D30" s="3032"/>
      <c r="E30" s="3032"/>
      <c r="F30" s="3032"/>
      <c r="G30" s="3033"/>
      <c r="I30" s="3049">
        <v>50</v>
      </c>
      <c r="J30" s="3049">
        <v>100</v>
      </c>
      <c r="K30" s="3049">
        <f t="shared" si="2"/>
        <v>1.5999999999999943</v>
      </c>
    </row>
    <row r="31" spans="1:13">
      <c r="A31" s="3031" t="s">
        <v>2525</v>
      </c>
      <c r="B31" s="3032"/>
      <c r="C31" s="3032"/>
      <c r="D31" s="3032"/>
      <c r="E31" s="3032"/>
      <c r="F31" s="3032"/>
      <c r="G31" s="3033"/>
      <c r="I31" s="3049" t="s">
        <v>2556</v>
      </c>
    </row>
    <row r="32" spans="1:13">
      <c r="A32" s="3031" t="s">
        <v>2526</v>
      </c>
      <c r="B32" s="3032"/>
      <c r="C32" s="3032"/>
      <c r="D32" s="3032"/>
      <c r="E32" s="3032"/>
      <c r="F32" s="3032"/>
      <c r="G32" s="3033"/>
    </row>
    <row r="33" spans="1:13">
      <c r="A33" s="3031" t="s">
        <v>2527</v>
      </c>
      <c r="B33" s="3032"/>
      <c r="C33" s="3032"/>
      <c r="D33" s="3032"/>
      <c r="E33" s="3032"/>
      <c r="F33" s="3032"/>
      <c r="G33" s="3033"/>
      <c r="I33" s="3049" t="s">
        <v>2555</v>
      </c>
      <c r="J33" s="3049" t="s">
        <v>2565</v>
      </c>
    </row>
    <row r="34" spans="1:13">
      <c r="A34" s="3031" t="s">
        <v>2528</v>
      </c>
      <c r="B34" s="3032"/>
      <c r="C34" s="3032"/>
      <c r="D34" s="3032"/>
      <c r="E34" s="3032"/>
      <c r="F34" s="3032"/>
      <c r="G34" s="3033"/>
      <c r="I34" s="3049">
        <v>5</v>
      </c>
      <c r="J34" s="3049">
        <v>55.1</v>
      </c>
    </row>
    <row r="35" spans="1:13">
      <c r="A35" s="3031" t="s">
        <v>2529</v>
      </c>
      <c r="B35" s="3032"/>
      <c r="C35" s="3032"/>
      <c r="D35" s="3032"/>
      <c r="E35" s="3032"/>
      <c r="F35" s="3032"/>
      <c r="G35" s="3033"/>
      <c r="I35" s="3049">
        <v>10</v>
      </c>
      <c r="J35" s="3049">
        <v>67</v>
      </c>
      <c r="K35" s="3049">
        <f>J35-J34</f>
        <v>11.899999999999999</v>
      </c>
    </row>
    <row r="36" spans="1:13">
      <c r="A36" s="3031" t="s">
        <v>2530</v>
      </c>
      <c r="B36" s="3032"/>
      <c r="C36" s="3032"/>
      <c r="D36" s="3032"/>
      <c r="E36" s="3032"/>
      <c r="F36" s="3032"/>
      <c r="G36" s="3033"/>
      <c r="I36" s="3049">
        <v>15</v>
      </c>
      <c r="J36" s="3049">
        <v>76.3</v>
      </c>
      <c r="K36" s="3049">
        <f t="shared" ref="K36:K41" si="3">J36-J35</f>
        <v>9.2999999999999972</v>
      </c>
      <c r="L36" s="3049" t="s">
        <v>2558</v>
      </c>
      <c r="M36" s="3049" t="s">
        <v>2559</v>
      </c>
    </row>
    <row r="37" spans="1:13">
      <c r="A37" s="3031" t="s">
        <v>2531</v>
      </c>
      <c r="B37" s="3032"/>
      <c r="C37" s="3032"/>
      <c r="D37" s="3032"/>
      <c r="E37" s="3032"/>
      <c r="F37" s="3032"/>
      <c r="G37" s="3033"/>
      <c r="I37" s="3049">
        <v>20</v>
      </c>
      <c r="J37" s="3049">
        <v>83.6</v>
      </c>
      <c r="K37" s="3049">
        <f t="shared" si="3"/>
        <v>7.2999999999999972</v>
      </c>
      <c r="L37" s="3049" t="s">
        <v>2557</v>
      </c>
      <c r="M37" s="3049">
        <v>10</v>
      </c>
    </row>
    <row r="38" spans="1:13">
      <c r="A38" s="3031" t="s">
        <v>2532</v>
      </c>
      <c r="B38" s="3032"/>
      <c r="C38" s="3032"/>
      <c r="D38" s="3032"/>
      <c r="E38" s="3032"/>
      <c r="F38" s="3032"/>
      <c r="G38" s="3033"/>
      <c r="I38" s="3049">
        <v>25</v>
      </c>
      <c r="J38" s="3049">
        <v>89.3</v>
      </c>
      <c r="K38" s="3049">
        <f t="shared" si="3"/>
        <v>5.7000000000000028</v>
      </c>
      <c r="L38" s="3049" t="s">
        <v>2561</v>
      </c>
      <c r="M38" s="3049">
        <v>8</v>
      </c>
    </row>
    <row r="39" spans="1:13">
      <c r="A39" s="3031"/>
      <c r="B39" s="3032"/>
      <c r="C39" s="3032"/>
      <c r="D39" s="3032"/>
      <c r="E39" s="3032"/>
      <c r="F39" s="3032"/>
      <c r="G39" s="3033"/>
      <c r="I39" s="3049">
        <v>30</v>
      </c>
      <c r="J39" s="3049">
        <v>93.8</v>
      </c>
      <c r="K39" s="3049">
        <f t="shared" si="3"/>
        <v>4.5</v>
      </c>
      <c r="L39" s="3049" t="s">
        <v>2562</v>
      </c>
      <c r="M39" s="3049">
        <v>6</v>
      </c>
    </row>
    <row r="40" spans="1:13">
      <c r="A40" s="3034" t="s">
        <v>2533</v>
      </c>
      <c r="B40" s="3035"/>
      <c r="C40" s="3035"/>
      <c r="D40" s="3035"/>
      <c r="E40" s="3035"/>
      <c r="F40" s="3035"/>
      <c r="G40" s="3036"/>
      <c r="I40" s="3049">
        <v>35</v>
      </c>
      <c r="J40" s="3049">
        <v>97.2</v>
      </c>
      <c r="K40" s="3049">
        <f t="shared" si="3"/>
        <v>3.4000000000000057</v>
      </c>
      <c r="L40" s="3049" t="s">
        <v>2563</v>
      </c>
      <c r="M40" s="3049">
        <v>3</v>
      </c>
    </row>
    <row r="41" spans="1:13">
      <c r="A41" s="3037" t="s">
        <v>2534</v>
      </c>
      <c r="B41" s="3038" t="s">
        <v>2535</v>
      </c>
      <c r="C41" s="3039" t="s">
        <v>2536</v>
      </c>
      <c r="D41" s="3039" t="s">
        <v>2537</v>
      </c>
      <c r="E41" s="3040"/>
      <c r="F41" s="3041"/>
      <c r="G41" s="3042"/>
      <c r="I41" s="3049">
        <v>40</v>
      </c>
      <c r="J41" s="3049">
        <v>100</v>
      </c>
      <c r="K41" s="3049">
        <f t="shared" si="3"/>
        <v>2.7999999999999972</v>
      </c>
    </row>
    <row r="42" spans="1:13">
      <c r="A42" s="3037" t="s">
        <v>2538</v>
      </c>
      <c r="B42" s="3038" t="s">
        <v>2539</v>
      </c>
      <c r="C42" s="3039" t="s">
        <v>2540</v>
      </c>
      <c r="D42" s="3043" t="s">
        <v>2541</v>
      </c>
      <c r="E42" s="3035" t="s">
        <v>2542</v>
      </c>
      <c r="F42" s="3035"/>
      <c r="G42" s="3036"/>
    </row>
    <row r="43" spans="1:13">
      <c r="A43" s="3037" t="s">
        <v>2543</v>
      </c>
      <c r="B43" s="3038" t="s">
        <v>2544</v>
      </c>
      <c r="C43" s="3039" t="s">
        <v>2545</v>
      </c>
      <c r="D43" s="3039" t="s">
        <v>2546</v>
      </c>
      <c r="E43" s="3040" t="s">
        <v>2547</v>
      </c>
      <c r="F43" s="3041"/>
      <c r="G43" s="3042"/>
      <c r="I43" s="3049" t="s">
        <v>2555</v>
      </c>
      <c r="J43" s="3049" t="s">
        <v>2566</v>
      </c>
    </row>
    <row r="44" spans="1:13">
      <c r="A44" s="3037" t="s">
        <v>2548</v>
      </c>
      <c r="B44" s="3038" t="s">
        <v>2549</v>
      </c>
      <c r="C44" s="3039" t="s">
        <v>2550</v>
      </c>
      <c r="D44" s="3043">
        <v>0.5</v>
      </c>
      <c r="E44" s="3040" t="s">
        <v>2551</v>
      </c>
      <c r="F44" s="3041"/>
      <c r="G44" s="3042"/>
      <c r="I44" s="3049">
        <v>30</v>
      </c>
      <c r="J44" s="3049">
        <v>81.7</v>
      </c>
    </row>
    <row r="45" spans="1:13" ht="14.25" thickBot="1">
      <c r="A45" s="3044" t="s">
        <v>2552</v>
      </c>
      <c r="B45" s="3045" t="s">
        <v>2539</v>
      </c>
      <c r="C45" s="3046" t="s">
        <v>2539</v>
      </c>
      <c r="D45" s="3046" t="s">
        <v>2553</v>
      </c>
      <c r="E45" s="3047" t="s">
        <v>2554</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2168</v>
      </c>
      <c r="B1" s="3521" t="str">
        <f>IF(B10="北京市","北京市",C10)&amp;F10&amp;IF(结果表!G1="在建","出让国有建设用地使用权及在建建筑物",IF(结果表!G1="土地","出让国有建设用地使用权",))&amp;B9&amp;"预评估"</f>
        <v>北京市房地产市场价值预评估</v>
      </c>
      <c r="C1" s="3522"/>
      <c r="D1" s="3522"/>
      <c r="E1" s="3522"/>
      <c r="F1" s="3522"/>
      <c r="G1" s="3522"/>
      <c r="H1" s="3522"/>
      <c r="I1" s="3523"/>
      <c r="J1" s="2463"/>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北京市房地产市场价值</v>
      </c>
      <c r="T1" s="1742"/>
      <c r="U1" s="1742"/>
      <c r="V1" s="1742"/>
      <c r="W1" s="1742"/>
      <c r="X1" s="1742"/>
      <c r="Y1" s="1742"/>
      <c r="Z1" s="1742"/>
      <c r="AA1" s="1742"/>
      <c r="AB1" s="1742"/>
    </row>
    <row r="2" spans="1:30">
      <c r="A2" s="2363" t="s">
        <v>2169</v>
      </c>
      <c r="B2" s="2367"/>
      <c r="C2" s="2368"/>
      <c r="D2" s="2661"/>
      <c r="E2" s="2653"/>
      <c r="F2" s="2653"/>
      <c r="G2" s="2654"/>
      <c r="H2" s="2654"/>
      <c r="I2" s="2654"/>
      <c r="J2" s="2463"/>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2170</v>
      </c>
      <c r="B3" s="2369">
        <v>45076</v>
      </c>
      <c r="C3" s="2370" t="s">
        <v>2171</v>
      </c>
      <c r="D3" s="2369">
        <f>B3</f>
        <v>45076</v>
      </c>
      <c r="E3" s="2654"/>
      <c r="F3" s="2654"/>
      <c r="G3" s="2654"/>
      <c r="H3" s="2654"/>
      <c r="I3" s="2654"/>
      <c r="J3" s="2463"/>
      <c r="K3" s="2364"/>
      <c r="L3" s="2365"/>
      <c r="M3" s="2365"/>
      <c r="N3" s="2366"/>
      <c r="O3" s="1573"/>
      <c r="P3" s="2366"/>
      <c r="Q3" s="2366"/>
      <c r="R3" s="2366"/>
      <c r="S3" s="1679"/>
      <c r="T3" s="1742"/>
      <c r="U3" s="1742"/>
      <c r="V3" s="1742"/>
      <c r="W3" s="1742"/>
      <c r="X3" s="1742"/>
      <c r="Y3" s="1742"/>
      <c r="Z3" s="1742"/>
      <c r="AA3" s="1742"/>
      <c r="AB3" s="1742"/>
    </row>
    <row r="4" spans="1:30" ht="13.5" thickBot="1">
      <c r="A4" s="1087" t="s">
        <v>2172</v>
      </c>
      <c r="B4" s="2371" t="s">
        <v>3365</v>
      </c>
      <c r="C4" s="2372">
        <f ca="1">SUMIF(注册房地产估价师,B4,估价师及机构信息!B3:B24)</f>
        <v>1120100036</v>
      </c>
      <c r="D4" s="3441" t="s">
        <v>3366</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崔锴（注册号：1120100036)、郑燚（注册号：1120070131)</v>
      </c>
      <c r="L4" s="2365"/>
      <c r="M4" s="2365"/>
      <c r="N4" s="2366"/>
      <c r="O4" s="1573"/>
      <c r="P4" s="2366"/>
      <c r="Q4" s="2366"/>
      <c r="R4" s="2366"/>
      <c r="S4" s="1679"/>
      <c r="T4" s="1742"/>
      <c r="U4" s="1742"/>
      <c r="V4" s="1742"/>
      <c r="W4" s="1742"/>
      <c r="X4" s="1742"/>
      <c r="Y4" s="1742"/>
      <c r="Z4" s="1742"/>
      <c r="AA4" s="1742"/>
      <c r="AB4" s="1742"/>
    </row>
    <row r="5" spans="1:30" ht="13.5" thickTop="1">
      <c r="A5" s="2375" t="s">
        <v>2173</v>
      </c>
      <c r="B5" s="2376"/>
      <c r="C5" s="2377"/>
      <c r="D5" s="2378"/>
      <c r="E5" s="2655"/>
      <c r="F5" s="2655"/>
      <c r="G5" s="2655"/>
      <c r="H5" s="2655"/>
      <c r="I5" s="2655"/>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2174</v>
      </c>
      <c r="B6" s="2380"/>
      <c r="C6" s="2381"/>
      <c r="D6" s="2382"/>
      <c r="E6" s="2653"/>
      <c r="F6" s="2655"/>
      <c r="G6" s="2655"/>
      <c r="H6" s="2655"/>
      <c r="I6" s="2655"/>
      <c r="J6" s="2435"/>
      <c r="K6" s="2606" t="str">
        <f>IF(COUNTIF(B6,"*上海银行*"),"上海银行","")</f>
        <v/>
      </c>
      <c r="L6" s="2604"/>
      <c r="M6" s="2604"/>
      <c r="N6" s="2435"/>
      <c r="O6" s="2446"/>
      <c r="P6" s="2435"/>
      <c r="Q6" s="2435"/>
      <c r="R6" s="2435"/>
    </row>
    <row r="7" spans="1:30">
      <c r="A7" s="2379" t="s">
        <v>2175</v>
      </c>
      <c r="B7" s="2383"/>
      <c r="C7" s="2381"/>
      <c r="D7" s="2382"/>
      <c r="E7" s="2653"/>
      <c r="F7" s="2655"/>
      <c r="G7" s="2655"/>
      <c r="H7" s="2655"/>
      <c r="I7" s="2655"/>
      <c r="J7" s="2435"/>
      <c r="K7" s="2607"/>
      <c r="L7" s="2604"/>
      <c r="M7" s="2604"/>
      <c r="N7" s="2435"/>
      <c r="O7" s="2446"/>
      <c r="P7" s="2435"/>
      <c r="Q7" s="2435"/>
      <c r="R7" s="2435"/>
    </row>
    <row r="8" spans="1:30">
      <c r="A8" s="2384" t="s">
        <v>2176</v>
      </c>
      <c r="B8" s="2385" t="s">
        <v>3367</v>
      </c>
      <c r="C8" s="2386"/>
      <c r="D8" s="3524" t="s">
        <v>2177</v>
      </c>
      <c r="E8" s="2387"/>
      <c r="F8" s="2388"/>
      <c r="G8" s="2654"/>
      <c r="H8" s="2654"/>
      <c r="I8" s="2654"/>
      <c r="J8" s="2435"/>
      <c r="K8" s="2605"/>
      <c r="L8" s="2604"/>
      <c r="M8" s="2604"/>
      <c r="N8" s="2435"/>
      <c r="O8" s="2446"/>
      <c r="P8" s="2435"/>
      <c r="Q8" s="2435"/>
      <c r="R8" s="2435"/>
    </row>
    <row r="9" spans="1:30" ht="13.5" thickBot="1">
      <c r="A9" s="2389" t="s">
        <v>2178</v>
      </c>
      <c r="B9" s="2390" t="s">
        <v>3553</v>
      </c>
      <c r="C9" s="2391"/>
      <c r="D9" s="3525"/>
      <c r="E9" s="2390" t="s">
        <v>43</v>
      </c>
      <c r="F9" s="2392"/>
      <c r="G9" s="2656"/>
      <c r="H9" s="2656"/>
      <c r="I9" s="2656"/>
      <c r="J9" s="2435"/>
      <c r="K9" s="2607"/>
      <c r="L9" s="2604"/>
      <c r="M9" s="2604"/>
      <c r="N9" s="2435"/>
      <c r="O9" s="2446"/>
      <c r="P9" s="2435"/>
      <c r="Q9" s="2435"/>
      <c r="R9" s="2435"/>
    </row>
    <row r="10" spans="1:30" ht="13.5" thickTop="1">
      <c r="A10" s="2393" t="s">
        <v>2179</v>
      </c>
      <c r="B10" s="2394" t="s">
        <v>3368</v>
      </c>
      <c r="C10" s="2395"/>
      <c r="D10" s="2378"/>
      <c r="E10" s="2396" t="s">
        <v>2180</v>
      </c>
      <c r="F10" s="2657"/>
      <c r="G10" s="2658"/>
      <c r="H10" s="2659"/>
      <c r="I10" s="2660"/>
      <c r="J10" s="2435"/>
      <c r="K10" s="2607"/>
      <c r="L10" s="2604"/>
      <c r="M10" s="2604"/>
      <c r="N10" s="2435"/>
      <c r="O10" s="2446"/>
      <c r="P10" s="2435"/>
      <c r="Q10" s="2435"/>
      <c r="R10" s="2435"/>
    </row>
    <row r="11" spans="1:30">
      <c r="A11" s="2397" t="s">
        <v>2181</v>
      </c>
      <c r="B11" s="2398" t="s">
        <v>3369</v>
      </c>
      <c r="C11" s="2399"/>
      <c r="D11" s="2400"/>
      <c r="E11" s="2366"/>
      <c r="F11" s="2366"/>
      <c r="G11" s="2366"/>
      <c r="H11" s="2366"/>
      <c r="I11" s="2366"/>
      <c r="J11" s="3052"/>
      <c r="K11" s="3051"/>
      <c r="L11" s="2604"/>
      <c r="M11" s="2604"/>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0" t="s">
        <v>2567</v>
      </c>
      <c r="J12" s="3053"/>
      <c r="K12" s="2604"/>
      <c r="L12" s="2604"/>
      <c r="M12" s="2435"/>
      <c r="N12" s="2446"/>
      <c r="O12" s="2435"/>
      <c r="P12" s="2435"/>
      <c r="Q12" s="2435"/>
      <c r="AD12" s="1742"/>
    </row>
    <row r="13" spans="1:30">
      <c r="A13" s="3414" t="s">
        <v>3325</v>
      </c>
      <c r="B13" s="2403" t="s">
        <v>2190</v>
      </c>
      <c r="C13" s="853"/>
      <c r="D13" s="853"/>
      <c r="E13" s="853"/>
      <c r="F13" s="853"/>
      <c r="G13" s="853"/>
      <c r="H13" s="853"/>
      <c r="I13" s="853"/>
      <c r="J13" s="3053"/>
      <c r="K13" s="2604"/>
      <c r="L13" s="2604"/>
      <c r="M13" s="2435"/>
      <c r="N13" s="2446"/>
      <c r="O13" s="2435"/>
      <c r="P13" s="2435"/>
      <c r="Q13" s="2435"/>
      <c r="AD13" s="1742"/>
    </row>
    <row r="14" spans="1:30">
      <c r="A14" s="1078"/>
      <c r="B14" s="2403" t="s">
        <v>2191</v>
      </c>
      <c r="C14" s="2404">
        <v>70</v>
      </c>
      <c r="D14" s="2404">
        <v>40</v>
      </c>
      <c r="E14" s="2404">
        <v>50</v>
      </c>
      <c r="F14" s="2404">
        <v>50</v>
      </c>
      <c r="G14" s="2404">
        <v>50</v>
      </c>
      <c r="H14" s="2404">
        <v>50</v>
      </c>
      <c r="I14" s="2404">
        <v>50</v>
      </c>
      <c r="J14" s="3054"/>
      <c r="K14" s="2604"/>
      <c r="L14" s="2604"/>
      <c r="M14" s="2435"/>
      <c r="N14" s="2446"/>
      <c r="O14" s="2435"/>
      <c r="P14" s="2435"/>
      <c r="Q14" s="2435"/>
      <c r="AD14" s="1742"/>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5"/>
      <c r="K15" s="2447"/>
      <c r="L15" s="2447"/>
      <c r="M15" s="2500"/>
      <c r="N15" s="2447"/>
      <c r="O15" s="2500"/>
      <c r="P15" s="2435"/>
      <c r="Q15" s="2435"/>
      <c r="AD15" s="1742"/>
    </row>
    <row r="16" spans="1:30">
      <c r="A16" s="2396" t="s">
        <v>2193</v>
      </c>
      <c r="B16" s="3531"/>
      <c r="C16" s="3532"/>
      <c r="D16" s="3533"/>
      <c r="E16" s="2409" t="s">
        <v>2194</v>
      </c>
      <c r="F16" s="3534"/>
      <c r="G16" s="3535"/>
      <c r="H16" s="3535"/>
      <c r="I16" s="3536"/>
      <c r="J16" s="2435"/>
      <c r="K16" s="2608"/>
      <c r="L16" s="2447"/>
      <c r="M16" s="2447"/>
      <c r="N16" s="2500"/>
      <c r="O16" s="2447"/>
      <c r="P16" s="2500"/>
      <c r="Q16" s="2435"/>
      <c r="R16" s="2435"/>
    </row>
    <row r="17" spans="1:28">
      <c r="A17" s="313" t="s">
        <v>2195</v>
      </c>
      <c r="B17" s="302" t="s">
        <v>2196</v>
      </c>
      <c r="C17" s="8">
        <f>'数据-汇总表'!E3</f>
        <v>0</v>
      </c>
      <c r="D17" s="2318" t="s">
        <v>2197</v>
      </c>
      <c r="E17" s="3537" t="s">
        <v>2198</v>
      </c>
      <c r="F17" s="3538"/>
      <c r="G17" s="3538"/>
      <c r="H17" s="3538"/>
      <c r="I17" s="3539"/>
      <c r="J17" s="2435"/>
      <c r="K17" s="2609"/>
      <c r="L17" s="2447"/>
      <c r="M17" s="2447"/>
      <c r="N17" s="2500"/>
      <c r="O17" s="2447"/>
      <c r="P17" s="2500"/>
      <c r="Q17" s="2435"/>
      <c r="R17" s="2435"/>
      <c r="S17" s="2435"/>
      <c r="T17" s="2435"/>
      <c r="U17" s="2435"/>
      <c r="V17" s="2435"/>
    </row>
    <row r="18" spans="1:28" ht="26.25" thickBot="1">
      <c r="A18" s="2410" t="s">
        <v>3370</v>
      </c>
      <c r="B18" s="1087" t="s">
        <v>2199</v>
      </c>
      <c r="C18" s="2411" t="e">
        <f>'数据-汇总表'!D3</f>
        <v>#DIV/0!</v>
      </c>
      <c r="D18" s="1089" t="s">
        <v>2200</v>
      </c>
      <c r="E18" s="3540" t="s">
        <v>2201</v>
      </c>
      <c r="F18" s="3541"/>
      <c r="G18" s="3541"/>
      <c r="H18" s="3541"/>
      <c r="I18" s="3542"/>
      <c r="J18" s="2435"/>
      <c r="K18" s="2609"/>
      <c r="L18" s="2447"/>
      <c r="M18" s="2447"/>
      <c r="N18" s="2500"/>
      <c r="O18" s="2447"/>
      <c r="P18" s="2500"/>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55"/>
      <c r="I19" s="2655"/>
      <c r="J19" s="2435"/>
      <c r="K19" s="2607"/>
      <c r="L19" s="2604"/>
      <c r="M19" s="2604"/>
      <c r="N19" s="2500"/>
      <c r="O19" s="2447"/>
      <c r="P19" s="2500"/>
      <c r="Q19" s="2435"/>
      <c r="R19" s="2435"/>
      <c r="S19" s="2435"/>
      <c r="T19" s="2435"/>
      <c r="U19" s="2435"/>
      <c r="V19" s="2435"/>
    </row>
    <row r="20" spans="1:28">
      <c r="A20" s="2623" t="s">
        <v>2204</v>
      </c>
      <c r="B20" s="3527" t="s">
        <v>2205</v>
      </c>
      <c r="C20" s="3528"/>
      <c r="D20" s="3529" t="s">
        <v>2206</v>
      </c>
      <c r="E20" s="3530"/>
      <c r="F20" s="2638" t="s">
        <v>1056</v>
      </c>
      <c r="G20" s="2655"/>
      <c r="H20" s="2655"/>
      <c r="I20" s="2655"/>
      <c r="J20" s="2435"/>
      <c r="K20" s="3526" t="s">
        <v>2207</v>
      </c>
      <c r="L20" s="681"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6.25" thickBot="1">
      <c r="A21" s="2623"/>
      <c r="B21" s="2624" t="s">
        <v>3371</v>
      </c>
      <c r="C21" s="2625" t="s">
        <v>1057</v>
      </c>
      <c r="D21" s="1565"/>
      <c r="E21" s="2626"/>
      <c r="F21" s="2639"/>
      <c r="G21" s="2655"/>
      <c r="H21" s="2655"/>
      <c r="I21" s="2655"/>
      <c r="J21" s="2435"/>
      <c r="K21" s="3526"/>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24.75" thickBot="1">
      <c r="A22" s="2623"/>
      <c r="B22" s="2627" t="s">
        <v>2208</v>
      </c>
      <c r="C22" s="2625" t="s">
        <v>1058</v>
      </c>
      <c r="D22" s="2654"/>
      <c r="E22" s="2654"/>
      <c r="F22" s="2654"/>
      <c r="G22" s="2655"/>
      <c r="H22" s="2655"/>
      <c r="I22" s="2655"/>
      <c r="J22" s="2435"/>
      <c r="K22" s="3526"/>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28" t="s">
        <v>2209</v>
      </c>
      <c r="B23" s="2493" t="s">
        <v>2210</v>
      </c>
      <c r="C23" s="2629"/>
      <c r="D23" s="2630" t="s">
        <v>2210</v>
      </c>
      <c r="E23" s="2631"/>
      <c r="F23" s="2654"/>
      <c r="G23" s="2655"/>
      <c r="H23" s="2655"/>
      <c r="I23" s="2655"/>
      <c r="J23" s="2435"/>
      <c r="K23" s="2610"/>
      <c r="L23" s="2466"/>
      <c r="M23" s="2604"/>
      <c r="N23" s="2500"/>
      <c r="O23" s="2447"/>
      <c r="P23" s="2500"/>
      <c r="Q23" s="2435"/>
      <c r="R23" s="2435"/>
      <c r="S23" s="2435"/>
      <c r="T23" s="2435"/>
      <c r="U23" s="2435"/>
      <c r="V23" s="2435"/>
    </row>
    <row r="24" spans="1:28">
      <c r="A24" s="2628"/>
      <c r="B24" s="2493" t="s">
        <v>1059</v>
      </c>
      <c r="C24" s="2632"/>
      <c r="D24" s="2628" t="s">
        <v>1059</v>
      </c>
      <c r="E24" s="2633"/>
      <c r="F24" s="2654"/>
      <c r="G24" s="2655"/>
      <c r="H24" s="2655"/>
      <c r="I24" s="2655"/>
      <c r="J24" s="2435"/>
      <c r="K24" s="2610"/>
      <c r="L24" s="2466"/>
      <c r="M24" s="2604"/>
      <c r="N24" s="2500"/>
      <c r="O24" s="2447"/>
      <c r="P24" s="2500"/>
      <c r="Q24" s="2435"/>
      <c r="R24" s="2435"/>
      <c r="S24" s="2435"/>
      <c r="T24" s="2435"/>
      <c r="U24" s="2435"/>
      <c r="V24" s="2435"/>
    </row>
    <row r="25" spans="1:28">
      <c r="A25" s="2628"/>
      <c r="B25" s="2493" t="s">
        <v>1060</v>
      </c>
      <c r="C25" s="2632"/>
      <c r="D25" s="2628" t="s">
        <v>1060</v>
      </c>
      <c r="E25" s="2633"/>
      <c r="F25" s="2654"/>
      <c r="G25" s="2655"/>
      <c r="H25" s="2655"/>
      <c r="I25" s="2655"/>
      <c r="J25" s="2435"/>
      <c r="K25" s="2607"/>
      <c r="L25" s="2604"/>
      <c r="M25" s="2604"/>
      <c r="N25" s="2500"/>
      <c r="O25" s="2447"/>
      <c r="P25" s="2500"/>
      <c r="Q25" s="2435"/>
      <c r="R25" s="2435"/>
      <c r="S25" s="2435"/>
      <c r="T25" s="2435"/>
      <c r="U25" s="2435"/>
      <c r="V25" s="2435"/>
    </row>
    <row r="26" spans="1:28" ht="13.5" thickBot="1">
      <c r="A26" s="2634"/>
      <c r="B26" s="2635" t="s">
        <v>1061</v>
      </c>
      <c r="C26" s="2636"/>
      <c r="D26" s="2634" t="s">
        <v>1061</v>
      </c>
      <c r="E26" s="2637"/>
      <c r="F26" s="2656"/>
      <c r="G26" s="2656"/>
      <c r="H26" s="2656"/>
      <c r="I26" s="2656"/>
      <c r="J26" s="2435"/>
      <c r="K26" s="2607"/>
      <c r="L26" s="2604"/>
      <c r="M26" s="2604"/>
      <c r="N26" s="2500"/>
      <c r="O26" s="2447"/>
      <c r="P26" s="2500"/>
      <c r="Q26" s="2435"/>
      <c r="R26" s="2435"/>
      <c r="S26" s="2435"/>
      <c r="T26" s="2435"/>
      <c r="U26" s="2435"/>
      <c r="V26" s="2435"/>
    </row>
    <row r="27" spans="1:28" ht="13.5" thickTop="1">
      <c r="A27" s="3514" t="s">
        <v>2211</v>
      </c>
      <c r="B27" s="320" t="s">
        <v>2212</v>
      </c>
      <c r="C27" s="2412"/>
      <c r="D27" s="2413"/>
      <c r="E27" s="2655"/>
      <c r="F27" s="2655"/>
      <c r="G27" s="2655"/>
      <c r="H27" s="2655"/>
      <c r="I27" s="2655"/>
      <c r="J27" s="2435"/>
      <c r="K27" s="2608"/>
      <c r="L27" s="2447"/>
      <c r="M27" s="2447"/>
      <c r="N27" s="2500"/>
      <c r="O27" s="2447"/>
      <c r="P27" s="2500"/>
      <c r="Q27" s="2435"/>
      <c r="R27" s="2435"/>
      <c r="S27" s="2435"/>
      <c r="T27" s="2435"/>
      <c r="U27" s="2435"/>
      <c r="V27" s="2435"/>
    </row>
    <row r="28" spans="1:28">
      <c r="A28" s="3514"/>
      <c r="B28" s="302" t="s">
        <v>2213</v>
      </c>
      <c r="C28" s="2414" t="s">
        <v>3372</v>
      </c>
      <c r="D28" s="2415"/>
      <c r="E28" s="2655"/>
      <c r="F28" s="2655"/>
      <c r="G28" s="2655"/>
      <c r="H28" s="2655"/>
      <c r="I28" s="2655"/>
      <c r="J28" s="2435"/>
      <c r="K28" s="2607"/>
      <c r="L28" s="2604"/>
      <c r="M28" s="2604"/>
      <c r="N28" s="2435"/>
      <c r="O28" s="2446"/>
      <c r="P28" s="2435"/>
      <c r="Q28" s="2435"/>
      <c r="R28" s="2435"/>
      <c r="S28" s="2435"/>
      <c r="T28" s="2435"/>
      <c r="U28" s="2435"/>
      <c r="V28" s="2435"/>
    </row>
    <row r="29" spans="1:28">
      <c r="A29" s="3514"/>
      <c r="B29" s="302" t="s">
        <v>2214</v>
      </c>
      <c r="C29" s="2416" t="s">
        <v>3373</v>
      </c>
      <c r="D29" s="2417"/>
      <c r="E29" s="2655"/>
      <c r="F29" s="2655"/>
      <c r="G29" s="2655"/>
      <c r="H29" s="2655"/>
      <c r="I29" s="2655"/>
      <c r="J29" s="2435"/>
      <c r="K29" s="2607"/>
      <c r="L29" s="2604"/>
      <c r="M29" s="2604"/>
      <c r="N29" s="2435"/>
      <c r="O29" s="2446"/>
      <c r="P29" s="2435"/>
      <c r="Q29" s="2435"/>
      <c r="R29" s="2435"/>
      <c r="S29" s="2435"/>
      <c r="T29" s="2435"/>
      <c r="U29" s="2435"/>
      <c r="V29" s="2435"/>
    </row>
    <row r="30" spans="1:28">
      <c r="A30" s="3515"/>
      <c r="B30" s="302" t="s">
        <v>2215</v>
      </c>
      <c r="C30" s="3516"/>
      <c r="D30" s="3517"/>
      <c r="E30" s="2655"/>
      <c r="F30" s="2655"/>
      <c r="G30" s="2655"/>
      <c r="H30" s="2655"/>
      <c r="I30" s="2655"/>
      <c r="J30" s="2435"/>
      <c r="K30" s="2607"/>
      <c r="L30" s="2604"/>
      <c r="M30" s="2604"/>
      <c r="N30" s="2435"/>
      <c r="O30" s="2446"/>
      <c r="P30" s="2435"/>
      <c r="Q30" s="2435"/>
      <c r="R30" s="2435"/>
      <c r="S30" s="2435"/>
      <c r="T30" s="2435"/>
      <c r="U30" s="2435"/>
      <c r="V30" s="2435"/>
    </row>
    <row r="31" spans="1:28">
      <c r="A31" s="3518" t="s">
        <v>2216</v>
      </c>
      <c r="B31" s="2418"/>
      <c r="C31" s="2319" t="str">
        <f>IF(B31="现房","成新及维护状况正常否",IF(B31="在建","工程状态是否正常",IF(B31="土地","是否闲置","-")))</f>
        <v>-</v>
      </c>
      <c r="D31" s="1370"/>
      <c r="E31" s="2419"/>
      <c r="F31" s="2655"/>
      <c r="G31" s="2655"/>
      <c r="H31" s="2655"/>
      <c r="I31" s="2655"/>
      <c r="J31" s="2435"/>
      <c r="K31" s="2606"/>
      <c r="L31" s="2604"/>
      <c r="M31" s="2604"/>
      <c r="N31" s="2435"/>
      <c r="O31" s="2446"/>
      <c r="P31" s="2435"/>
      <c r="Q31" s="2435"/>
      <c r="R31" s="2435"/>
      <c r="S31" s="2435"/>
      <c r="T31" s="2435"/>
      <c r="U31" s="2435"/>
      <c r="V31" s="2435"/>
    </row>
    <row r="32" spans="1:28">
      <c r="A32" s="3519"/>
      <c r="B32" s="2418"/>
      <c r="C32" s="2319" t="str">
        <f>IF(B32="现房","成新及维护状况是否正常",IF(B32="在建","工程状态是否正常",IF(B32="土地","是否闲置","-")))</f>
        <v>-</v>
      </c>
      <c r="D32" s="1370"/>
      <c r="E32" s="2419"/>
      <c r="F32" s="2655"/>
      <c r="G32" s="2655"/>
      <c r="H32" s="2655"/>
      <c r="I32" s="2655"/>
      <c r="J32" s="2435"/>
      <c r="K32" s="2607"/>
      <c r="L32" s="2604"/>
      <c r="M32" s="2604"/>
      <c r="N32" s="2435"/>
      <c r="O32" s="2446"/>
      <c r="P32" s="2435"/>
      <c r="Q32" s="2435"/>
      <c r="R32" s="2435"/>
      <c r="S32" s="2435"/>
      <c r="T32" s="2435"/>
      <c r="U32" s="2435"/>
      <c r="V32" s="2435"/>
    </row>
    <row r="33" spans="1:30">
      <c r="A33" s="3519"/>
      <c r="B33" s="2421"/>
      <c r="C33" s="1587" t="str">
        <f>IF(B33="现房","成新及维护状况是否正常",IF(B33="在建","工程状态是否正常",IF(B33="土地","是否闲置","-")))</f>
        <v>-</v>
      </c>
      <c r="D33" s="1362"/>
      <c r="E33" s="2422"/>
      <c r="F33" s="2655"/>
      <c r="G33" s="2655"/>
      <c r="H33" s="2655"/>
      <c r="I33" s="2655"/>
      <c r="J33" s="2435"/>
      <c r="K33" s="2607"/>
      <c r="L33" s="2604"/>
      <c r="M33" s="2604"/>
      <c r="N33" s="2435"/>
      <c r="O33" s="2446"/>
      <c r="P33" s="2435"/>
      <c r="Q33" s="2435"/>
      <c r="R33" s="2435"/>
      <c r="S33" s="2435"/>
      <c r="T33" s="2435"/>
      <c r="U33" s="2435"/>
      <c r="V33" s="2435"/>
    </row>
    <row r="34" spans="1:30">
      <c r="A34" s="302" t="s">
        <v>2217</v>
      </c>
      <c r="B34" s="2022" t="s">
        <v>3374</v>
      </c>
      <c r="C34" s="2022" t="s">
        <v>3375</v>
      </c>
      <c r="D34" s="2022" t="s">
        <v>3376</v>
      </c>
      <c r="E34" s="2022" t="s">
        <v>3377</v>
      </c>
      <c r="F34" s="2022" t="s">
        <v>3378</v>
      </c>
      <c r="G34" s="2022" t="s">
        <v>3379</v>
      </c>
      <c r="H34" s="2022"/>
      <c r="I34" s="2655"/>
      <c r="J34" s="2435"/>
      <c r="K34" s="2423">
        <f>COUNTIF(B34:H34,"——")</f>
        <v>0</v>
      </c>
      <c r="L34" s="323" t="s">
        <v>2218</v>
      </c>
      <c r="M34" s="323" t="s">
        <v>2219</v>
      </c>
      <c r="N34" s="323" t="s">
        <v>2220</v>
      </c>
      <c r="O34" s="323" t="s">
        <v>2221</v>
      </c>
      <c r="P34" s="323" t="s">
        <v>2222</v>
      </c>
      <c r="Q34" s="323" t="s">
        <v>2223</v>
      </c>
      <c r="R34" s="323" t="s">
        <v>2224</v>
      </c>
      <c r="S34" s="3513" t="s">
        <v>2225</v>
      </c>
      <c r="T34" s="2424" t="str">
        <f>NUMBERSTRING(7-K34,1)&amp;"通"</f>
        <v>七通</v>
      </c>
      <c r="U34" s="2435"/>
      <c r="V34" s="2435"/>
    </row>
    <row r="35" spans="1:30">
      <c r="A35" s="2425"/>
      <c r="B35" s="3520" t="s">
        <v>2226</v>
      </c>
      <c r="C35" s="3520"/>
      <c r="D35" s="3520"/>
      <c r="E35" s="3520"/>
      <c r="F35" s="661">
        <f>C10</f>
        <v>0</v>
      </c>
      <c r="G35" s="2655"/>
      <c r="H35" s="2655"/>
      <c r="I35" s="2655"/>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3"/>
      <c r="T35" s="329" t="str">
        <f>IF(T34="一通",L35,IF(T34="二通",M35,IF(T34="三通",N35,IF(T34="四通",O35,IF(T34="五通",P35,IF(T34="六通",Q35,R35))))))</f>
        <v>通路、通电、通讯、通上水、通下水、平整、</v>
      </c>
      <c r="U35" s="2435"/>
      <c r="V35" s="2435"/>
    </row>
    <row r="36" spans="1:30">
      <c r="A36" s="2426"/>
      <c r="B36" s="661" t="s">
        <v>2185</v>
      </c>
      <c r="C36" s="661" t="s">
        <v>2186</v>
      </c>
      <c r="D36" s="661" t="s">
        <v>2184</v>
      </c>
      <c r="E36" s="661" t="s">
        <v>2189</v>
      </c>
      <c r="F36" s="3056" t="s">
        <v>2570</v>
      </c>
      <c r="G36" s="2655"/>
      <c r="H36" s="2655"/>
      <c r="I36" s="2655"/>
      <c r="J36" s="2435"/>
      <c r="K36" s="2607"/>
      <c r="L36" s="2604"/>
      <c r="M36" s="2604"/>
      <c r="N36" s="2435"/>
      <c r="O36" s="2446"/>
      <c r="P36" s="2435"/>
      <c r="Q36" s="2435"/>
      <c r="R36" s="2435"/>
      <c r="S36" s="2435"/>
      <c r="T36" s="2435"/>
      <c r="U36" s="2435"/>
      <c r="V36" s="2435"/>
    </row>
    <row r="37" spans="1:30">
      <c r="A37" s="2621" t="s">
        <v>2227</v>
      </c>
      <c r="B37" s="2427"/>
      <c r="C37" s="2427"/>
      <c r="D37" s="2427"/>
      <c r="E37" s="2427"/>
      <c r="F37" s="2427"/>
      <c r="G37" s="2655"/>
      <c r="H37" s="2655"/>
      <c r="I37" s="2655"/>
      <c r="J37" s="2435"/>
      <c r="K37" s="2607"/>
      <c r="L37" s="2604"/>
      <c r="M37" s="2604"/>
      <c r="N37" s="2435"/>
      <c r="O37" s="2446"/>
      <c r="P37" s="2435"/>
      <c r="Q37" s="2435"/>
      <c r="R37" s="2435"/>
      <c r="S37" s="2435"/>
      <c r="T37" s="2435"/>
      <c r="U37" s="2435"/>
      <c r="V37" s="2435"/>
    </row>
    <row r="38" spans="1:30" ht="13.5" thickBot="1">
      <c r="A38" s="2622" t="s">
        <v>2228</v>
      </c>
      <c r="B38" s="2428"/>
      <c r="C38" s="2428"/>
      <c r="D38" s="2428"/>
      <c r="E38" s="2428"/>
      <c r="F38" s="2428"/>
      <c r="G38" s="2656"/>
      <c r="H38" s="2656"/>
      <c r="I38" s="2656"/>
      <c r="J38" s="2435"/>
      <c r="K38" s="2607"/>
      <c r="L38" s="2604"/>
      <c r="M38" s="2604"/>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5"/>
      <c r="J40" s="2500"/>
      <c r="K40" s="2606"/>
      <c r="L40" s="2447"/>
      <c r="M40" s="2447"/>
      <c r="N40" s="2500"/>
      <c r="O40" s="2447"/>
      <c r="P40" s="2435"/>
      <c r="Q40" s="2435"/>
      <c r="R40" s="2435"/>
      <c r="S40" s="2435"/>
      <c r="T40" s="2435"/>
      <c r="U40" s="2435"/>
      <c r="V40" s="2435"/>
    </row>
    <row r="41" spans="1:30">
      <c r="A41" s="2432" t="s">
        <v>2230</v>
      </c>
      <c r="B41" s="1754"/>
      <c r="C41" s="1370"/>
      <c r="D41" s="2366"/>
      <c r="E41" s="2366"/>
      <c r="F41" s="2366"/>
      <c r="G41" s="2366"/>
      <c r="H41" s="2366"/>
      <c r="I41" s="1573"/>
      <c r="J41" s="2435"/>
      <c r="K41" s="2607"/>
      <c r="L41" s="2604"/>
      <c r="M41" s="2604"/>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17" t="s">
        <v>2240</v>
      </c>
      <c r="K42" s="2618" t="s">
        <v>2241</v>
      </c>
      <c r="L42" s="2618" t="s">
        <v>2242</v>
      </c>
      <c r="M42" s="2618" t="s">
        <v>2243</v>
      </c>
      <c r="N42" s="2611" t="s">
        <v>2244</v>
      </c>
      <c r="O42" s="2611" t="s">
        <v>2245</v>
      </c>
      <c r="P42" s="2611" t="s">
        <v>2246</v>
      </c>
      <c r="Q42" s="2612" t="s">
        <v>2247</v>
      </c>
      <c r="R42" s="2612" t="s">
        <v>2248</v>
      </c>
      <c r="S42" s="2435"/>
      <c r="T42" s="2435"/>
      <c r="U42" s="2435"/>
      <c r="V42" s="2435"/>
    </row>
    <row r="43" spans="1:30" s="1740"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40"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40"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40"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40"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40"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40"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40"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40" customFormat="1">
      <c r="A51" s="1567"/>
      <c r="B51" s="1567"/>
      <c r="C51" s="1048"/>
      <c r="D51" s="1048"/>
      <c r="E51" s="1048"/>
      <c r="F51" s="1048"/>
      <c r="G51" s="1048"/>
      <c r="H51" s="1048"/>
      <c r="I51" s="1048"/>
      <c r="J51" s="2433"/>
      <c r="K51" s="2434"/>
      <c r="L51" s="2434"/>
      <c r="M51" s="1048"/>
      <c r="N51" s="1048"/>
      <c r="O51" s="1048"/>
      <c r="P51" s="1048"/>
      <c r="Q51" s="1048"/>
      <c r="R51" s="1048"/>
    </row>
    <row r="52" spans="1:22" s="1740" customFormat="1">
      <c r="A52" s="1567"/>
      <c r="B52" s="1567"/>
      <c r="C52" s="1567"/>
      <c r="D52" s="1567"/>
      <c r="E52" s="1567"/>
      <c r="F52" s="1048"/>
      <c r="G52" s="1567"/>
      <c r="H52" s="1567"/>
      <c r="I52" s="1567"/>
      <c r="J52" s="2436"/>
      <c r="K52" s="2434"/>
      <c r="L52" s="2434"/>
      <c r="M52" s="2434"/>
      <c r="N52" s="1567"/>
      <c r="O52" s="1567"/>
      <c r="P52" s="1567"/>
      <c r="Q52" s="1567"/>
      <c r="R52" s="1567"/>
    </row>
    <row r="53" spans="1:22" s="1740" customFormat="1">
      <c r="A53" s="1567"/>
      <c r="B53" s="1567"/>
      <c r="C53" s="1567"/>
      <c r="D53" s="1567"/>
      <c r="E53" s="1567"/>
      <c r="F53" s="1048"/>
      <c r="G53" s="1567"/>
      <c r="H53" s="1567"/>
      <c r="I53" s="1567"/>
      <c r="J53" s="2436"/>
      <c r="K53" s="2434"/>
      <c r="L53" s="2434"/>
      <c r="M53" s="2434"/>
      <c r="N53" s="1567"/>
      <c r="O53" s="1567"/>
      <c r="P53" s="1567"/>
      <c r="Q53" s="1567"/>
      <c r="R53" s="1567"/>
    </row>
    <row r="54" spans="1:22" s="1740" customFormat="1">
      <c r="A54" s="1567"/>
      <c r="B54" s="1567"/>
      <c r="C54" s="1567"/>
      <c r="D54" s="1567"/>
      <c r="E54" s="1567"/>
      <c r="F54" s="1048"/>
      <c r="G54" s="1567"/>
      <c r="H54" s="1567"/>
      <c r="I54" s="1567"/>
      <c r="J54" s="2436"/>
      <c r="K54" s="2434"/>
      <c r="L54" s="2434"/>
      <c r="M54" s="2434"/>
      <c r="N54" s="1567"/>
      <c r="O54" s="1567"/>
      <c r="P54" s="1567"/>
      <c r="Q54" s="1567"/>
      <c r="R54" s="1567"/>
    </row>
    <row r="55" spans="1:22" s="1740" customFormat="1">
      <c r="A55" s="1567"/>
      <c r="B55" s="1567"/>
      <c r="C55" s="1567"/>
      <c r="D55" s="1567"/>
      <c r="E55" s="1567"/>
      <c r="F55" s="1048"/>
      <c r="G55" s="1567"/>
      <c r="H55" s="1567"/>
      <c r="I55" s="1567"/>
      <c r="J55" s="2436"/>
      <c r="K55" s="2434"/>
      <c r="L55" s="2434"/>
      <c r="M55" s="2434"/>
      <c r="N55" s="1567"/>
      <c r="O55" s="1567"/>
      <c r="P55" s="1567"/>
      <c r="Q55" s="1567"/>
      <c r="R55" s="1567"/>
    </row>
    <row r="56" spans="1:22" s="1740"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D3" sqref="D3"/>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0</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5"/>
      <c r="AV6" s="12" t="s">
        <v>1072</v>
      </c>
      <c r="AW6" s="1583"/>
      <c r="AX6" s="1583"/>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c r="J9" s="806"/>
      <c r="K9" s="1600"/>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c r="J10" s="806"/>
      <c r="K10" s="1606"/>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f>I9</f>
        <v>0</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f>I10</f>
        <v>0</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c r="D13" s="1622" t="s">
        <v>3380</v>
      </c>
      <c r="E13" s="13" t="e">
        <f>IF($C$3="是",ROUND($A$3*G13/$B$3,2),ROUND($A$3*(G13-AT13)/$B$3,2))</f>
        <v>#DIV/0!</v>
      </c>
      <c r="F13" s="29"/>
      <c r="G13" s="30">
        <f>H13+AC13+AT13</f>
        <v>0</v>
      </c>
      <c r="H13" s="17">
        <f>SUMIF(I$12:AB$12,"总值",I13:AB13)</f>
        <v>0</v>
      </c>
      <c r="I13" s="1623"/>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567"/>
      <c r="D14" s="1622"/>
      <c r="E14" s="13" t="e">
        <f>IF($C$3="是",ROUND($A$3*G14/$B$3,2),ROUND($A$3*(G14-AT14)/$B$3,2))</f>
        <v>#DIV/0!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567"/>
      <c r="D15" s="1622"/>
      <c r="E15" s="13" t="e">
        <f>IF($C$3="是",ROUND($A$3*G15/$B$3,2),ROUND($A$3*(G15-AT15)/$B$3,2))</f>
        <v>#DIV/0!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567"/>
      <c r="D16" s="1622"/>
      <c r="E16" s="13" t="e">
        <f>IF($C$3="是",ROUND($A$3*G16/$B$3,2),ROUND($A$3*(G16-AT16)/$B$3,2))</f>
        <v>#DIV/0!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t="e">
        <f>IF($C$3="是",ROUND($A$3*G17/$B$3,2),ROUND($A$3*(G17-AT17)/$B$3,2))</f>
        <v>#DIV/0!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R55" sqref="R55"/>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52" t="s">
        <v>1131</v>
      </c>
      <c r="B2" s="3552"/>
      <c r="C2" s="3552"/>
      <c r="D2" s="793" t="s">
        <v>1107</v>
      </c>
      <c r="E2" s="1636" t="s">
        <v>1108</v>
      </c>
      <c r="F2" s="2650"/>
      <c r="G2" s="2641"/>
      <c r="H2" s="2642"/>
      <c r="I2" s="2321" t="s">
        <v>1132</v>
      </c>
      <c r="J2" s="2650"/>
      <c r="K2" s="2650"/>
      <c r="L2" s="2650"/>
      <c r="M2" s="2650"/>
      <c r="N2" s="2652"/>
      <c r="O2" s="2650"/>
      <c r="P2" s="2650"/>
    </row>
    <row r="3" spans="1:16" ht="15.75" thickBot="1">
      <c r="A3" s="3553" t="s">
        <v>1105</v>
      </c>
      <c r="B3" s="3553"/>
      <c r="C3" s="3553"/>
      <c r="D3" s="43" t="e">
        <f>'数据-基础表'!AY6</f>
        <v>#DIV/0!</v>
      </c>
      <c r="E3" s="43">
        <f>'数据-基础表'!AZ5</f>
        <v>0</v>
      </c>
      <c r="F3" s="2650"/>
      <c r="G3" s="1142"/>
      <c r="H3" s="1023" t="s">
        <v>1106</v>
      </c>
      <c r="I3" s="852" t="e">
        <f>ROUND('数据-基础表'!B3/'数据-基础表'!A3,2)</f>
        <v>#DIV/0!</v>
      </c>
      <c r="J3" s="2650"/>
      <c r="K3" s="2650"/>
      <c r="L3" s="2650"/>
      <c r="M3" s="2650"/>
      <c r="N3" s="2652"/>
      <c r="O3" s="2650"/>
      <c r="P3" s="2650"/>
    </row>
    <row r="4" spans="1:16" ht="15">
      <c r="A4" s="3554"/>
      <c r="B4" s="3555"/>
      <c r="C4" s="3556"/>
      <c r="D4" s="1638" t="s">
        <v>1107</v>
      </c>
      <c r="E4" s="1639" t="s">
        <v>1108</v>
      </c>
      <c r="F4" s="2650"/>
      <c r="G4" s="2643" t="s">
        <v>1133</v>
      </c>
      <c r="H4" s="1023" t="s">
        <v>1113</v>
      </c>
      <c r="I4" s="852" t="e">
        <f>ROUND(SUMIF('数据-基础表'!I9:AS9,"地上",'数据-基础表'!I5:AS5)/'数据-基础表'!A3,2)</f>
        <v>#DIV/0!</v>
      </c>
      <c r="J4" s="2650"/>
      <c r="K4" s="2650"/>
      <c r="L4" s="2650"/>
      <c r="M4" s="2650"/>
      <c r="N4" s="2652"/>
      <c r="O4" s="2650"/>
      <c r="P4" s="2650"/>
    </row>
    <row r="5" spans="1:16">
      <c r="A5" s="44" t="s">
        <v>1109</v>
      </c>
      <c r="B5" s="3557" t="s">
        <v>1110</v>
      </c>
      <c r="C5" s="3557"/>
      <c r="D5" s="45" t="e">
        <f>ROUND($D$3*E5/$E$3,2)</f>
        <v>#DIV/0!</v>
      </c>
      <c r="E5" s="46">
        <f>SUMIF('数据-基础表'!$11:$11,"住宅",'数据-基础表'!$5:$5)</f>
        <v>0</v>
      </c>
      <c r="F5" s="2650"/>
      <c r="G5" s="1142"/>
      <c r="H5" s="1023" t="s">
        <v>1106</v>
      </c>
      <c r="I5" s="852" t="e">
        <f>ROUND(E31/D31,2)</f>
        <v>#DIV/0!</v>
      </c>
      <c r="J5" s="2650"/>
      <c r="K5" s="2650"/>
      <c r="L5" s="2650"/>
      <c r="M5" s="2650"/>
      <c r="N5" s="2650"/>
      <c r="O5" s="2650"/>
      <c r="P5" s="2650"/>
    </row>
    <row r="6" spans="1:16" ht="15" thickBot="1">
      <c r="A6" s="1641"/>
      <c r="B6" s="3557" t="s">
        <v>1111</v>
      </c>
      <c r="C6" s="3557"/>
      <c r="D6" s="45" t="e">
        <f>ROUND($D$3*E6/$E$3,2)</f>
        <v>#DIV/0!</v>
      </c>
      <c r="E6" s="46">
        <f>E3-E5</f>
        <v>0</v>
      </c>
      <c r="F6" s="2650"/>
      <c r="G6" s="2644" t="s">
        <v>1112</v>
      </c>
      <c r="H6" s="1143" t="s">
        <v>1113</v>
      </c>
      <c r="I6" s="2645" t="e">
        <f>ROUND(F31/D31,2)</f>
        <v>#DIV/0!</v>
      </c>
      <c r="J6" s="2650"/>
      <c r="K6" s="2650"/>
      <c r="L6" s="2650"/>
      <c r="M6" s="2650"/>
      <c r="N6" s="2650"/>
      <c r="O6" s="2650"/>
      <c r="P6" s="2650"/>
    </row>
    <row r="7" spans="1:16" ht="15.75" thickBot="1">
      <c r="A7" s="3549"/>
      <c r="B7" s="3550"/>
      <c r="C7" s="3551"/>
      <c r="D7" s="1638" t="s">
        <v>1107</v>
      </c>
      <c r="E7" s="1642" t="s">
        <v>1114</v>
      </c>
      <c r="F7" s="2650"/>
      <c r="G7" s="2646" t="s">
        <v>1115</v>
      </c>
      <c r="H7" s="2647"/>
      <c r="I7" s="2648"/>
      <c r="J7" s="2650"/>
      <c r="K7" s="2650"/>
      <c r="L7" s="2650"/>
      <c r="M7" s="2650"/>
      <c r="N7" s="2650"/>
      <c r="O7" s="2650"/>
      <c r="P7" s="2650"/>
    </row>
    <row r="8" spans="1:16">
      <c r="A8" s="44" t="s">
        <v>1116</v>
      </c>
      <c r="B8" s="47" t="s">
        <v>1117</v>
      </c>
      <c r="C8" s="45" t="s">
        <v>1118</v>
      </c>
      <c r="D8" s="45" t="e">
        <f t="shared" ref="D8:D15" si="0">ROUND($D$3*E8/$E$3,2)</f>
        <v>#DIV/0!</v>
      </c>
      <c r="E8" s="48">
        <f>SUMIF('数据-基础表'!BB10:BK10,"地上",'数据-基础表'!BB5:BK5)</f>
        <v>0</v>
      </c>
      <c r="F8" s="2650"/>
      <c r="G8" s="2651"/>
      <c r="H8" s="2651"/>
      <c r="I8" s="2650"/>
      <c r="J8" s="2650"/>
      <c r="K8" s="2650"/>
      <c r="L8" s="2650"/>
      <c r="M8" s="2650"/>
      <c r="N8" s="2650"/>
      <c r="O8" s="2650"/>
      <c r="P8" s="2650"/>
    </row>
    <row r="9" spans="1:16">
      <c r="A9" s="1643"/>
      <c r="B9" s="1644"/>
      <c r="C9" s="45" t="s">
        <v>1119</v>
      </c>
      <c r="D9" s="45" t="e">
        <f t="shared" si="0"/>
        <v>#DIV/0!</v>
      </c>
      <c r="E9" s="49">
        <v>0</v>
      </c>
      <c r="F9" s="2650"/>
      <c r="G9" s="2651"/>
      <c r="H9" s="2651"/>
      <c r="I9" s="2650"/>
      <c r="J9" s="2650"/>
      <c r="K9" s="2650"/>
      <c r="L9" s="2650"/>
      <c r="M9" s="2650"/>
      <c r="N9" s="2650"/>
      <c r="O9" s="2650"/>
      <c r="P9" s="2650"/>
    </row>
    <row r="10" spans="1:16">
      <c r="A10" s="1643"/>
      <c r="B10" s="1644"/>
      <c r="C10" s="45" t="s">
        <v>1128</v>
      </c>
      <c r="D10" s="45" t="e">
        <f t="shared" si="0"/>
        <v>#DIV/0!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1120</v>
      </c>
      <c r="D11" s="45" t="e">
        <f t="shared" si="0"/>
        <v>#DIV/0!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1121</v>
      </c>
      <c r="D12" s="45" t="e">
        <f t="shared" si="0"/>
        <v>#DIV/0!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3"/>
      <c r="B13" s="1644"/>
      <c r="C13" s="45" t="s">
        <v>1122</v>
      </c>
      <c r="D13" s="45" t="e">
        <f t="shared" si="0"/>
        <v>#DIV/0!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3"/>
      <c r="B14" s="1644"/>
      <c r="C14" s="45" t="s">
        <v>1134</v>
      </c>
      <c r="D14" s="45" t="e">
        <f t="shared" si="0"/>
        <v>#DIV/0!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1129</v>
      </c>
      <c r="D15" s="45" t="e">
        <f t="shared" si="0"/>
        <v>#DIV/0!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1123</v>
      </c>
      <c r="D16" s="47" t="e">
        <f>SUM(D8:D15)</f>
        <v>#DIV/0!</v>
      </c>
      <c r="E16" s="50">
        <f>SUM(E8:E15)</f>
        <v>0</v>
      </c>
      <c r="F16" s="2650"/>
      <c r="G16" s="2651"/>
      <c r="H16" s="1645" t="s">
        <v>1135</v>
      </c>
      <c r="I16" s="1646"/>
      <c r="J16" s="1136"/>
      <c r="K16" s="3546" t="s">
        <v>1135</v>
      </c>
      <c r="L16" s="3547"/>
      <c r="M16" s="3547"/>
      <c r="N16" s="3547"/>
      <c r="O16" s="3547"/>
      <c r="P16" s="3548"/>
    </row>
    <row r="17" spans="1:19" ht="15">
      <c r="A17" s="1647" t="s">
        <v>1136</v>
      </c>
      <c r="B17" s="1648" t="s">
        <v>1137</v>
      </c>
      <c r="C17" s="1649" t="s">
        <v>1138</v>
      </c>
      <c r="D17" s="1650" t="s">
        <v>1126</v>
      </c>
      <c r="E17" s="1651" t="s">
        <v>1127</v>
      </c>
      <c r="F17" s="1652"/>
      <c r="G17" s="1653"/>
      <c r="H17" s="1654" t="s">
        <v>1139</v>
      </c>
      <c r="I17" s="1655" t="s">
        <v>1124</v>
      </c>
      <c r="J17" s="1136"/>
      <c r="K17" s="3543" t="s">
        <v>1140</v>
      </c>
      <c r="L17" s="3544"/>
      <c r="M17" s="3545"/>
      <c r="N17" s="3543" t="s">
        <v>1141</v>
      </c>
      <c r="O17" s="3544"/>
      <c r="P17" s="3545"/>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08"/>
      <c r="D19" s="45" t="e">
        <f>ROUND($D$3*E19/$E$3,2)</f>
        <v>#DIV/0!</v>
      </c>
      <c r="E19" s="53">
        <f t="shared" ref="E19:E26" si="1">SUM(F19:G19)</f>
        <v>0</v>
      </c>
      <c r="F19" s="2786"/>
      <c r="G19" s="2787"/>
      <c r="H19" s="667" t="e">
        <f>ROUND($D$3*I19/$E$3,2)</f>
        <v>#DIV/0!</v>
      </c>
      <c r="I19" s="48" t="e">
        <f t="shared" ref="I19:I26" si="2">IF($I$17="自定义",P19,M19)</f>
        <v>#DIV/0!</v>
      </c>
      <c r="J19" s="1136"/>
      <c r="K19" s="1135" t="e">
        <f t="shared" ref="K19:K26" si="3">ROUND(E$28*E19/E$27,2)</f>
        <v>#DIV/0!</v>
      </c>
      <c r="L19" s="1023">
        <f t="shared" ref="L19:L26" si="4">ROUND(IF(COUNTIF(C19,"*住宅*")&gt;0,E$29*E19/E$32,0),2)</f>
        <v>0</v>
      </c>
      <c r="M19" s="1147" t="e">
        <f>K19+L19</f>
        <v>#DIV/0!</v>
      </c>
      <c r="N19" s="1665"/>
      <c r="O19" s="1666"/>
      <c r="P19" s="1147">
        <f>N19+O19</f>
        <v>0</v>
      </c>
      <c r="R19" s="1023" t="e">
        <f t="shared" ref="R19:S26" si="5">D19+H19</f>
        <v>#DIV/0!</v>
      </c>
      <c r="S19" s="1024" t="e">
        <f t="shared" si="5"/>
        <v>#DIV/0!</v>
      </c>
    </row>
    <row r="20" spans="1:19">
      <c r="A20" s="1667"/>
      <c r="B20" s="47" t="s">
        <v>1153</v>
      </c>
      <c r="C20" s="3408"/>
      <c r="D20" s="45" t="e">
        <f t="shared" ref="D20:D26" si="6">ROUND($D$3*E20/$E$3,2)</f>
        <v>#DIV/0!</v>
      </c>
      <c r="E20" s="53">
        <f t="shared" si="1"/>
        <v>0</v>
      </c>
      <c r="F20" s="2786"/>
      <c r="G20" s="2787"/>
      <c r="H20" s="667" t="e">
        <f t="shared" ref="H20:H26" si="7">ROUND($D$3*I20/$E$3,2)</f>
        <v>#DIV/0!</v>
      </c>
      <c r="I20" s="48" t="e">
        <f t="shared" si="2"/>
        <v>#DIV/0!</v>
      </c>
      <c r="J20" s="1136"/>
      <c r="K20" s="1135" t="e">
        <f t="shared" si="3"/>
        <v>#DIV/0!</v>
      </c>
      <c r="L20" s="1023">
        <f t="shared" si="4"/>
        <v>0</v>
      </c>
      <c r="M20" s="1147" t="e">
        <f t="shared" ref="M20:M26" si="8">K20+L20</f>
        <v>#DIV/0!</v>
      </c>
      <c r="N20" s="1665"/>
      <c r="O20" s="1666"/>
      <c r="P20" s="1147">
        <f t="shared" ref="P20:P26" si="9">N20+O20</f>
        <v>0</v>
      </c>
      <c r="R20" s="1023" t="e">
        <f t="shared" si="5"/>
        <v>#DIV/0!</v>
      </c>
      <c r="S20" s="1024" t="e">
        <f t="shared" si="5"/>
        <v>#DIV/0!</v>
      </c>
    </row>
    <row r="21" spans="1:19">
      <c r="A21" s="1667"/>
      <c r="B21" s="47" t="s">
        <v>1153</v>
      </c>
      <c r="C21" s="3408"/>
      <c r="D21" s="45" t="e">
        <f t="shared" si="6"/>
        <v>#DIV/0!</v>
      </c>
      <c r="E21" s="53">
        <f t="shared" si="1"/>
        <v>0</v>
      </c>
      <c r="F21" s="2786"/>
      <c r="G21" s="2787"/>
      <c r="H21" s="667" t="e">
        <f t="shared" si="7"/>
        <v>#DIV/0!</v>
      </c>
      <c r="I21" s="48" t="e">
        <f t="shared" si="2"/>
        <v>#DIV/0!</v>
      </c>
      <c r="J21" s="1136"/>
      <c r="K21" s="1135" t="e">
        <f t="shared" si="3"/>
        <v>#DIV/0!</v>
      </c>
      <c r="L21" s="1023">
        <f t="shared" si="4"/>
        <v>0</v>
      </c>
      <c r="M21" s="1147" t="e">
        <f t="shared" si="8"/>
        <v>#DIV/0!</v>
      </c>
      <c r="N21" s="1665"/>
      <c r="O21" s="1666"/>
      <c r="P21" s="1147">
        <f t="shared" si="9"/>
        <v>0</v>
      </c>
      <c r="R21" s="1023" t="e">
        <f t="shared" si="5"/>
        <v>#DIV/0!</v>
      </c>
      <c r="S21" s="1024" t="e">
        <f t="shared" si="5"/>
        <v>#DIV/0!</v>
      </c>
    </row>
    <row r="22" spans="1:19">
      <c r="A22" s="1667"/>
      <c r="B22" s="47" t="s">
        <v>1153</v>
      </c>
      <c r="C22" s="3409"/>
      <c r="D22" s="45" t="e">
        <f t="shared" si="6"/>
        <v>#DIV/0!</v>
      </c>
      <c r="E22" s="53">
        <f t="shared" si="1"/>
        <v>0</v>
      </c>
      <c r="F22" s="2788"/>
      <c r="G22" s="2789"/>
      <c r="H22" s="667" t="e">
        <f t="shared" si="7"/>
        <v>#DIV/0!</v>
      </c>
      <c r="I22" s="48" t="e">
        <f t="shared" si="2"/>
        <v>#DIV/0!</v>
      </c>
      <c r="J22" s="1136"/>
      <c r="K22" s="1135" t="e">
        <f t="shared" si="3"/>
        <v>#DIV/0!</v>
      </c>
      <c r="L22" s="1023">
        <f t="shared" si="4"/>
        <v>0</v>
      </c>
      <c r="M22" s="1147" t="e">
        <f t="shared" si="8"/>
        <v>#DIV/0!</v>
      </c>
      <c r="N22" s="1665"/>
      <c r="O22" s="1666"/>
      <c r="P22" s="1147">
        <f t="shared" si="9"/>
        <v>0</v>
      </c>
      <c r="R22" s="1023" t="e">
        <f t="shared" si="5"/>
        <v>#DIV/0!</v>
      </c>
      <c r="S22" s="1024" t="e">
        <f t="shared" si="5"/>
        <v>#DIV/0!</v>
      </c>
    </row>
    <row r="23" spans="1:19">
      <c r="A23" s="1667"/>
      <c r="B23" s="47" t="s">
        <v>1153</v>
      </c>
      <c r="C23" s="3409"/>
      <c r="D23" s="45" t="e">
        <f>ROUND($D$3*E23/$E$3,2)</f>
        <v>#DIV/0!</v>
      </c>
      <c r="E23" s="53">
        <f>SUM(F23:G23)</f>
        <v>0</v>
      </c>
      <c r="F23" s="2788"/>
      <c r="G23" s="2789"/>
      <c r="H23" s="667" t="e">
        <f>ROUND($D$3*I23/$E$3,2)</f>
        <v>#DIV/0!</v>
      </c>
      <c r="I23" s="48" t="e">
        <f t="shared" si="2"/>
        <v>#DIV/0!</v>
      </c>
      <c r="J23" s="1136"/>
      <c r="K23" s="1135" t="e">
        <f t="shared" si="3"/>
        <v>#DIV/0!</v>
      </c>
      <c r="L23" s="1023">
        <f t="shared" si="4"/>
        <v>0</v>
      </c>
      <c r="M23" s="1147" t="e">
        <f t="shared" si="8"/>
        <v>#DIV/0!</v>
      </c>
      <c r="N23" s="1665"/>
      <c r="O23" s="1666"/>
      <c r="P23" s="1147">
        <f t="shared" si="9"/>
        <v>0</v>
      </c>
      <c r="R23" s="1023" t="e">
        <f t="shared" si="5"/>
        <v>#DIV/0!</v>
      </c>
      <c r="S23" s="1024" t="e">
        <f t="shared" si="5"/>
        <v>#DIV/0!</v>
      </c>
    </row>
    <row r="24" spans="1:19">
      <c r="A24" s="1667"/>
      <c r="B24" s="47" t="s">
        <v>1153</v>
      </c>
      <c r="C24" s="3409"/>
      <c r="D24" s="45" t="e">
        <f>ROUND($D$3*E24/$E$3,2)</f>
        <v>#DIV/0!</v>
      </c>
      <c r="E24" s="53">
        <f>SUM(F24:G24)</f>
        <v>0</v>
      </c>
      <c r="F24" s="2788"/>
      <c r="G24" s="2789"/>
      <c r="H24" s="667" t="e">
        <f>ROUND($D$3*I24/$E$3,2)</f>
        <v>#DIV/0!</v>
      </c>
      <c r="I24" s="48" t="e">
        <f t="shared" si="2"/>
        <v>#DIV/0!</v>
      </c>
      <c r="J24" s="1136"/>
      <c r="K24" s="1135" t="e">
        <f t="shared" si="3"/>
        <v>#DIV/0!</v>
      </c>
      <c r="L24" s="1023">
        <f t="shared" si="4"/>
        <v>0</v>
      </c>
      <c r="M24" s="1147" t="e">
        <f t="shared" si="8"/>
        <v>#DIV/0!</v>
      </c>
      <c r="N24" s="1665"/>
      <c r="O24" s="1666"/>
      <c r="P24" s="1147">
        <f t="shared" si="9"/>
        <v>0</v>
      </c>
      <c r="R24" s="1023" t="e">
        <f t="shared" si="5"/>
        <v>#DIV/0!</v>
      </c>
      <c r="S24" s="1024" t="e">
        <f t="shared" si="5"/>
        <v>#DIV/0!</v>
      </c>
    </row>
    <row r="25" spans="1:19">
      <c r="A25" s="1667"/>
      <c r="B25" s="47" t="s">
        <v>1153</v>
      </c>
      <c r="C25" s="3409"/>
      <c r="D25" s="45" t="e">
        <f t="shared" si="6"/>
        <v>#DIV/0!</v>
      </c>
      <c r="E25" s="53">
        <f t="shared" si="1"/>
        <v>0</v>
      </c>
      <c r="F25" s="2788"/>
      <c r="G25" s="2789"/>
      <c r="H25" s="44" t="e">
        <f t="shared" si="7"/>
        <v>#DIV/0!</v>
      </c>
      <c r="I25" s="48" t="e">
        <f t="shared" si="2"/>
        <v>#DIV/0!</v>
      </c>
      <c r="J25" s="1136"/>
      <c r="K25" s="1135" t="e">
        <f t="shared" si="3"/>
        <v>#DIV/0!</v>
      </c>
      <c r="L25" s="1023">
        <f t="shared" si="4"/>
        <v>0</v>
      </c>
      <c r="M25" s="1147" t="e">
        <f t="shared" si="8"/>
        <v>#DIV/0!</v>
      </c>
      <c r="N25" s="1665"/>
      <c r="O25" s="1666"/>
      <c r="P25" s="1147">
        <f t="shared" si="9"/>
        <v>0</v>
      </c>
      <c r="R25" s="1023" t="e">
        <f t="shared" si="5"/>
        <v>#DIV/0!</v>
      </c>
      <c r="S25" s="1024" t="e">
        <f t="shared" si="5"/>
        <v>#DIV/0!</v>
      </c>
    </row>
    <row r="26" spans="1:19">
      <c r="A26" s="1667"/>
      <c r="B26" s="47" t="s">
        <v>1153</v>
      </c>
      <c r="C26" s="55"/>
      <c r="D26" s="45" t="e">
        <f t="shared" si="6"/>
        <v>#DIV/0!</v>
      </c>
      <c r="E26" s="53">
        <f t="shared" si="1"/>
        <v>0</v>
      </c>
      <c r="F26" s="2788"/>
      <c r="G26" s="2789"/>
      <c r="H26" s="44" t="e">
        <f t="shared" si="7"/>
        <v>#DIV/0!</v>
      </c>
      <c r="I26" s="48" t="e">
        <f t="shared" si="2"/>
        <v>#DIV/0!</v>
      </c>
      <c r="J26" s="1136"/>
      <c r="K26" s="1142" t="e">
        <f t="shared" si="3"/>
        <v>#DIV/0!</v>
      </c>
      <c r="L26" s="1143">
        <f t="shared" si="4"/>
        <v>0</v>
      </c>
      <c r="M26" s="59" t="e">
        <f t="shared" si="8"/>
        <v>#DIV/0!</v>
      </c>
      <c r="N26" s="1668"/>
      <c r="O26" s="1669"/>
      <c r="P26" s="59">
        <f t="shared" si="9"/>
        <v>0</v>
      </c>
      <c r="R26" s="1023" t="e">
        <f t="shared" si="5"/>
        <v>#DIV/0!</v>
      </c>
      <c r="S26" s="1024" t="e">
        <f t="shared" si="5"/>
        <v>#DIV/0!</v>
      </c>
    </row>
    <row r="27" spans="1:19" ht="15.75" thickBot="1">
      <c r="A27" s="1667"/>
      <c r="B27" s="45"/>
      <c r="C27" s="1670" t="s">
        <v>1154</v>
      </c>
      <c r="D27" s="1137" t="e">
        <f>SUM(D19:D26)</f>
        <v>#DIV/0!</v>
      </c>
      <c r="E27" s="1138">
        <f>IF(SUM(E19:E26)='数据-基础表'!BA5,SUM(E19:E26),IF(F27="地上面积有误","面积有误","地下面积有误"))</f>
        <v>0</v>
      </c>
      <c r="F27" s="1137">
        <f>IF(SUM(F19:F26)=E8,SUM(F19:F26),"地上面积有误")</f>
        <v>0</v>
      </c>
      <c r="G27" s="1139">
        <f>SUM(G19:G26)</f>
        <v>0</v>
      </c>
      <c r="H27" s="1140" t="e">
        <f>SUM(H19:H26)</f>
        <v>#DIV/0!</v>
      </c>
      <c r="I27" s="1141" t="e">
        <f>SUM(I19:I26)</f>
        <v>#DIV/0!</v>
      </c>
      <c r="J27" s="1136"/>
      <c r="K27" s="1144" t="e">
        <f>SUM(K19:K26)</f>
        <v>#DIV/0!</v>
      </c>
      <c r="L27" s="1145">
        <f>SUM(L19:L26)</f>
        <v>0</v>
      </c>
      <c r="M27" s="1148" t="e">
        <f>SUM(M19:M26)</f>
        <v>#DIV/0!</v>
      </c>
      <c r="N27" s="1144">
        <f t="shared" ref="N27:O27" si="10">SUM(N19:N26)</f>
        <v>0</v>
      </c>
      <c r="O27" s="1145">
        <f t="shared" si="10"/>
        <v>0</v>
      </c>
      <c r="P27" s="1146">
        <f>SUM(P19:P26)</f>
        <v>0</v>
      </c>
      <c r="R27" s="1025" t="e">
        <f>IF(SUM(R19:R26)=$D$3,SUM(R19:R26),SUM(R19:R26)&amp;"误差"&amp;ROUND(SUM(R19:R26)-$D$3,2))</f>
        <v>#DIV/0!</v>
      </c>
      <c r="S27" s="1023" t="e">
        <f>IF(SUM(S19:S26)=$E$3,SUM(S19:S26),SUM(S19:S26)&amp;"误差"&amp;ROUND(SUM(S19:S26)-E3,2))</f>
        <v>#DIV/0!</v>
      </c>
    </row>
    <row r="28" spans="1:19">
      <c r="A28" s="1667"/>
      <c r="B28" s="47" t="s">
        <v>1155</v>
      </c>
      <c r="C28" s="1035" t="s">
        <v>1156</v>
      </c>
      <c r="D28" s="45" t="e">
        <f>ROUND($D$3*E28/$E$3,2)</f>
        <v>#DIV/0!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1155</v>
      </c>
      <c r="C29" s="1671" t="s">
        <v>1157</v>
      </c>
      <c r="D29" s="45" t="e">
        <f>ROUND($D$3*E29/$E$3,2)</f>
        <v>#DIV/0!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1154</v>
      </c>
      <c r="D30" s="1137" t="e">
        <f>SUM(D28:D29)</f>
        <v>#DIV/0!</v>
      </c>
      <c r="E30" s="1137">
        <f>SUM(E28:E29)</f>
        <v>0</v>
      </c>
      <c r="F30" s="1137">
        <f>SUM(F28:F29)</f>
        <v>0</v>
      </c>
      <c r="G30" s="1139">
        <f>SUM(G28:G29)</f>
        <v>0</v>
      </c>
      <c r="H30" s="2650"/>
      <c r="I30" s="2650"/>
      <c r="J30" s="2650"/>
      <c r="K30" s="2650"/>
      <c r="L30" s="2650"/>
      <c r="M30" s="2650"/>
      <c r="N30" s="2650"/>
      <c r="O30" s="2650"/>
      <c r="P30" s="2650"/>
    </row>
    <row r="31" spans="1:19" ht="15.75" thickBot="1">
      <c r="A31" s="1673"/>
      <c r="B31" s="1674"/>
      <c r="C31" s="832" t="s">
        <v>1158</v>
      </c>
      <c r="D31" s="673" t="e">
        <f>D27+D30</f>
        <v>#DIV/0!</v>
      </c>
      <c r="E31" s="673">
        <f>E27+E30</f>
        <v>0</v>
      </c>
      <c r="F31" s="674">
        <f>F27+F30</f>
        <v>0</v>
      </c>
      <c r="G31" s="675">
        <f>G27+G30</f>
        <v>0</v>
      </c>
      <c r="H31" s="2650"/>
      <c r="I31" s="2650"/>
      <c r="J31" s="2650"/>
      <c r="K31" s="2650"/>
      <c r="L31" s="2650"/>
      <c r="M31" s="2650"/>
      <c r="N31" s="2650"/>
      <c r="O31" s="2650"/>
      <c r="P31" s="2650"/>
    </row>
    <row r="32" spans="1:19">
      <c r="A32" s="1640"/>
      <c r="B32" s="1640" t="s">
        <v>1159</v>
      </c>
      <c r="C32" s="1640"/>
      <c r="D32" s="1640"/>
      <c r="E32" s="1050">
        <f>SUMIF(C19:C26,"*住宅*",E19:E26)</f>
        <v>0</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I59" sqref="I5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1161</v>
      </c>
      <c r="B2" s="1042">
        <f>项目基本情况!D3</f>
        <v>45076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49"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f>'数据-汇总表'!C19</f>
        <v>0</v>
      </c>
      <c r="B6" s="1710" t="str">
        <f>IF(A6=0,"","经营性")</f>
        <v/>
      </c>
      <c r="C6" s="1711"/>
      <c r="D6" s="855">
        <f>SUMIF(项目基本情况!C$12:I$12,C6,项目基本情况!C$14:I$14)</f>
        <v>0</v>
      </c>
      <c r="E6" s="854" t="str">
        <f>IF(B6="","",SUMIF(项目基本情况!C$12:I$12,C6,项目基本情况!C$13:I$13))</f>
        <v/>
      </c>
      <c r="F6" s="64">
        <f>SUMIF(项目基本情况!C$12:I$12,C6,项目基本情况!C$15:I$15)</f>
        <v>0</v>
      </c>
      <c r="G6" s="65">
        <f>IF(ISERROR(ROUND(POWER(1+H6,D6-F6)*(POWER(1+H6,F6)-1)/(POWER(1+H6,D6)-1),3)),0,ROUND(POWER(1+H6,D6-F6)*(POWER(1+H6,F6)-1)/(POWER(1+H6,D6)-1),3))</f>
        <v>0</v>
      </c>
      <c r="H6" s="729"/>
      <c r="I6" s="729"/>
      <c r="J6" s="66">
        <v>0.08</v>
      </c>
      <c r="K6" s="1027">
        <f>SUMIF('数据-汇总表'!C$19:C$33,A6,'数据-汇总表'!E$19:E$33)</f>
        <v>0</v>
      </c>
      <c r="L6" s="730"/>
      <c r="M6" s="67">
        <f t="shared" ref="M6:M14" si="0">ROUND(K6*L6/10000,0)</f>
        <v>0</v>
      </c>
      <c r="N6" s="728"/>
      <c r="O6" s="67">
        <f>IF($N$5="成新度","——",ROUND(M6*N6,0))</f>
        <v>0</v>
      </c>
      <c r="P6" s="68">
        <f>IF($N$5="成新度","——",M6-O6)</f>
        <v>0</v>
      </c>
      <c r="Q6" s="731"/>
      <c r="R6" s="69">
        <f ca="1">SUMIF('数据-汇总表'!C$19:C$33,A6,'数据-汇总表'!R$19:R$27)</f>
        <v>0</v>
      </c>
      <c r="S6" s="51">
        <f>IF('数据-汇总表'!$I$17="按面积比例",SUMIF('数据-汇总表'!C$19:C$33,A6,'数据-汇总表'!K$19:K$33),SUMIF('数据-汇总表'!C$19:C$33,A6,'数据-汇总表'!N$19:N$33))</f>
        <v>0</v>
      </c>
      <c r="T6" s="1169">
        <f>ROUND($L$14*S6/10000,0)</f>
        <v>0</v>
      </c>
      <c r="U6" s="3419"/>
      <c r="V6" s="70"/>
      <c r="W6" s="70"/>
      <c r="X6" s="1037"/>
      <c r="Y6" s="71"/>
      <c r="Z6" s="72"/>
      <c r="AA6" s="66"/>
      <c r="AB6" s="66"/>
      <c r="AC6" s="1037"/>
      <c r="AD6" s="73"/>
      <c r="AE6" s="1038">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f t="shared" ref="O7:O14" si="3">IF($N$5="成新度","——",ROUND(M7*N7,0))</f>
        <v>0</v>
      </c>
      <c r="P7" s="68">
        <f t="shared" ref="P7:P14" si="4">IF($N$5="成新度","——",M7-O7)</f>
        <v>0</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9"/>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0"/>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9"/>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9"/>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9"/>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9"/>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1"/>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f t="shared" si="3"/>
        <v>0</v>
      </c>
      <c r="P14" s="68">
        <f t="shared" si="4"/>
        <v>0</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2" t="s">
        <v>3381</v>
      </c>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1210</v>
      </c>
      <c r="B18" s="2676"/>
      <c r="C18" s="2664"/>
      <c r="D18" s="2667"/>
      <c r="E18" s="2664"/>
      <c r="F18" s="2664"/>
      <c r="G18" s="2664"/>
      <c r="H18" s="2664"/>
      <c r="I18" s="2664"/>
      <c r="J18" s="2664"/>
      <c r="K18" s="2663"/>
      <c r="L18" s="2663"/>
      <c r="M18" s="3442" t="s">
        <v>3382</v>
      </c>
      <c r="N18" s="2662">
        <f>ROUND(1-(1-0%)*(2023-N17)/60,2)</f>
        <v>-32.72</v>
      </c>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1211</v>
      </c>
      <c r="B19" s="103">
        <v>0</v>
      </c>
      <c r="C19" s="2790" t="s">
        <v>2293</v>
      </c>
      <c r="D19" s="2667"/>
      <c r="E19" s="2664"/>
      <c r="F19" s="2664"/>
      <c r="G19" s="2664"/>
      <c r="H19" s="2664"/>
      <c r="I19" s="2664"/>
      <c r="J19" s="2664"/>
      <c r="K19" s="2663"/>
      <c r="L19" s="2663"/>
      <c r="M19" s="3442" t="s">
        <v>3383</v>
      </c>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1212</v>
      </c>
      <c r="B20" s="104">
        <v>2</v>
      </c>
      <c r="C20" s="2791" t="s">
        <v>2291</v>
      </c>
      <c r="D20" s="2667"/>
      <c r="E20" s="2664"/>
      <c r="F20" s="2664"/>
      <c r="G20" s="2664"/>
      <c r="H20" s="2664"/>
      <c r="I20" s="2664"/>
      <c r="J20" s="2664"/>
      <c r="K20" s="2663"/>
      <c r="L20" s="2663"/>
      <c r="M20" s="3442" t="s">
        <v>3384</v>
      </c>
      <c r="N20" s="2662">
        <f>ROUND((N18+N19)/2,2)</f>
        <v>-16.36</v>
      </c>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1213</v>
      </c>
      <c r="B21" s="104">
        <f>B20</f>
        <v>2</v>
      </c>
      <c r="C21" s="2664"/>
      <c r="D21" s="2667"/>
      <c r="E21" s="2664"/>
      <c r="F21" s="2664"/>
      <c r="G21" s="2664"/>
      <c r="H21" s="2664"/>
      <c r="I21" s="2664"/>
      <c r="J21" s="2664"/>
      <c r="K21" s="2663"/>
      <c r="L21" s="2663"/>
      <c r="M21" s="2662"/>
      <c r="N21" s="2662"/>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1214</v>
      </c>
      <c r="B22" s="105">
        <f>B19+B20</f>
        <v>2</v>
      </c>
      <c r="C22" s="2664"/>
      <c r="D22" s="2667"/>
      <c r="E22" s="2664"/>
      <c r="F22" s="2664"/>
      <c r="G22" s="2664"/>
      <c r="H22" s="2664"/>
      <c r="I22" s="2664"/>
      <c r="J22" s="2664"/>
      <c r="K22" s="2663"/>
      <c r="L22" s="2663"/>
      <c r="M22" s="2662"/>
      <c r="N22" s="2662"/>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1215</v>
      </c>
      <c r="B23" s="105">
        <f>B19+B21</f>
        <v>2</v>
      </c>
      <c r="C23" s="2664"/>
      <c r="D23" s="2667"/>
      <c r="E23" s="2664"/>
      <c r="F23" s="2664"/>
      <c r="G23" s="2664"/>
      <c r="H23" s="2664"/>
      <c r="I23" s="2664"/>
      <c r="J23" s="2664"/>
      <c r="K23" s="2663"/>
      <c r="L23" s="2663"/>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1216</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1217</v>
      </c>
      <c r="B26" s="1723" t="s">
        <v>1218</v>
      </c>
      <c r="C26" s="2668" t="s">
        <v>1219</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1220</v>
      </c>
      <c r="B27" s="107">
        <v>160</v>
      </c>
      <c r="C27" s="2792" t="s">
        <v>2295</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v>200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f ca="1">成本法!C9+成本法!C10</f>
        <v>0</v>
      </c>
      <c r="C29" s="2793" t="s">
        <v>2282</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4" t="s">
        <v>2283</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0.03</v>
      </c>
      <c r="C34" s="2794" t="s">
        <v>2284</v>
      </c>
      <c r="D34" s="2675" t="s">
        <v>2292</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f>B30</f>
        <v>200</v>
      </c>
      <c r="C35" s="2794" t="s">
        <v>2285</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4" t="s">
        <v>2286</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1230</v>
      </c>
      <c r="B37" s="115">
        <v>0.02</v>
      </c>
      <c r="C37" s="2794" t="s">
        <v>2287</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1231</v>
      </c>
      <c r="B38" s="113">
        <v>0.02</v>
      </c>
      <c r="C38" s="2794" t="s">
        <v>2287</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1232</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29.25" thickBot="1">
      <c r="A40" s="2806" t="s">
        <v>3385</v>
      </c>
      <c r="B40" s="1075">
        <f ca="1">IF(A40="利息：取LPR",存贷款利率!G1,存贷款利率!G1+C40)</f>
        <v>4.1499999999999995E-2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1233</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1234</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1235</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1236</v>
      </c>
      <c r="B44" s="119">
        <v>7.0000000000000007E-2</v>
      </c>
      <c r="C44" s="2794" t="s">
        <v>2296</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1237</v>
      </c>
      <c r="B45" s="117">
        <v>0.03</v>
      </c>
      <c r="C45" s="2793" t="s">
        <v>2288</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1238</v>
      </c>
      <c r="B46" s="117">
        <v>0.02</v>
      </c>
      <c r="C46" s="2793" t="s">
        <v>2289</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1239</v>
      </c>
      <c r="B47" s="120">
        <v>0</v>
      </c>
      <c r="C47" s="2796" t="s">
        <v>2297</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1240</v>
      </c>
      <c r="B48" s="121">
        <v>0.03</v>
      </c>
      <c r="C48" s="2793" t="s">
        <v>2288</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1241</v>
      </c>
      <c r="B49" s="117">
        <v>5.0000000000000001E-4</v>
      </c>
      <c r="C49" s="2793" t="s">
        <v>2290</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1242</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1243</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1244</v>
      </c>
      <c r="B52" s="124">
        <f>SUMIF(A54:A63,B53,B54:B63)</f>
        <v>0</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1245</v>
      </c>
      <c r="B53" s="1735"/>
      <c r="C53" s="2652" t="s">
        <v>1246</v>
      </c>
      <c r="D53" s="2795" t="s">
        <v>2294</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1247</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1248</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1249</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1250</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1251</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1252</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1253</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1254</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1255</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1256</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0"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0"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0"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0"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0"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9" sqref="C9"/>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6"/>
    <col min="30" max="16384" width="9" style="1683"/>
  </cols>
  <sheetData>
    <row r="1" spans="1:29" s="2453" customFormat="1" ht="18.75" thickBot="1">
      <c r="A1" s="3558" t="s">
        <v>2274</v>
      </c>
      <c r="B1" s="3559"/>
      <c r="C1" s="3559"/>
      <c r="D1" s="3559"/>
      <c r="E1" s="3559"/>
      <c r="F1" s="3559"/>
      <c r="G1" s="355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6"/>
      <c r="I2" s="796"/>
      <c r="J2" s="796"/>
      <c r="K2" s="796"/>
      <c r="L2" s="796"/>
      <c r="M2" s="796"/>
      <c r="N2" s="796"/>
      <c r="O2" s="796"/>
      <c r="P2" s="796"/>
      <c r="Q2" s="796"/>
      <c r="R2" s="796"/>
    </row>
    <row r="3" spans="1:29" ht="24">
      <c r="A3" s="2437" t="s">
        <v>2273</v>
      </c>
      <c r="B3" s="2459" t="s">
        <v>2249</v>
      </c>
      <c r="C3" s="3443" t="s">
        <v>3570</v>
      </c>
      <c r="D3" s="2460"/>
      <c r="E3" s="2438" t="s">
        <v>2273</v>
      </c>
      <c r="F3" s="2461" t="s">
        <v>2250</v>
      </c>
      <c r="G3" s="3447" t="s">
        <v>3387</v>
      </c>
      <c r="H3" s="796"/>
      <c r="I3" s="796"/>
      <c r="J3" s="796"/>
      <c r="K3" s="796"/>
      <c r="L3" s="796"/>
      <c r="M3" s="796"/>
      <c r="N3" s="796"/>
      <c r="O3" s="796"/>
      <c r="P3" s="796"/>
      <c r="Q3" s="796"/>
      <c r="R3" s="796"/>
    </row>
    <row r="4" spans="1:29">
      <c r="A4" s="2438"/>
      <c r="B4" s="323" t="s">
        <v>2251</v>
      </c>
      <c r="C4" s="3444" t="s">
        <v>3593</v>
      </c>
      <c r="D4" s="2460"/>
      <c r="E4" s="2462"/>
      <c r="F4" s="1370" t="s">
        <v>2252</v>
      </c>
      <c r="G4" s="3445" t="s">
        <v>3389</v>
      </c>
      <c r="H4" s="796"/>
      <c r="I4" s="796"/>
      <c r="J4" s="796"/>
      <c r="K4" s="796"/>
      <c r="L4" s="796"/>
      <c r="M4" s="796"/>
      <c r="N4" s="796"/>
      <c r="O4" s="796"/>
      <c r="P4" s="796"/>
      <c r="Q4" s="796"/>
      <c r="R4" s="796"/>
    </row>
    <row r="5" spans="1:29">
      <c r="A5" s="2438"/>
      <c r="B5" s="323" t="s">
        <v>2253</v>
      </c>
      <c r="C5" s="3444" t="s">
        <v>3593</v>
      </c>
      <c r="D5" s="2460"/>
      <c r="E5" s="2462"/>
      <c r="F5" s="323" t="s">
        <v>2254</v>
      </c>
      <c r="G5" s="3445" t="s">
        <v>3389</v>
      </c>
      <c r="H5" s="796"/>
      <c r="I5" s="796"/>
      <c r="J5" s="796"/>
      <c r="K5" s="796"/>
      <c r="L5" s="796"/>
      <c r="M5" s="796"/>
      <c r="N5" s="796"/>
      <c r="O5" s="796"/>
      <c r="P5" s="796"/>
      <c r="Q5" s="796"/>
      <c r="R5" s="796"/>
    </row>
    <row r="6" spans="1:29">
      <c r="A6" s="2438"/>
      <c r="B6" s="323" t="s">
        <v>2255</v>
      </c>
      <c r="C6" s="3444" t="s">
        <v>3388</v>
      </c>
      <c r="D6" s="2460"/>
      <c r="E6" s="2462"/>
      <c r="F6" s="323" t="s">
        <v>2256</v>
      </c>
      <c r="G6" s="3445" t="s">
        <v>3391</v>
      </c>
      <c r="H6" s="796"/>
      <c r="I6" s="796"/>
      <c r="J6" s="796"/>
      <c r="K6" s="796"/>
      <c r="L6" s="796"/>
      <c r="M6" s="796"/>
      <c r="N6" s="796"/>
      <c r="O6" s="796"/>
      <c r="P6" s="796"/>
      <c r="Q6" s="796"/>
      <c r="R6" s="796"/>
    </row>
    <row r="7" spans="1:29" ht="15" thickBot="1">
      <c r="A7" s="2438"/>
      <c r="B7" s="323" t="s">
        <v>2254</v>
      </c>
      <c r="C7" s="3444" t="s">
        <v>3388</v>
      </c>
      <c r="D7" s="2463"/>
      <c r="E7" s="2464"/>
      <c r="F7" s="2465" t="s">
        <v>2257</v>
      </c>
      <c r="G7" s="3448" t="s">
        <v>3389</v>
      </c>
      <c r="H7" s="796"/>
      <c r="I7" s="796"/>
      <c r="J7" s="796"/>
      <c r="K7" s="796"/>
      <c r="L7" s="796"/>
      <c r="M7" s="796"/>
      <c r="N7" s="796"/>
      <c r="O7" s="796"/>
      <c r="P7" s="796"/>
      <c r="Q7" s="796"/>
      <c r="R7" s="796"/>
    </row>
    <row r="8" spans="1:29">
      <c r="A8" s="2438"/>
      <c r="B8" s="323" t="s">
        <v>2256</v>
      </c>
      <c r="C8" s="3445" t="s">
        <v>3391</v>
      </c>
      <c r="D8" s="2463"/>
      <c r="E8" s="2463"/>
      <c r="F8" s="2466"/>
      <c r="G8" s="2466"/>
      <c r="H8" s="796"/>
      <c r="I8" s="796"/>
      <c r="J8" s="796"/>
      <c r="K8" s="796"/>
      <c r="L8" s="796"/>
      <c r="M8" s="796"/>
      <c r="N8" s="796"/>
      <c r="O8" s="796"/>
      <c r="P8" s="796"/>
      <c r="Q8" s="796"/>
      <c r="R8" s="796"/>
    </row>
    <row r="9" spans="1:29">
      <c r="A9" s="2438"/>
      <c r="B9" s="323" t="s">
        <v>2258</v>
      </c>
      <c r="C9" s="3444" t="s">
        <v>3571</v>
      </c>
      <c r="D9" s="2460"/>
      <c r="E9" s="2463"/>
      <c r="F9" s="2466"/>
      <c r="G9" s="2466"/>
      <c r="H9" s="796"/>
      <c r="I9" s="796"/>
      <c r="J9" s="796"/>
      <c r="K9" s="796"/>
      <c r="L9" s="796"/>
      <c r="M9" s="796"/>
      <c r="N9" s="796"/>
      <c r="O9" s="796"/>
      <c r="P9" s="796"/>
      <c r="Q9" s="796"/>
      <c r="R9" s="796"/>
    </row>
    <row r="10" spans="1:29" s="2472" customFormat="1" ht="15" thickBot="1">
      <c r="A10" s="2439"/>
      <c r="B10" s="2467" t="s">
        <v>2259</v>
      </c>
      <c r="C10" s="2468"/>
      <c r="D10" s="2460"/>
      <c r="E10" s="2460"/>
      <c r="F10" s="2466"/>
      <c r="G10" s="2466"/>
      <c r="H10" s="2469"/>
      <c r="I10" s="2470"/>
      <c r="J10" s="2471"/>
      <c r="K10" s="2469"/>
      <c r="L10" s="2470"/>
      <c r="M10" s="2471"/>
      <c r="N10" s="2469"/>
      <c r="O10" s="2470"/>
      <c r="P10" s="2471"/>
      <c r="Q10" s="2469"/>
      <c r="R10" s="2470"/>
      <c r="S10" s="796"/>
      <c r="T10" s="796"/>
      <c r="U10" s="796"/>
      <c r="V10" s="796"/>
      <c r="W10" s="796"/>
      <c r="X10" s="796"/>
      <c r="Y10" s="796"/>
      <c r="Z10" s="796"/>
      <c r="AA10" s="796"/>
      <c r="AB10" s="796"/>
      <c r="AC10" s="796"/>
    </row>
    <row r="11" spans="1:29" s="2472" customFormat="1">
      <c r="A11" s="2473"/>
      <c r="B11" s="2463"/>
      <c r="C11" s="2460"/>
      <c r="D11" s="2460"/>
      <c r="E11" s="2460"/>
      <c r="F11" s="2463"/>
      <c r="G11" s="2474"/>
      <c r="H11" s="2469"/>
      <c r="I11" s="2470"/>
      <c r="J11" s="2471"/>
      <c r="K11" s="2469"/>
      <c r="L11" s="2470"/>
      <c r="M11" s="2471"/>
      <c r="N11" s="2469"/>
      <c r="O11" s="2470"/>
      <c r="P11" s="2471"/>
      <c r="Q11" s="2469"/>
      <c r="R11" s="2470"/>
      <c r="S11" s="796"/>
      <c r="T11" s="796"/>
      <c r="U11" s="796"/>
      <c r="V11" s="796"/>
      <c r="W11" s="796"/>
      <c r="X11" s="796"/>
      <c r="Y11" s="796"/>
      <c r="Z11" s="796"/>
      <c r="AA11" s="796"/>
      <c r="AB11" s="796"/>
      <c r="AC11" s="796"/>
    </row>
    <row r="12" spans="1:29" s="2453" customFormat="1" ht="18">
      <c r="A12" s="2473"/>
      <c r="B12" s="2463"/>
      <c r="C12" s="2460"/>
      <c r="D12" s="2475"/>
      <c r="E12" s="2460"/>
      <c r="F12" s="2463"/>
      <c r="G12" s="2474"/>
      <c r="H12" s="2476"/>
      <c r="I12" s="2477"/>
      <c r="J12" s="2476"/>
      <c r="K12" s="2476"/>
      <c r="L12" s="2478"/>
      <c r="M12" s="2476"/>
      <c r="N12" s="2479"/>
      <c r="O12" s="2480"/>
      <c r="P12" s="2479"/>
      <c r="Q12" s="2479"/>
      <c r="R12" s="2451"/>
      <c r="S12" s="2452"/>
      <c r="T12" s="2452"/>
      <c r="U12" s="2452"/>
      <c r="V12" s="2452"/>
      <c r="W12" s="2452"/>
      <c r="X12" s="2452"/>
      <c r="Y12" s="2452"/>
      <c r="Z12" s="2452"/>
      <c r="AA12" s="2452"/>
      <c r="AB12" s="2452"/>
      <c r="AC12" s="2452"/>
    </row>
    <row r="13" spans="1:29" ht="15.75" thickBot="1">
      <c r="A13" s="2481" t="s">
        <v>2275</v>
      </c>
      <c r="B13" s="2475"/>
      <c r="C13" s="2475"/>
      <c r="D13" s="2473"/>
      <c r="E13" s="2475"/>
      <c r="F13" s="2475"/>
      <c r="G13" s="2475"/>
    </row>
    <row r="14" spans="1:29" ht="15" thickBot="1">
      <c r="A14" s="2485"/>
      <c r="B14" s="2485"/>
      <c r="C14" s="2486" t="s">
        <v>2260</v>
      </c>
      <c r="D14" s="2460"/>
      <c r="E14" s="2487"/>
      <c r="F14" s="2487"/>
      <c r="G14" s="2456" t="s">
        <v>2261</v>
      </c>
    </row>
    <row r="15" spans="1:29" ht="24">
      <c r="A15" s="2440" t="s">
        <v>2262</v>
      </c>
      <c r="B15" s="2488" t="s">
        <v>2249</v>
      </c>
      <c r="C15" s="2489" t="str">
        <f>C3</f>
        <v xml:space="preserve"> </v>
      </c>
      <c r="D15" s="2460"/>
      <c r="E15" s="2441" t="s">
        <v>2263</v>
      </c>
      <c r="F15" s="2488" t="s">
        <v>2264</v>
      </c>
      <c r="G15" s="2490" t="str">
        <f>G3</f>
        <v>较好</v>
      </c>
    </row>
    <row r="16" spans="1:29">
      <c r="A16" s="2442"/>
      <c r="B16" s="2491" t="s">
        <v>2251</v>
      </c>
      <c r="C16" s="2492" t="str">
        <f>C4</f>
        <v>好</v>
      </c>
      <c r="D16" s="2460"/>
      <c r="E16" s="2443"/>
      <c r="F16" s="2493" t="s">
        <v>2252</v>
      </c>
      <c r="G16" s="2494" t="str">
        <f>G4</f>
        <v>较好</v>
      </c>
    </row>
    <row r="17" spans="1:18">
      <c r="A17" s="2442"/>
      <c r="B17" s="2491" t="s">
        <v>2253</v>
      </c>
      <c r="C17" s="2492" t="str">
        <f>C5</f>
        <v>好</v>
      </c>
      <c r="D17" s="2463"/>
      <c r="E17" s="2443"/>
      <c r="F17" s="2493" t="s">
        <v>2265</v>
      </c>
      <c r="G17" s="3446" t="s">
        <v>3392</v>
      </c>
    </row>
    <row r="18" spans="1:18">
      <c r="A18" s="2442"/>
      <c r="B18" s="2493" t="s">
        <v>2255</v>
      </c>
      <c r="C18" s="2494" t="str">
        <f>C6</f>
        <v>较好</v>
      </c>
      <c r="D18" s="2463"/>
      <c r="E18" s="2443"/>
      <c r="F18" s="2493" t="s">
        <v>2257</v>
      </c>
      <c r="G18" s="2494" t="str">
        <f>G7</f>
        <v>较好</v>
      </c>
    </row>
    <row r="19" spans="1:18">
      <c r="A19" s="2442"/>
      <c r="B19" s="2493" t="s">
        <v>2266</v>
      </c>
      <c r="C19" s="3446" t="s">
        <v>3392</v>
      </c>
      <c r="D19" s="2460"/>
      <c r="E19" s="2443"/>
      <c r="F19" s="323" t="s">
        <v>2254</v>
      </c>
      <c r="G19" s="2494" t="str">
        <f>G5</f>
        <v>较好</v>
      </c>
    </row>
    <row r="20" spans="1:18">
      <c r="A20" s="2442"/>
      <c r="B20" s="2493" t="s">
        <v>2267</v>
      </c>
      <c r="C20" s="2492" t="str">
        <f>C9</f>
        <v>较好</v>
      </c>
      <c r="D20" s="2463"/>
      <c r="E20" s="2443"/>
      <c r="F20" s="323" t="s">
        <v>2256</v>
      </c>
      <c r="G20" s="2494" t="str">
        <f>G6</f>
        <v>七通</v>
      </c>
    </row>
    <row r="21" spans="1:18">
      <c r="A21" s="2442"/>
      <c r="B21" s="323" t="s">
        <v>2254</v>
      </c>
      <c r="C21" s="2494" t="str">
        <f>C7</f>
        <v>较好</v>
      </c>
      <c r="D21" s="2460"/>
      <c r="E21" s="2443"/>
      <c r="F21" s="2493" t="s">
        <v>2268</v>
      </c>
      <c r="G21" s="2496"/>
    </row>
    <row r="22" spans="1:18" ht="13.5" customHeight="1">
      <c r="A22" s="2442"/>
      <c r="B22" s="323" t="s">
        <v>2256</v>
      </c>
      <c r="C22" s="2494" t="str">
        <f>C8</f>
        <v>七通</v>
      </c>
      <c r="D22" s="2460"/>
      <c r="E22" s="2443"/>
      <c r="F22" s="2493" t="s">
        <v>2259</v>
      </c>
      <c r="G22" s="2495"/>
    </row>
    <row r="23" spans="1:18" s="796" customFormat="1" ht="15" thickBot="1">
      <c r="A23" s="2442"/>
      <c r="B23" s="2493" t="s">
        <v>2268</v>
      </c>
      <c r="C23" s="2496"/>
      <c r="D23" s="1738"/>
      <c r="E23" s="2444"/>
      <c r="F23" s="2497" t="s">
        <v>2269</v>
      </c>
      <c r="G23" s="2498"/>
      <c r="H23" s="2482"/>
      <c r="I23" s="2483"/>
      <c r="J23" s="2482"/>
      <c r="K23" s="2482"/>
      <c r="L23" s="2483"/>
      <c r="M23" s="2482"/>
      <c r="N23" s="2482"/>
      <c r="O23" s="2483"/>
      <c r="P23" s="2482"/>
      <c r="Q23" s="2482"/>
      <c r="R23" s="2484"/>
    </row>
    <row r="24" spans="1:18" s="796" customFormat="1" ht="15" thickBot="1">
      <c r="A24" s="2445"/>
      <c r="B24" s="2497" t="s">
        <v>2270</v>
      </c>
      <c r="C24" s="2499">
        <f>C10</f>
        <v>0</v>
      </c>
      <c r="D24" s="1738"/>
      <c r="E24" s="2435"/>
      <c r="F24" s="2435"/>
      <c r="G24" s="2500"/>
      <c r="H24" s="2482"/>
      <c r="I24" s="2483"/>
      <c r="J24" s="2482"/>
      <c r="K24" s="2482"/>
      <c r="L24" s="2483"/>
      <c r="M24" s="2482"/>
      <c r="N24" s="2482"/>
      <c r="O24" s="2483"/>
      <c r="P24" s="2482"/>
      <c r="Q24" s="2482"/>
      <c r="R24" s="2484"/>
    </row>
    <row r="25" spans="1:18" s="796" customFormat="1">
      <c r="B25" s="2482"/>
      <c r="C25" s="2482"/>
      <c r="D25" s="2482"/>
      <c r="H25" s="2482"/>
      <c r="I25" s="2483"/>
      <c r="J25" s="2482"/>
      <c r="K25" s="2482"/>
      <c r="L25" s="2483"/>
      <c r="M25" s="2482"/>
      <c r="N25" s="2482"/>
      <c r="O25" s="2483"/>
      <c r="P25" s="2482"/>
      <c r="Q25" s="2482"/>
      <c r="R25" s="2484"/>
    </row>
    <row r="26" spans="1:18" s="796" customFormat="1">
      <c r="B26" s="2482"/>
      <c r="C26" s="2482"/>
      <c r="D26" s="2482"/>
      <c r="H26" s="2482"/>
      <c r="I26" s="2483"/>
      <c r="J26" s="2482"/>
      <c r="K26" s="2482"/>
      <c r="L26" s="2483"/>
      <c r="M26" s="2482"/>
      <c r="N26" s="2482"/>
      <c r="O26" s="2483"/>
      <c r="P26" s="2482"/>
      <c r="Q26" s="2482"/>
      <c r="R26" s="2484"/>
    </row>
    <row r="27" spans="1:18" s="796" customFormat="1">
      <c r="B27" s="2482"/>
      <c r="C27" s="2482"/>
      <c r="D27" s="2482"/>
      <c r="H27" s="2482"/>
      <c r="I27" s="2483"/>
      <c r="J27" s="2482"/>
      <c r="K27" s="2482"/>
      <c r="L27" s="2483"/>
      <c r="M27" s="2482"/>
      <c r="N27" s="2482"/>
      <c r="O27" s="2483"/>
      <c r="P27" s="2482"/>
      <c r="Q27" s="2482"/>
      <c r="R27" s="2484"/>
    </row>
    <row r="28" spans="1:18" s="796" customFormat="1">
      <c r="B28" s="2482"/>
      <c r="C28" s="2482"/>
      <c r="D28" s="2482"/>
      <c r="H28" s="2482"/>
      <c r="I28" s="2483"/>
      <c r="J28" s="2482"/>
      <c r="K28" s="2482"/>
      <c r="L28" s="2483"/>
      <c r="M28" s="2482"/>
      <c r="N28" s="2482"/>
      <c r="O28" s="2483"/>
      <c r="P28" s="2482"/>
      <c r="Q28" s="2482"/>
      <c r="R28" s="2484"/>
    </row>
    <row r="29" spans="1:18" s="796" customFormat="1">
      <c r="B29" s="2482"/>
      <c r="C29" s="2482"/>
      <c r="D29" s="2482"/>
      <c r="H29" s="2482"/>
      <c r="I29" s="2483"/>
      <c r="J29" s="2482"/>
      <c r="K29" s="2482"/>
      <c r="L29" s="2483"/>
      <c r="M29" s="2482"/>
      <c r="N29" s="2482"/>
      <c r="O29" s="2483"/>
      <c r="P29" s="2482"/>
      <c r="Q29" s="2482"/>
      <c r="R29" s="2484"/>
    </row>
    <row r="30" spans="1:18" s="796" customFormat="1">
      <c r="B30" s="2482"/>
      <c r="C30" s="2482"/>
      <c r="D30" s="2482"/>
      <c r="H30" s="2482"/>
      <c r="I30" s="2483"/>
      <c r="J30" s="2482"/>
      <c r="K30" s="2482"/>
      <c r="L30" s="2483"/>
      <c r="M30" s="2482"/>
      <c r="N30" s="2482"/>
      <c r="O30" s="2483"/>
      <c r="P30" s="2482"/>
      <c r="Q30" s="2482"/>
      <c r="R30" s="2484"/>
    </row>
    <row r="31" spans="1:18" s="796" customFormat="1">
      <c r="B31" s="2482"/>
      <c r="C31" s="2482"/>
      <c r="D31" s="2482"/>
      <c r="H31" s="2482"/>
      <c r="I31" s="2483"/>
      <c r="J31" s="2482"/>
      <c r="K31" s="2482"/>
      <c r="L31" s="2483"/>
      <c r="M31" s="2482"/>
      <c r="N31" s="2482"/>
      <c r="O31" s="2483"/>
      <c r="P31" s="2482"/>
      <c r="Q31" s="2482"/>
      <c r="R31" s="2484"/>
    </row>
    <row r="32" spans="1:18" s="796" customFormat="1">
      <c r="B32" s="2482"/>
      <c r="C32" s="2482"/>
      <c r="D32" s="2482"/>
      <c r="H32" s="2482"/>
      <c r="I32" s="2483"/>
      <c r="J32" s="2482"/>
      <c r="K32" s="2482"/>
      <c r="L32" s="2483"/>
      <c r="M32" s="2482"/>
      <c r="N32" s="2482"/>
      <c r="O32" s="2483"/>
      <c r="P32" s="2482"/>
      <c r="Q32" s="2482"/>
      <c r="R32" s="2484"/>
    </row>
    <row r="33" spans="2:18" s="796" customFormat="1">
      <c r="B33" s="2482"/>
      <c r="C33" s="2482"/>
      <c r="D33" s="2482"/>
      <c r="H33" s="2482"/>
      <c r="I33" s="2483"/>
      <c r="J33" s="2482"/>
      <c r="K33" s="2482"/>
      <c r="L33" s="2483"/>
      <c r="M33" s="2482"/>
      <c r="N33" s="2482"/>
      <c r="O33" s="2483"/>
      <c r="P33" s="2482"/>
      <c r="Q33" s="2482"/>
      <c r="R33" s="2484"/>
    </row>
    <row r="34" spans="2:18" s="796" customFormat="1">
      <c r="B34" s="2482"/>
      <c r="C34" s="2482"/>
      <c r="D34" s="2482"/>
      <c r="H34" s="2482"/>
      <c r="I34" s="2483"/>
      <c r="J34" s="2482"/>
      <c r="K34" s="2482"/>
      <c r="L34" s="2483"/>
      <c r="M34" s="2482"/>
      <c r="N34" s="2482"/>
      <c r="O34" s="2483"/>
      <c r="P34" s="2482"/>
      <c r="Q34" s="2482"/>
      <c r="R34" s="2484"/>
    </row>
    <row r="35" spans="2:18" s="796" customFormat="1">
      <c r="B35" s="2482"/>
      <c r="C35" s="2482"/>
      <c r="D35" s="2482"/>
      <c r="H35" s="2482"/>
      <c r="I35" s="2483"/>
      <c r="J35" s="2482"/>
      <c r="K35" s="2482"/>
      <c r="L35" s="2483"/>
      <c r="M35" s="2482"/>
      <c r="N35" s="2482"/>
      <c r="O35" s="2483"/>
      <c r="P35" s="2482"/>
      <c r="Q35" s="2482"/>
      <c r="R35" s="2484"/>
    </row>
    <row r="36" spans="2:18" s="796" customFormat="1">
      <c r="B36" s="2482"/>
      <c r="C36" s="2482"/>
      <c r="D36" s="2482"/>
      <c r="H36" s="2482"/>
      <c r="I36" s="2483"/>
      <c r="J36" s="2482"/>
      <c r="K36" s="2482"/>
      <c r="L36" s="2483"/>
      <c r="M36" s="2482"/>
      <c r="N36" s="2482"/>
      <c r="O36" s="2483"/>
      <c r="P36" s="2482"/>
      <c r="Q36" s="2482"/>
      <c r="R36" s="2484"/>
    </row>
    <row r="37" spans="2:18" s="796" customFormat="1">
      <c r="B37" s="2482"/>
      <c r="C37" s="2482"/>
      <c r="D37" s="2482"/>
      <c r="H37" s="2482"/>
      <c r="I37" s="2483"/>
      <c r="J37" s="2482"/>
      <c r="K37" s="2482"/>
      <c r="L37" s="2483"/>
      <c r="M37" s="2482"/>
      <c r="N37" s="2482"/>
      <c r="O37" s="2483"/>
      <c r="P37" s="2482"/>
      <c r="Q37" s="2482"/>
      <c r="R37" s="2484"/>
    </row>
    <row r="38" spans="2:18" s="796" customFormat="1">
      <c r="B38" s="2482"/>
      <c r="C38" s="2482"/>
      <c r="D38" s="2482"/>
      <c r="E38" s="2482"/>
      <c r="F38" s="2482"/>
      <c r="G38" s="2483"/>
      <c r="H38" s="2482"/>
      <c r="I38" s="2483"/>
      <c r="J38" s="2482"/>
      <c r="K38" s="2482"/>
      <c r="L38" s="2483"/>
      <c r="M38" s="2482"/>
      <c r="N38" s="2482"/>
      <c r="O38" s="2483"/>
      <c r="P38" s="2482"/>
      <c r="Q38" s="2482"/>
      <c r="R38" s="2484"/>
    </row>
    <row r="39" spans="2:18" s="796" customFormat="1">
      <c r="B39" s="2482"/>
      <c r="C39" s="2482"/>
      <c r="D39" s="2482"/>
      <c r="E39" s="2482"/>
      <c r="F39" s="2482"/>
      <c r="G39" s="2483"/>
      <c r="H39" s="2482"/>
      <c r="I39" s="2483"/>
      <c r="J39" s="2482"/>
      <c r="K39" s="2482"/>
      <c r="L39" s="2483"/>
      <c r="M39" s="2482"/>
      <c r="N39" s="2482"/>
      <c r="O39" s="2483"/>
      <c r="P39" s="2482"/>
      <c r="Q39" s="2482"/>
      <c r="R39" s="2484"/>
    </row>
    <row r="40" spans="2:18" s="796" customFormat="1">
      <c r="B40" s="2482"/>
      <c r="C40" s="2482"/>
      <c r="D40" s="2482"/>
      <c r="E40" s="2482"/>
      <c r="F40" s="2482"/>
      <c r="G40" s="2483"/>
      <c r="H40" s="2482"/>
      <c r="I40" s="2483"/>
      <c r="J40" s="2482"/>
      <c r="K40" s="2482"/>
      <c r="L40" s="2483"/>
      <c r="M40" s="2482"/>
      <c r="N40" s="2482"/>
      <c r="O40" s="2483"/>
      <c r="P40" s="2482"/>
      <c r="Q40" s="2482"/>
      <c r="R40" s="2484"/>
    </row>
    <row r="41" spans="2:18" s="796" customFormat="1">
      <c r="B41" s="2482"/>
      <c r="C41" s="2482"/>
      <c r="D41" s="2482"/>
      <c r="E41" s="2482"/>
      <c r="F41" s="2482"/>
      <c r="G41" s="2483"/>
      <c r="H41" s="2482"/>
      <c r="I41" s="2483"/>
      <c r="J41" s="2482"/>
      <c r="K41" s="2482"/>
      <c r="L41" s="2483"/>
      <c r="M41" s="2482"/>
      <c r="N41" s="2482"/>
      <c r="O41" s="2483"/>
      <c r="P41" s="2482"/>
      <c r="Q41" s="2482"/>
      <c r="R41" s="2484"/>
    </row>
    <row r="42" spans="2:18" s="796" customFormat="1">
      <c r="B42" s="2482"/>
      <c r="C42" s="2482"/>
      <c r="D42" s="2482"/>
      <c r="E42" s="2482"/>
      <c r="F42" s="2482"/>
      <c r="G42" s="2483"/>
      <c r="H42" s="2482"/>
      <c r="I42" s="2483"/>
      <c r="J42" s="2482"/>
      <c r="K42" s="2482"/>
      <c r="L42" s="2483"/>
      <c r="M42" s="2482"/>
      <c r="N42" s="2482"/>
      <c r="O42" s="2483"/>
      <c r="P42" s="2482"/>
      <c r="Q42" s="2482"/>
      <c r="R42" s="2484"/>
    </row>
    <row r="43" spans="2:18" s="796" customFormat="1">
      <c r="B43" s="2482"/>
      <c r="C43" s="2482"/>
      <c r="D43" s="2482"/>
      <c r="E43" s="2482"/>
      <c r="F43" s="2482"/>
      <c r="G43" s="2483"/>
      <c r="H43" s="2482"/>
      <c r="I43" s="2483"/>
      <c r="J43" s="2482"/>
      <c r="K43" s="2482"/>
      <c r="L43" s="2483"/>
      <c r="M43" s="2482"/>
      <c r="N43" s="2482"/>
      <c r="O43" s="2483"/>
      <c r="P43" s="2482"/>
      <c r="Q43" s="2482"/>
      <c r="R43" s="2484"/>
    </row>
    <row r="44" spans="2:18" s="796" customFormat="1">
      <c r="B44" s="2482"/>
      <c r="C44" s="2482"/>
      <c r="D44" s="2482"/>
      <c r="E44" s="2482"/>
      <c r="F44" s="2482"/>
      <c r="G44" s="2483"/>
      <c r="H44" s="2482"/>
      <c r="I44" s="2483"/>
      <c r="J44" s="2482"/>
      <c r="K44" s="2482"/>
      <c r="L44" s="2483"/>
      <c r="M44" s="2482"/>
      <c r="N44" s="2482"/>
      <c r="O44" s="2483"/>
      <c r="P44" s="2482"/>
      <c r="Q44" s="2482"/>
      <c r="R44" s="2484"/>
    </row>
    <row r="45" spans="2:18" s="796" customFormat="1">
      <c r="B45" s="2482"/>
      <c r="C45" s="2482"/>
      <c r="D45" s="2482"/>
      <c r="E45" s="2482"/>
      <c r="F45" s="2482"/>
      <c r="G45" s="2483"/>
      <c r="H45" s="2482"/>
      <c r="I45" s="2483"/>
      <c r="J45" s="2482"/>
      <c r="K45" s="2482"/>
      <c r="L45" s="2483"/>
      <c r="M45" s="2482"/>
      <c r="N45" s="2482"/>
      <c r="O45" s="2483"/>
      <c r="P45" s="2482"/>
      <c r="Q45" s="2482"/>
      <c r="R45" s="2484"/>
    </row>
    <row r="46" spans="2:18" s="796" customFormat="1">
      <c r="B46" s="2482"/>
      <c r="C46" s="2482"/>
      <c r="D46" s="2482"/>
      <c r="E46" s="2482"/>
      <c r="F46" s="2482"/>
      <c r="G46" s="2483"/>
      <c r="H46" s="2482"/>
      <c r="I46" s="2483"/>
      <c r="J46" s="2482"/>
      <c r="K46" s="2482"/>
      <c r="L46" s="2483"/>
      <c r="M46" s="2482"/>
      <c r="N46" s="2482"/>
      <c r="O46" s="2483"/>
      <c r="P46" s="2482"/>
      <c r="Q46" s="2482"/>
      <c r="R46" s="2484"/>
    </row>
    <row r="47" spans="2:18" s="796" customFormat="1">
      <c r="B47" s="2482"/>
      <c r="C47" s="2482"/>
      <c r="D47" s="2482"/>
      <c r="E47" s="2482"/>
      <c r="F47" s="2482"/>
      <c r="G47" s="2483"/>
      <c r="H47" s="2482"/>
      <c r="I47" s="2483"/>
      <c r="J47" s="2482"/>
      <c r="K47" s="2482"/>
      <c r="L47" s="2483"/>
      <c r="M47" s="2482"/>
      <c r="N47" s="2482"/>
      <c r="O47" s="2483"/>
      <c r="P47" s="2482"/>
      <c r="Q47" s="2482"/>
      <c r="R47" s="2484"/>
    </row>
    <row r="48" spans="2:18" s="796" customFormat="1">
      <c r="B48" s="2482"/>
      <c r="C48" s="2482"/>
      <c r="D48" s="2482"/>
      <c r="E48" s="2482"/>
      <c r="F48" s="2482"/>
      <c r="G48" s="2483"/>
      <c r="H48" s="2482"/>
      <c r="I48" s="2483"/>
      <c r="J48" s="2482"/>
      <c r="K48" s="2482"/>
      <c r="L48" s="2483"/>
      <c r="M48" s="2482"/>
      <c r="N48" s="2482"/>
      <c r="O48" s="2483"/>
      <c r="P48" s="2482"/>
      <c r="Q48" s="2482"/>
      <c r="R48" s="2484"/>
    </row>
    <row r="49" spans="2:18" s="796" customFormat="1">
      <c r="B49" s="2482"/>
      <c r="C49" s="2482"/>
      <c r="D49" s="2482"/>
      <c r="E49" s="2482"/>
      <c r="F49" s="2482"/>
      <c r="G49" s="2483"/>
      <c r="H49" s="2482"/>
      <c r="I49" s="2483"/>
      <c r="J49" s="2482"/>
      <c r="K49" s="2482"/>
      <c r="L49" s="2483"/>
      <c r="M49" s="2482"/>
      <c r="N49" s="2482"/>
      <c r="O49" s="2483"/>
      <c r="P49" s="2482"/>
      <c r="Q49" s="2482"/>
      <c r="R49" s="2484"/>
    </row>
    <row r="50" spans="2:18" s="796" customFormat="1">
      <c r="B50" s="2482"/>
      <c r="C50" s="2482"/>
      <c r="D50" s="2482"/>
      <c r="E50" s="2482"/>
      <c r="F50" s="2482"/>
      <c r="G50" s="2483"/>
      <c r="H50" s="2482"/>
      <c r="I50" s="2483"/>
      <c r="J50" s="2482"/>
      <c r="K50" s="2482"/>
      <c r="L50" s="2483"/>
      <c r="M50" s="2482"/>
      <c r="N50" s="2482"/>
      <c r="O50" s="2483"/>
      <c r="P50" s="2482"/>
      <c r="Q50" s="2482"/>
      <c r="R50" s="2484"/>
    </row>
    <row r="51" spans="2:18" s="796" customFormat="1">
      <c r="B51" s="2482"/>
      <c r="C51" s="2482"/>
      <c r="D51" s="2482"/>
      <c r="E51" s="2482"/>
      <c r="F51" s="2482"/>
      <c r="G51" s="2483"/>
      <c r="H51" s="2482"/>
      <c r="I51" s="2483"/>
      <c r="J51" s="2482"/>
      <c r="K51" s="2482"/>
      <c r="L51" s="2483"/>
      <c r="M51" s="2482"/>
      <c r="N51" s="2482"/>
      <c r="O51" s="2483"/>
      <c r="P51" s="2482"/>
      <c r="Q51" s="2482"/>
      <c r="R51" s="2484"/>
    </row>
    <row r="52" spans="2:18" s="796" customFormat="1">
      <c r="B52" s="2482"/>
      <c r="C52" s="2482"/>
      <c r="D52" s="2482"/>
      <c r="E52" s="2482"/>
      <c r="F52" s="2482"/>
      <c r="G52" s="2483"/>
      <c r="H52" s="2482"/>
      <c r="I52" s="2483"/>
      <c r="J52" s="2482"/>
      <c r="K52" s="2482"/>
      <c r="L52" s="2483"/>
      <c r="M52" s="2482"/>
      <c r="N52" s="2482"/>
      <c r="O52" s="2483"/>
      <c r="P52" s="2482"/>
      <c r="Q52" s="2482"/>
      <c r="R52" s="2484"/>
    </row>
    <row r="53" spans="2:18" s="796" customFormat="1">
      <c r="B53" s="2482"/>
      <c r="C53" s="2482"/>
      <c r="D53" s="2482"/>
      <c r="E53" s="2482"/>
      <c r="F53" s="2482"/>
      <c r="G53" s="2483"/>
      <c r="H53" s="2482"/>
      <c r="I53" s="2483"/>
      <c r="J53" s="2482"/>
      <c r="K53" s="2482"/>
      <c r="L53" s="2483"/>
      <c r="M53" s="2482"/>
      <c r="N53" s="2482"/>
      <c r="O53" s="2483"/>
      <c r="P53" s="2482"/>
      <c r="Q53" s="2482"/>
      <c r="R53" s="2484"/>
    </row>
    <row r="54" spans="2:18" s="796" customFormat="1">
      <c r="B54" s="2482"/>
      <c r="C54" s="2482"/>
      <c r="D54" s="2482"/>
      <c r="E54" s="2482"/>
      <c r="F54" s="2482"/>
      <c r="G54" s="2483"/>
      <c r="H54" s="2482"/>
      <c r="I54" s="2483"/>
      <c r="J54" s="2482"/>
      <c r="K54" s="2482"/>
      <c r="L54" s="2483"/>
      <c r="M54" s="2482"/>
      <c r="N54" s="2482"/>
      <c r="O54" s="2483"/>
      <c r="P54" s="2482"/>
      <c r="Q54" s="2482"/>
      <c r="R54" s="2484"/>
    </row>
    <row r="55" spans="2:18" s="796" customFormat="1">
      <c r="B55" s="2482"/>
      <c r="C55" s="2482"/>
      <c r="D55" s="2482"/>
      <c r="E55" s="2482"/>
      <c r="F55" s="2482"/>
      <c r="G55" s="2483"/>
      <c r="H55" s="2482"/>
      <c r="I55" s="2483"/>
      <c r="J55" s="2482"/>
      <c r="K55" s="2482"/>
      <c r="L55" s="2483"/>
      <c r="M55" s="2482"/>
      <c r="N55" s="2482"/>
      <c r="O55" s="2483"/>
      <c r="P55" s="2482"/>
      <c r="Q55" s="2482"/>
      <c r="R55" s="2484"/>
    </row>
    <row r="56" spans="2:18" s="796" customFormat="1">
      <c r="B56" s="2482"/>
      <c r="C56" s="2482"/>
      <c r="D56" s="2482"/>
      <c r="E56" s="2482"/>
      <c r="F56" s="2482"/>
      <c r="G56" s="2483"/>
      <c r="H56" s="2482"/>
      <c r="I56" s="2483"/>
      <c r="J56" s="2482"/>
      <c r="K56" s="2482"/>
      <c r="L56" s="2483"/>
      <c r="M56" s="2482"/>
      <c r="N56" s="2482"/>
      <c r="O56" s="2483"/>
      <c r="P56" s="2482"/>
      <c r="Q56" s="2482"/>
      <c r="R56" s="2484"/>
    </row>
    <row r="57" spans="2:18" s="796" customFormat="1">
      <c r="B57" s="2482"/>
      <c r="C57" s="2482"/>
      <c r="D57" s="2482"/>
      <c r="E57" s="2482"/>
      <c r="F57" s="2482"/>
      <c r="G57" s="2483"/>
      <c r="H57" s="2482"/>
      <c r="I57" s="2483"/>
      <c r="J57" s="2482"/>
      <c r="K57" s="2482"/>
      <c r="L57" s="2483"/>
      <c r="M57" s="2482"/>
      <c r="N57" s="2482"/>
      <c r="O57" s="2483"/>
      <c r="P57" s="2482"/>
      <c r="Q57" s="2482"/>
      <c r="R57" s="2484"/>
    </row>
    <row r="58" spans="2:18" s="796" customFormat="1">
      <c r="B58" s="2482"/>
      <c r="C58" s="2482"/>
      <c r="D58" s="2482"/>
      <c r="E58" s="2482"/>
      <c r="F58" s="2482"/>
      <c r="G58" s="2483"/>
      <c r="H58" s="2482"/>
      <c r="I58" s="2483"/>
      <c r="J58" s="2482"/>
      <c r="K58" s="2482"/>
      <c r="L58" s="2483"/>
      <c r="M58" s="2482"/>
      <c r="N58" s="2482"/>
      <c r="O58" s="2483"/>
      <c r="P58" s="2482"/>
      <c r="Q58" s="2482"/>
      <c r="R58" s="2484"/>
    </row>
    <row r="59" spans="2:18" s="796" customFormat="1">
      <c r="B59" s="2482"/>
      <c r="C59" s="2482"/>
      <c r="D59" s="2482"/>
      <c r="E59" s="2482"/>
      <c r="F59" s="2482"/>
      <c r="G59" s="2483"/>
      <c r="H59" s="2482"/>
      <c r="I59" s="2483"/>
      <c r="J59" s="2482"/>
      <c r="K59" s="2482"/>
      <c r="L59" s="2483"/>
      <c r="M59" s="2482"/>
      <c r="N59" s="2482"/>
      <c r="O59" s="2483"/>
      <c r="P59" s="2482"/>
      <c r="Q59" s="2482"/>
      <c r="R59" s="2484"/>
    </row>
    <row r="60" spans="2:18" s="796" customFormat="1">
      <c r="B60" s="2482"/>
      <c r="C60" s="2482"/>
      <c r="D60" s="2482"/>
      <c r="E60" s="2482"/>
      <c r="F60" s="2482"/>
      <c r="G60" s="2483"/>
      <c r="H60" s="2482"/>
      <c r="I60" s="2483"/>
      <c r="J60" s="2482"/>
      <c r="K60" s="2482"/>
      <c r="L60" s="2483"/>
      <c r="M60" s="2482"/>
      <c r="N60" s="2482"/>
      <c r="O60" s="2483"/>
      <c r="P60" s="2482"/>
      <c r="Q60" s="2482"/>
      <c r="R60" s="2484"/>
    </row>
    <row r="61" spans="2:18" s="796" customFormat="1">
      <c r="B61" s="2482"/>
      <c r="C61" s="2482"/>
      <c r="D61" s="2482"/>
      <c r="E61" s="2482"/>
      <c r="F61" s="2482"/>
      <c r="G61" s="2483"/>
      <c r="H61" s="2482"/>
      <c r="I61" s="2483"/>
      <c r="J61" s="2482"/>
      <c r="K61" s="2482"/>
      <c r="L61" s="2483"/>
      <c r="M61" s="2482"/>
      <c r="N61" s="2482"/>
      <c r="O61" s="2483"/>
      <c r="P61" s="2482"/>
      <c r="Q61" s="2482"/>
      <c r="R61" s="2484"/>
    </row>
    <row r="62" spans="2:18" s="796" customFormat="1">
      <c r="B62" s="2482"/>
      <c r="C62" s="2482"/>
      <c r="D62" s="2482"/>
      <c r="E62" s="2482"/>
      <c r="F62" s="2482"/>
      <c r="G62" s="2483"/>
      <c r="H62" s="2482"/>
      <c r="I62" s="2483"/>
      <c r="J62" s="2482"/>
      <c r="K62" s="2482"/>
      <c r="L62" s="2483"/>
      <c r="M62" s="2482"/>
      <c r="N62" s="2482"/>
      <c r="O62" s="2483"/>
      <c r="P62" s="2482"/>
      <c r="Q62" s="2482"/>
      <c r="R62" s="2484"/>
    </row>
    <row r="63" spans="2:18" s="796" customFormat="1">
      <c r="B63" s="2482"/>
      <c r="C63" s="2482"/>
      <c r="D63" s="2482"/>
      <c r="E63" s="2482"/>
      <c r="F63" s="2482"/>
      <c r="G63" s="2483"/>
      <c r="H63" s="2482"/>
      <c r="I63" s="2483"/>
      <c r="J63" s="2482"/>
      <c r="K63" s="2482"/>
      <c r="L63" s="2483"/>
      <c r="M63" s="2482"/>
      <c r="N63" s="2482"/>
      <c r="O63" s="2483"/>
      <c r="P63" s="2482"/>
      <c r="Q63" s="2482"/>
      <c r="R63" s="2484"/>
    </row>
    <row r="64" spans="2:18" s="796" customFormat="1">
      <c r="B64" s="2482"/>
      <c r="C64" s="2482"/>
      <c r="D64" s="2482"/>
      <c r="E64" s="2482"/>
      <c r="F64" s="2482"/>
      <c r="G64" s="2483"/>
      <c r="H64" s="2482"/>
      <c r="I64" s="2483"/>
      <c r="J64" s="2482"/>
      <c r="K64" s="2482"/>
      <c r="L64" s="2483"/>
      <c r="M64" s="2482"/>
      <c r="N64" s="2482"/>
      <c r="O64" s="2483"/>
      <c r="P64" s="2482"/>
      <c r="Q64" s="2482"/>
      <c r="R64" s="2484"/>
    </row>
    <row r="65" spans="2:18" s="796" customFormat="1">
      <c r="B65" s="2482"/>
      <c r="C65" s="2482"/>
      <c r="D65" s="2482"/>
      <c r="E65" s="2482"/>
      <c r="F65" s="2482"/>
      <c r="G65" s="2483"/>
      <c r="H65" s="2482"/>
      <c r="I65" s="2483"/>
      <c r="J65" s="2482"/>
      <c r="K65" s="2482"/>
      <c r="L65" s="2483"/>
      <c r="M65" s="2482"/>
      <c r="N65" s="2482"/>
      <c r="O65" s="2483"/>
      <c r="P65" s="2482"/>
      <c r="Q65" s="2482"/>
      <c r="R65" s="2484"/>
    </row>
    <row r="66" spans="2:18" s="796" customFormat="1">
      <c r="B66" s="2482"/>
      <c r="C66" s="2482"/>
      <c r="D66" s="2482"/>
      <c r="E66" s="2482"/>
      <c r="F66" s="2482"/>
      <c r="G66" s="2483"/>
      <c r="H66" s="2482"/>
      <c r="I66" s="2483"/>
      <c r="J66" s="2482"/>
      <c r="K66" s="2482"/>
      <c r="L66" s="2483"/>
      <c r="M66" s="2482"/>
      <c r="N66" s="2482"/>
      <c r="O66" s="2483"/>
      <c r="P66" s="2482"/>
      <c r="Q66" s="2482"/>
      <c r="R66" s="2484"/>
    </row>
    <row r="67" spans="2:18" s="796" customFormat="1">
      <c r="B67" s="2482"/>
      <c r="C67" s="2482"/>
      <c r="D67" s="2482"/>
      <c r="E67" s="2482"/>
      <c r="F67" s="2482"/>
      <c r="G67" s="2483"/>
      <c r="H67" s="2482"/>
      <c r="I67" s="2483"/>
      <c r="J67" s="2482"/>
      <c r="K67" s="2482"/>
      <c r="L67" s="2483"/>
      <c r="M67" s="2482"/>
      <c r="N67" s="2482"/>
      <c r="O67" s="2483"/>
      <c r="P67" s="2482"/>
      <c r="Q67" s="2482"/>
      <c r="R67" s="2484"/>
    </row>
    <row r="68" spans="2:18" s="796" customFormat="1">
      <c r="B68" s="2482"/>
      <c r="C68" s="2482"/>
      <c r="D68" s="2482"/>
      <c r="E68" s="2482"/>
      <c r="F68" s="2482"/>
      <c r="G68" s="2483"/>
      <c r="H68" s="2482"/>
      <c r="I68" s="2483"/>
      <c r="J68" s="2482"/>
      <c r="K68" s="2482"/>
      <c r="L68" s="2483"/>
      <c r="M68" s="2482"/>
      <c r="N68" s="2482"/>
      <c r="O68" s="2483"/>
      <c r="P68" s="2482"/>
      <c r="Q68" s="2482"/>
      <c r="R68" s="2484"/>
    </row>
    <row r="69" spans="2:18" s="796" customFormat="1">
      <c r="B69" s="2482"/>
      <c r="C69" s="2482"/>
      <c r="D69" s="2482"/>
      <c r="E69" s="2482"/>
      <c r="F69" s="2482"/>
      <c r="G69" s="2483"/>
      <c r="H69" s="2482"/>
      <c r="I69" s="2483"/>
      <c r="J69" s="2482"/>
      <c r="K69" s="2482"/>
      <c r="L69" s="2483"/>
      <c r="M69" s="2482"/>
      <c r="N69" s="2482"/>
      <c r="O69" s="2483"/>
      <c r="P69" s="2482"/>
      <c r="Q69" s="2482"/>
      <c r="R69" s="2484"/>
    </row>
    <row r="70" spans="2:18" s="796" customFormat="1">
      <c r="B70" s="2482"/>
      <c r="C70" s="2482"/>
      <c r="D70" s="2482"/>
      <c r="E70" s="2482"/>
      <c r="F70" s="2482"/>
      <c r="G70" s="2483"/>
      <c r="H70" s="2482"/>
      <c r="I70" s="2483"/>
      <c r="J70" s="2482"/>
      <c r="K70" s="2482"/>
      <c r="L70" s="2483"/>
      <c r="M70" s="2482"/>
      <c r="N70" s="2482"/>
      <c r="O70" s="2483"/>
      <c r="P70" s="2482"/>
      <c r="Q70" s="2482"/>
      <c r="R70" s="2484"/>
    </row>
    <row r="71" spans="2:18" s="796" customFormat="1">
      <c r="B71" s="2482"/>
      <c r="C71" s="2482"/>
      <c r="D71" s="2482"/>
      <c r="E71" s="2482"/>
      <c r="F71" s="2482"/>
      <c r="G71" s="2483"/>
      <c r="H71" s="2482"/>
      <c r="I71" s="2483"/>
      <c r="J71" s="2482"/>
      <c r="K71" s="2482"/>
      <c r="L71" s="2483"/>
      <c r="M71" s="2482"/>
      <c r="N71" s="2482"/>
      <c r="O71" s="2483"/>
      <c r="P71" s="2482"/>
      <c r="Q71" s="2482"/>
      <c r="R71" s="2484"/>
    </row>
    <row r="72" spans="2:18" s="796" customFormat="1">
      <c r="B72" s="2482"/>
      <c r="C72" s="2482"/>
      <c r="D72" s="2482"/>
      <c r="E72" s="2482"/>
      <c r="F72" s="2482"/>
      <c r="G72" s="2483"/>
      <c r="H72" s="2482"/>
      <c r="I72" s="2483"/>
      <c r="J72" s="2482"/>
      <c r="K72" s="2482"/>
      <c r="L72" s="2483"/>
      <c r="M72" s="2482"/>
      <c r="N72" s="2482"/>
      <c r="O72" s="2483"/>
      <c r="P72" s="2482"/>
      <c r="Q72" s="2482"/>
      <c r="R72" s="2484"/>
    </row>
    <row r="73" spans="2:18" s="796" customFormat="1">
      <c r="B73" s="2482"/>
      <c r="C73" s="2482"/>
      <c r="D73" s="2482"/>
      <c r="E73" s="2482"/>
      <c r="F73" s="2482"/>
      <c r="G73" s="2483"/>
      <c r="H73" s="2482"/>
      <c r="I73" s="2483"/>
      <c r="J73" s="2482"/>
      <c r="K73" s="2482"/>
      <c r="L73" s="2483"/>
      <c r="M73" s="2482"/>
      <c r="N73" s="2482"/>
      <c r="O73" s="2483"/>
      <c r="P73" s="2482"/>
      <c r="Q73" s="2482"/>
      <c r="R73" s="2484"/>
    </row>
    <row r="74" spans="2:18" s="796" customFormat="1">
      <c r="B74" s="2482"/>
      <c r="C74" s="2482"/>
      <c r="D74" s="2482"/>
      <c r="E74" s="2482"/>
      <c r="F74" s="2482"/>
      <c r="G74" s="2483"/>
      <c r="H74" s="2482"/>
      <c r="I74" s="2483"/>
      <c r="J74" s="2482"/>
      <c r="K74" s="2482"/>
      <c r="L74" s="2483"/>
      <c r="M74" s="2482"/>
      <c r="N74" s="2482"/>
      <c r="O74" s="2483"/>
      <c r="P74" s="2482"/>
      <c r="Q74" s="2482"/>
      <c r="R74" s="2484"/>
    </row>
    <row r="75" spans="2:18" s="796" customFormat="1">
      <c r="B75" s="2482"/>
      <c r="C75" s="2482"/>
      <c r="D75" s="2482"/>
      <c r="E75" s="2482"/>
      <c r="F75" s="2482"/>
      <c r="G75" s="2483"/>
      <c r="H75" s="2482"/>
      <c r="I75" s="2483"/>
      <c r="J75" s="2482"/>
      <c r="K75" s="2482"/>
      <c r="L75" s="2483"/>
      <c r="M75" s="2482"/>
      <c r="N75" s="2482"/>
      <c r="O75" s="2483"/>
      <c r="P75" s="2482"/>
      <c r="Q75" s="2482"/>
      <c r="R75" s="2484"/>
    </row>
    <row r="76" spans="2:18" s="796" customFormat="1">
      <c r="B76" s="2482"/>
      <c r="C76" s="2482"/>
      <c r="D76" s="2482"/>
      <c r="E76" s="2482"/>
      <c r="F76" s="2482"/>
      <c r="G76" s="2483"/>
      <c r="H76" s="2482"/>
      <c r="I76" s="2483"/>
      <c r="J76" s="2482"/>
      <c r="K76" s="2482"/>
      <c r="L76" s="2483"/>
      <c r="M76" s="2482"/>
      <c r="N76" s="2482"/>
      <c r="O76" s="2483"/>
      <c r="P76" s="2482"/>
      <c r="Q76" s="2482"/>
      <c r="R76" s="2484"/>
    </row>
    <row r="77" spans="2:18" s="796" customFormat="1">
      <c r="B77" s="2482"/>
      <c r="C77" s="2482"/>
      <c r="D77" s="2482"/>
      <c r="E77" s="2482"/>
      <c r="F77" s="2482"/>
      <c r="G77" s="2483"/>
      <c r="H77" s="2482"/>
      <c r="I77" s="2483"/>
      <c r="J77" s="2482"/>
      <c r="K77" s="2482"/>
      <c r="L77" s="2483"/>
      <c r="M77" s="2482"/>
      <c r="N77" s="2482"/>
      <c r="O77" s="2483"/>
      <c r="P77" s="2482"/>
      <c r="Q77" s="2482"/>
      <c r="R77" s="2484"/>
    </row>
    <row r="78" spans="2:18" s="796" customFormat="1">
      <c r="B78" s="2482"/>
      <c r="C78" s="2482"/>
      <c r="D78" s="2482"/>
      <c r="E78" s="2482"/>
      <c r="F78" s="2482"/>
      <c r="G78" s="2483"/>
      <c r="H78" s="2482"/>
      <c r="I78" s="2483"/>
      <c r="J78" s="2482"/>
      <c r="K78" s="2482"/>
      <c r="L78" s="2483"/>
      <c r="M78" s="2482"/>
      <c r="N78" s="2482"/>
      <c r="O78" s="2483"/>
      <c r="P78" s="2482"/>
      <c r="Q78" s="2482"/>
      <c r="R78" s="2484"/>
    </row>
    <row r="79" spans="2:18" s="796" customFormat="1">
      <c r="B79" s="2482"/>
      <c r="C79" s="2482"/>
      <c r="D79" s="2482"/>
      <c r="E79" s="2482"/>
      <c r="F79" s="2482"/>
      <c r="G79" s="2483"/>
      <c r="H79" s="2482"/>
      <c r="I79" s="2483"/>
      <c r="J79" s="2482"/>
      <c r="K79" s="2482"/>
      <c r="L79" s="2483"/>
      <c r="M79" s="2482"/>
      <c r="N79" s="2482"/>
      <c r="O79" s="2483"/>
      <c r="P79" s="2482"/>
      <c r="Q79" s="2482"/>
      <c r="R79" s="2484"/>
    </row>
    <row r="80" spans="2:18" s="796" customFormat="1">
      <c r="B80" s="2482"/>
      <c r="C80" s="2482"/>
      <c r="D80" s="2482"/>
      <c r="E80" s="2482"/>
      <c r="F80" s="2482"/>
      <c r="G80" s="2483"/>
      <c r="H80" s="2482"/>
      <c r="I80" s="2483"/>
      <c r="J80" s="2482"/>
      <c r="K80" s="2482"/>
      <c r="L80" s="2483"/>
      <c r="M80" s="2482"/>
      <c r="N80" s="2482"/>
      <c r="O80" s="2483"/>
      <c r="P80" s="2482"/>
      <c r="Q80" s="2482"/>
      <c r="R80" s="2484"/>
    </row>
    <row r="81" spans="2:18" s="796" customFormat="1">
      <c r="B81" s="2482"/>
      <c r="C81" s="2482"/>
      <c r="D81" s="2482"/>
      <c r="E81" s="2482"/>
      <c r="F81" s="2482"/>
      <c r="G81" s="2483"/>
      <c r="H81" s="2482"/>
      <c r="I81" s="2483"/>
      <c r="J81" s="2482"/>
      <c r="K81" s="2482"/>
      <c r="L81" s="2483"/>
      <c r="M81" s="2482"/>
      <c r="N81" s="2482"/>
      <c r="O81" s="2483"/>
      <c r="P81" s="2482"/>
      <c r="Q81" s="2482"/>
      <c r="R81" s="2484"/>
    </row>
    <row r="82" spans="2:18" s="796" customFormat="1">
      <c r="B82" s="2482"/>
      <c r="C82" s="2482"/>
      <c r="D82" s="2482"/>
      <c r="E82" s="2482"/>
      <c r="F82" s="2482"/>
      <c r="G82" s="2483"/>
      <c r="H82" s="2482"/>
      <c r="I82" s="2483"/>
      <c r="J82" s="2482"/>
      <c r="K82" s="2482"/>
      <c r="L82" s="2483"/>
      <c r="M82" s="2482"/>
      <c r="N82" s="2482"/>
      <c r="O82" s="2483"/>
      <c r="P82" s="2482"/>
      <c r="Q82" s="2482"/>
      <c r="R82" s="2484"/>
    </row>
    <row r="83" spans="2:18" s="796" customFormat="1">
      <c r="B83" s="2482"/>
      <c r="C83" s="2482"/>
      <c r="D83" s="2482"/>
      <c r="E83" s="2482"/>
      <c r="F83" s="2482"/>
      <c r="G83" s="2483"/>
      <c r="H83" s="2482"/>
      <c r="I83" s="2483"/>
      <c r="J83" s="2482"/>
      <c r="K83" s="2482"/>
      <c r="L83" s="2483"/>
      <c r="M83" s="2482"/>
      <c r="N83" s="2482"/>
      <c r="O83" s="2483"/>
      <c r="P83" s="2482"/>
      <c r="Q83" s="2482"/>
      <c r="R83" s="2484"/>
    </row>
    <row r="84" spans="2:18" s="796" customFormat="1">
      <c r="B84" s="2482"/>
      <c r="C84" s="2482"/>
      <c r="D84" s="2482"/>
      <c r="E84" s="2482"/>
      <c r="F84" s="2482"/>
      <c r="G84" s="2483"/>
      <c r="H84" s="2482"/>
      <c r="I84" s="2483"/>
      <c r="J84" s="2482"/>
      <c r="K84" s="2482"/>
      <c r="L84" s="2483"/>
      <c r="M84" s="2482"/>
      <c r="N84" s="2482"/>
      <c r="O84" s="2483"/>
      <c r="P84" s="2482"/>
      <c r="Q84" s="2482"/>
      <c r="R84" s="2484"/>
    </row>
    <row r="85" spans="2:18" s="796" customFormat="1">
      <c r="B85" s="2482"/>
      <c r="C85" s="2482"/>
      <c r="D85" s="2482"/>
      <c r="E85" s="2482"/>
      <c r="F85" s="2482"/>
      <c r="G85" s="2483"/>
      <c r="H85" s="2482"/>
      <c r="I85" s="2483"/>
      <c r="J85" s="2482"/>
      <c r="K85" s="2482"/>
      <c r="L85" s="2483"/>
      <c r="M85" s="2482"/>
      <c r="N85" s="2482"/>
      <c r="O85" s="2483"/>
      <c r="P85" s="2482"/>
      <c r="Q85" s="2482"/>
      <c r="R85" s="2484"/>
    </row>
    <row r="86" spans="2:18" s="796" customFormat="1">
      <c r="B86" s="2482"/>
      <c r="C86" s="2482"/>
      <c r="D86" s="2482"/>
      <c r="E86" s="2482"/>
      <c r="F86" s="2482"/>
      <c r="G86" s="2483"/>
      <c r="H86" s="2482"/>
      <c r="I86" s="2483"/>
      <c r="J86" s="2482"/>
      <c r="K86" s="2482"/>
      <c r="L86" s="2483"/>
      <c r="M86" s="2482"/>
      <c r="N86" s="2482"/>
      <c r="O86" s="2483"/>
      <c r="P86" s="2482"/>
      <c r="Q86" s="2482"/>
      <c r="R86" s="2484"/>
    </row>
    <row r="87" spans="2:18" s="796" customFormat="1">
      <c r="B87" s="2482"/>
      <c r="C87" s="2482"/>
      <c r="D87" s="2482"/>
      <c r="E87" s="2482"/>
      <c r="F87" s="2482"/>
      <c r="G87" s="2483"/>
      <c r="H87" s="2482"/>
      <c r="I87" s="2483"/>
      <c r="J87" s="2482"/>
      <c r="K87" s="2482"/>
      <c r="L87" s="2483"/>
      <c r="M87" s="2482"/>
      <c r="N87" s="2482"/>
      <c r="O87" s="2483"/>
      <c r="P87" s="2482"/>
      <c r="Q87" s="2482"/>
      <c r="R87" s="2484"/>
    </row>
    <row r="88" spans="2:18" s="796" customFormat="1">
      <c r="B88" s="2482"/>
      <c r="C88" s="2482"/>
      <c r="D88" s="2482"/>
      <c r="E88" s="2482"/>
      <c r="F88" s="2482"/>
      <c r="G88" s="2483"/>
      <c r="H88" s="2482"/>
      <c r="I88" s="2483"/>
      <c r="J88" s="2482"/>
      <c r="K88" s="2482"/>
      <c r="L88" s="2483"/>
      <c r="M88" s="2482"/>
      <c r="N88" s="2482"/>
      <c r="O88" s="2483"/>
      <c r="P88" s="2482"/>
      <c r="Q88" s="2482"/>
      <c r="R88" s="2484"/>
    </row>
    <row r="89" spans="2:18" s="796" customFormat="1">
      <c r="B89" s="2482"/>
      <c r="C89" s="2482"/>
      <c r="D89" s="2482"/>
      <c r="E89" s="2482"/>
      <c r="F89" s="2482"/>
      <c r="G89" s="2483"/>
      <c r="H89" s="2482"/>
      <c r="I89" s="2483"/>
      <c r="J89" s="2482"/>
      <c r="K89" s="2482"/>
      <c r="L89" s="2483"/>
      <c r="M89" s="2482"/>
      <c r="N89" s="2482"/>
      <c r="O89" s="2483"/>
      <c r="P89" s="2482"/>
      <c r="Q89" s="2482"/>
      <c r="R89" s="2484"/>
    </row>
    <row r="90" spans="2:18" s="796" customFormat="1">
      <c r="B90" s="2482"/>
      <c r="C90" s="2482"/>
      <c r="D90" s="2482"/>
      <c r="E90" s="2482"/>
      <c r="F90" s="2482"/>
      <c r="G90" s="2483"/>
      <c r="H90" s="2482"/>
      <c r="I90" s="2483"/>
      <c r="J90" s="2482"/>
      <c r="K90" s="2482"/>
      <c r="L90" s="2483"/>
      <c r="M90" s="2482"/>
      <c r="N90" s="2482"/>
      <c r="O90" s="2483"/>
      <c r="P90" s="2482"/>
      <c r="Q90" s="2482"/>
      <c r="R90" s="2484"/>
    </row>
    <row r="91" spans="2:18" s="796" customFormat="1">
      <c r="B91" s="2482"/>
      <c r="C91" s="2482"/>
      <c r="D91" s="2482"/>
      <c r="E91" s="2482"/>
      <c r="F91" s="2482"/>
      <c r="G91" s="2483"/>
      <c r="H91" s="2482"/>
      <c r="I91" s="2483"/>
      <c r="J91" s="2482"/>
      <c r="K91" s="2482"/>
      <c r="L91" s="2483"/>
      <c r="M91" s="2482"/>
      <c r="N91" s="2482"/>
      <c r="O91" s="2483"/>
      <c r="P91" s="2482"/>
      <c r="Q91" s="2482"/>
      <c r="R91" s="2484"/>
    </row>
    <row r="92" spans="2:18" s="796" customFormat="1">
      <c r="B92" s="2482"/>
      <c r="C92" s="2482"/>
      <c r="D92" s="2482"/>
      <c r="E92" s="2482"/>
      <c r="F92" s="2482"/>
      <c r="G92" s="2483"/>
      <c r="H92" s="2482"/>
      <c r="I92" s="2483"/>
      <c r="J92" s="2482"/>
      <c r="K92" s="2482"/>
      <c r="L92" s="2483"/>
      <c r="M92" s="2482"/>
      <c r="N92" s="2482"/>
      <c r="O92" s="2483"/>
      <c r="P92" s="2482"/>
      <c r="Q92" s="2482"/>
      <c r="R92" s="2484"/>
    </row>
    <row r="93" spans="2:18" s="796" customFormat="1">
      <c r="B93" s="2482"/>
      <c r="C93" s="2482"/>
      <c r="D93" s="2482"/>
      <c r="E93" s="2482"/>
      <c r="F93" s="2482"/>
      <c r="G93" s="2483"/>
      <c r="H93" s="2482"/>
      <c r="I93" s="2483"/>
      <c r="J93" s="2482"/>
      <c r="K93" s="2482"/>
      <c r="L93" s="2483"/>
      <c r="M93" s="2482"/>
      <c r="N93" s="2482"/>
      <c r="O93" s="2483"/>
      <c r="P93" s="2482"/>
      <c r="Q93" s="2482"/>
      <c r="R93" s="2484"/>
    </row>
    <row r="94" spans="2:18" s="796" customFormat="1">
      <c r="B94" s="2482"/>
      <c r="C94" s="2482"/>
      <c r="D94" s="2482"/>
      <c r="E94" s="2482"/>
      <c r="F94" s="2482"/>
      <c r="G94" s="2483"/>
      <c r="H94" s="2482"/>
      <c r="I94" s="2483"/>
      <c r="J94" s="2482"/>
      <c r="K94" s="2482"/>
      <c r="L94" s="2483"/>
      <c r="M94" s="2482"/>
      <c r="N94" s="2482"/>
      <c r="O94" s="2483"/>
      <c r="P94" s="2482"/>
      <c r="Q94" s="2482"/>
      <c r="R94" s="2484"/>
    </row>
    <row r="95" spans="2:18" s="796" customFormat="1">
      <c r="B95" s="2482"/>
      <c r="C95" s="2482"/>
      <c r="D95" s="2482"/>
      <c r="E95" s="2482"/>
      <c r="F95" s="2482"/>
      <c r="G95" s="2483"/>
      <c r="H95" s="2482"/>
      <c r="I95" s="2483"/>
      <c r="J95" s="2482"/>
      <c r="K95" s="2482"/>
      <c r="L95" s="2483"/>
      <c r="M95" s="2482"/>
      <c r="N95" s="2482"/>
      <c r="O95" s="2483"/>
      <c r="P95" s="2482"/>
      <c r="Q95" s="2482"/>
      <c r="R95" s="2484"/>
    </row>
    <row r="96" spans="2:18" s="796" customFormat="1">
      <c r="B96" s="2482"/>
      <c r="C96" s="2482"/>
      <c r="D96" s="2482"/>
      <c r="E96" s="2482"/>
      <c r="F96" s="2482"/>
      <c r="G96" s="2483"/>
      <c r="H96" s="2482"/>
      <c r="I96" s="2483"/>
      <c r="J96" s="2482"/>
      <c r="K96" s="2482"/>
      <c r="L96" s="2483"/>
      <c r="M96" s="2482"/>
      <c r="N96" s="2482"/>
      <c r="O96" s="2483"/>
      <c r="P96" s="2482"/>
      <c r="Q96" s="2482"/>
      <c r="R96" s="2484"/>
    </row>
    <row r="97" spans="2:18" s="796" customFormat="1">
      <c r="B97" s="2482"/>
      <c r="C97" s="2482"/>
      <c r="D97" s="2482"/>
      <c r="E97" s="2482"/>
      <c r="F97" s="2482"/>
      <c r="G97" s="2483"/>
      <c r="H97" s="2482"/>
      <c r="I97" s="2483"/>
      <c r="J97" s="2482"/>
      <c r="K97" s="2482"/>
      <c r="L97" s="2483"/>
      <c r="M97" s="2482"/>
      <c r="N97" s="2482"/>
      <c r="O97" s="2483"/>
      <c r="P97" s="2482"/>
      <c r="Q97" s="2482"/>
      <c r="R97" s="2484"/>
    </row>
    <row r="98" spans="2:18" s="796" customFormat="1">
      <c r="B98" s="2482"/>
      <c r="C98" s="2482"/>
      <c r="D98" s="2482"/>
      <c r="E98" s="2482"/>
      <c r="F98" s="2482"/>
      <c r="G98" s="2483"/>
      <c r="H98" s="2482"/>
      <c r="I98" s="2483"/>
      <c r="J98" s="2482"/>
      <c r="K98" s="2482"/>
      <c r="L98" s="2483"/>
      <c r="M98" s="2482"/>
      <c r="N98" s="2482"/>
      <c r="O98" s="2483"/>
      <c r="P98" s="2482"/>
      <c r="Q98" s="2482"/>
      <c r="R98" s="2484"/>
    </row>
    <row r="99" spans="2:18" s="796" customFormat="1">
      <c r="B99" s="2482"/>
      <c r="C99" s="2482"/>
      <c r="D99" s="2482"/>
      <c r="E99" s="2482"/>
      <c r="F99" s="2482"/>
      <c r="G99" s="2483"/>
      <c r="H99" s="2482"/>
      <c r="I99" s="2483"/>
      <c r="J99" s="2482"/>
      <c r="K99" s="2482"/>
      <c r="L99" s="2483"/>
      <c r="M99" s="2482"/>
      <c r="N99" s="2482"/>
      <c r="O99" s="2483"/>
      <c r="P99" s="2482"/>
      <c r="Q99" s="2482"/>
      <c r="R99" s="2484"/>
    </row>
    <row r="100" spans="2:18" s="796" customFormat="1">
      <c r="B100" s="2482"/>
      <c r="C100" s="2482"/>
      <c r="D100" s="2482"/>
      <c r="E100" s="2482"/>
      <c r="F100" s="2482"/>
      <c r="G100" s="2483"/>
      <c r="H100" s="2482"/>
      <c r="I100" s="2483"/>
      <c r="J100" s="2482"/>
      <c r="K100" s="2482"/>
      <c r="L100" s="2483"/>
      <c r="M100" s="2482"/>
      <c r="N100" s="2482"/>
      <c r="O100" s="2483"/>
      <c r="P100" s="2482"/>
      <c r="Q100" s="2482"/>
      <c r="R100" s="2484"/>
    </row>
    <row r="101" spans="2:18" s="796" customFormat="1">
      <c r="B101" s="2482"/>
      <c r="C101" s="2482"/>
      <c r="D101" s="2482"/>
      <c r="E101" s="2482"/>
      <c r="F101" s="2482"/>
      <c r="G101" s="2483"/>
      <c r="H101" s="2482"/>
      <c r="I101" s="2483"/>
      <c r="J101" s="2482"/>
      <c r="K101" s="2482"/>
      <c r="L101" s="2483"/>
      <c r="M101" s="2482"/>
      <c r="N101" s="2482"/>
      <c r="O101" s="2483"/>
      <c r="P101" s="2482"/>
      <c r="Q101" s="2482"/>
      <c r="R101" s="2484"/>
    </row>
    <row r="102" spans="2:18" s="796" customFormat="1">
      <c r="B102" s="2482"/>
      <c r="C102" s="2482"/>
      <c r="D102" s="2482"/>
      <c r="E102" s="2482"/>
      <c r="F102" s="2482"/>
      <c r="G102" s="2483"/>
      <c r="H102" s="2482"/>
      <c r="I102" s="2483"/>
      <c r="J102" s="2482"/>
      <c r="K102" s="2482"/>
      <c r="L102" s="2483"/>
      <c r="M102" s="2482"/>
      <c r="N102" s="2482"/>
      <c r="O102" s="2483"/>
      <c r="P102" s="2482"/>
      <c r="Q102" s="2482"/>
      <c r="R102" s="2484"/>
    </row>
    <row r="103" spans="2:18" s="796" customFormat="1">
      <c r="B103" s="2482"/>
      <c r="C103" s="2482"/>
      <c r="D103" s="2482"/>
      <c r="E103" s="2482"/>
      <c r="F103" s="2482"/>
      <c r="G103" s="2483"/>
      <c r="H103" s="2482"/>
      <c r="I103" s="2483"/>
      <c r="J103" s="2482"/>
      <c r="K103" s="2482"/>
      <c r="L103" s="2483"/>
      <c r="M103" s="2482"/>
      <c r="N103" s="2482"/>
      <c r="O103" s="2483"/>
      <c r="P103" s="2482"/>
      <c r="Q103" s="2482"/>
      <c r="R103" s="2484"/>
    </row>
    <row r="104" spans="2:18" s="796" customFormat="1">
      <c r="B104" s="2482"/>
      <c r="C104" s="2482"/>
      <c r="D104" s="2482"/>
      <c r="E104" s="2482"/>
      <c r="F104" s="2482"/>
      <c r="G104" s="2483"/>
      <c r="H104" s="2482"/>
      <c r="I104" s="2483"/>
      <c r="J104" s="2482"/>
      <c r="K104" s="2482"/>
      <c r="L104" s="2483"/>
      <c r="M104" s="2482"/>
      <c r="N104" s="2482"/>
      <c r="O104" s="2483"/>
      <c r="P104" s="2482"/>
      <c r="Q104" s="2482"/>
      <c r="R104" s="2484"/>
    </row>
    <row r="105" spans="2:18" s="796" customFormat="1">
      <c r="B105" s="2482"/>
      <c r="C105" s="2482"/>
      <c r="D105" s="2482"/>
      <c r="E105" s="2482"/>
      <c r="F105" s="2482"/>
      <c r="G105" s="2483"/>
      <c r="H105" s="2482"/>
      <c r="I105" s="2483"/>
      <c r="J105" s="2482"/>
      <c r="K105" s="2482"/>
      <c r="L105" s="2483"/>
      <c r="M105" s="2482"/>
      <c r="N105" s="2482"/>
      <c r="O105" s="2483"/>
      <c r="P105" s="2482"/>
      <c r="Q105" s="2482"/>
      <c r="R105" s="2484"/>
    </row>
    <row r="106" spans="2:18" s="796" customFormat="1">
      <c r="B106" s="2482"/>
      <c r="C106" s="2482"/>
      <c r="D106" s="2482"/>
      <c r="E106" s="2482"/>
      <c r="F106" s="2482"/>
      <c r="G106" s="2483"/>
      <c r="H106" s="2482"/>
      <c r="I106" s="2483"/>
      <c r="J106" s="2482"/>
      <c r="K106" s="2482"/>
      <c r="L106" s="2483"/>
      <c r="M106" s="2482"/>
      <c r="N106" s="2482"/>
      <c r="O106" s="2483"/>
      <c r="P106" s="2482"/>
      <c r="Q106" s="2482"/>
      <c r="R106" s="2484"/>
    </row>
    <row r="107" spans="2:18" s="796" customFormat="1">
      <c r="B107" s="2482"/>
      <c r="C107" s="2482"/>
      <c r="D107" s="2482"/>
      <c r="E107" s="2482"/>
      <c r="F107" s="2482"/>
      <c r="G107" s="2483"/>
      <c r="H107" s="2482"/>
      <c r="I107" s="2483"/>
      <c r="J107" s="2482"/>
      <c r="K107" s="2482"/>
      <c r="L107" s="2483"/>
      <c r="M107" s="2482"/>
      <c r="N107" s="2482"/>
      <c r="O107" s="2483"/>
      <c r="P107" s="2482"/>
      <c r="Q107" s="2482"/>
      <c r="R107" s="2484"/>
    </row>
    <row r="108" spans="2:18" s="796" customFormat="1">
      <c r="B108" s="2482"/>
      <c r="C108" s="2482"/>
      <c r="D108" s="2482"/>
      <c r="E108" s="2482"/>
      <c r="F108" s="2482"/>
      <c r="G108" s="2483"/>
      <c r="H108" s="2482"/>
      <c r="I108" s="2483"/>
      <c r="J108" s="2482"/>
      <c r="K108" s="2482"/>
      <c r="L108" s="2483"/>
      <c r="M108" s="2482"/>
      <c r="N108" s="2482"/>
      <c r="O108" s="2483"/>
      <c r="P108" s="2482"/>
      <c r="Q108" s="2482"/>
      <c r="R108" s="2484"/>
    </row>
    <row r="109" spans="2:18" s="796" customFormat="1">
      <c r="B109" s="2482"/>
      <c r="C109" s="2482"/>
      <c r="D109" s="2482"/>
      <c r="E109" s="2482"/>
      <c r="F109" s="2482"/>
      <c r="G109" s="2483"/>
      <c r="H109" s="2482"/>
      <c r="I109" s="2483"/>
      <c r="J109" s="2482"/>
      <c r="K109" s="2482"/>
      <c r="L109" s="2483"/>
      <c r="M109" s="2482"/>
      <c r="N109" s="2482"/>
      <c r="O109" s="2483"/>
      <c r="P109" s="2482"/>
      <c r="Q109" s="2482"/>
      <c r="R109" s="2484"/>
    </row>
    <row r="110" spans="2:18" s="796" customFormat="1">
      <c r="B110" s="2482"/>
      <c r="C110" s="2482"/>
      <c r="D110" s="2482"/>
      <c r="E110" s="2482"/>
      <c r="F110" s="2482"/>
      <c r="G110" s="2483"/>
      <c r="H110" s="2482"/>
      <c r="I110" s="2483"/>
      <c r="J110" s="2482"/>
      <c r="K110" s="2482"/>
      <c r="L110" s="2483"/>
      <c r="M110" s="2482"/>
      <c r="N110" s="2482"/>
      <c r="O110" s="2483"/>
      <c r="P110" s="2482"/>
      <c r="Q110" s="2482"/>
      <c r="R110" s="2484"/>
    </row>
    <row r="111" spans="2:18" s="796" customFormat="1">
      <c r="B111" s="2482"/>
      <c r="C111" s="2482"/>
      <c r="D111" s="2482"/>
      <c r="E111" s="2482"/>
      <c r="F111" s="2482"/>
      <c r="G111" s="2483"/>
      <c r="H111" s="2482"/>
      <c r="I111" s="2483"/>
      <c r="J111" s="2482"/>
      <c r="K111" s="2482"/>
      <c r="L111" s="2483"/>
      <c r="M111" s="2482"/>
      <c r="N111" s="2482"/>
      <c r="O111" s="2483"/>
      <c r="P111" s="2482"/>
      <c r="Q111" s="2482"/>
      <c r="R111" s="2484"/>
    </row>
    <row r="112" spans="2:18" s="796" customFormat="1">
      <c r="B112" s="2482"/>
      <c r="C112" s="2482"/>
      <c r="D112" s="2482"/>
      <c r="E112" s="2482"/>
      <c r="F112" s="2482"/>
      <c r="G112" s="2483"/>
      <c r="H112" s="2482"/>
      <c r="I112" s="2483"/>
      <c r="J112" s="2482"/>
      <c r="K112" s="2482"/>
      <c r="L112" s="2483"/>
      <c r="M112" s="2482"/>
      <c r="N112" s="2482"/>
      <c r="O112" s="2483"/>
      <c r="P112" s="2482"/>
      <c r="Q112" s="2482"/>
      <c r="R112" s="2484"/>
    </row>
    <row r="113" spans="2:18" s="796" customFormat="1">
      <c r="B113" s="2482"/>
      <c r="C113" s="2482"/>
      <c r="D113" s="2482"/>
      <c r="E113" s="2482"/>
      <c r="F113" s="2482"/>
      <c r="G113" s="2483"/>
      <c r="H113" s="2482"/>
      <c r="I113" s="2483"/>
      <c r="J113" s="2482"/>
      <c r="K113" s="2482"/>
      <c r="L113" s="2483"/>
      <c r="M113" s="2482"/>
      <c r="N113" s="2482"/>
      <c r="O113" s="2483"/>
      <c r="P113" s="2482"/>
      <c r="Q113" s="2482"/>
      <c r="R113" s="2484"/>
    </row>
    <row r="114" spans="2:18" s="796" customFormat="1">
      <c r="B114" s="2482"/>
      <c r="C114" s="2482"/>
      <c r="D114" s="2482"/>
      <c r="E114" s="2482"/>
      <c r="F114" s="2482"/>
      <c r="G114" s="2483"/>
      <c r="H114" s="2482"/>
      <c r="I114" s="2483"/>
      <c r="J114" s="2482"/>
      <c r="K114" s="2482"/>
      <c r="L114" s="2483"/>
      <c r="M114" s="2482"/>
      <c r="N114" s="2482"/>
      <c r="O114" s="2483"/>
      <c r="P114" s="2482"/>
      <c r="Q114" s="2482"/>
      <c r="R114" s="2484"/>
    </row>
    <row r="115" spans="2:18" s="796" customFormat="1">
      <c r="B115" s="2482"/>
      <c r="C115" s="2482"/>
      <c r="D115" s="2482"/>
      <c r="E115" s="2482"/>
      <c r="F115" s="2482"/>
      <c r="G115" s="2483"/>
      <c r="H115" s="2482"/>
      <c r="I115" s="2483"/>
      <c r="J115" s="2482"/>
      <c r="K115" s="2482"/>
      <c r="L115" s="2483"/>
      <c r="M115" s="2482"/>
      <c r="N115" s="2482"/>
      <c r="O115" s="2483"/>
      <c r="P115" s="2482"/>
      <c r="Q115" s="2482"/>
      <c r="R115" s="2484"/>
    </row>
    <row r="116" spans="2:18" s="796" customFormat="1">
      <c r="B116" s="2482"/>
      <c r="C116" s="2482"/>
      <c r="D116" s="2482"/>
      <c r="E116" s="2482"/>
      <c r="F116" s="2482"/>
      <c r="G116" s="2483"/>
      <c r="H116" s="2482"/>
      <c r="I116" s="2483"/>
      <c r="J116" s="2482"/>
      <c r="K116" s="2482"/>
      <c r="L116" s="2483"/>
      <c r="M116" s="2482"/>
      <c r="N116" s="2482"/>
      <c r="O116" s="2483"/>
      <c r="P116" s="2482"/>
      <c r="Q116" s="2482"/>
      <c r="R116" s="2484"/>
    </row>
    <row r="117" spans="2:18" s="796" customFormat="1">
      <c r="B117" s="2482"/>
      <c r="C117" s="2482"/>
      <c r="D117" s="2482"/>
      <c r="E117" s="2482"/>
      <c r="F117" s="2482"/>
      <c r="G117" s="2483"/>
      <c r="H117" s="2482"/>
      <c r="I117" s="2483"/>
      <c r="J117" s="2482"/>
      <c r="K117" s="2482"/>
      <c r="L117" s="2483"/>
      <c r="M117" s="2482"/>
      <c r="N117" s="2482"/>
      <c r="O117" s="2483"/>
      <c r="P117" s="2482"/>
      <c r="Q117" s="2482"/>
      <c r="R117" s="2484"/>
    </row>
    <row r="118" spans="2:18" s="796" customFormat="1">
      <c r="B118" s="2482"/>
      <c r="C118" s="2482"/>
      <c r="D118" s="2482"/>
      <c r="E118" s="2482"/>
      <c r="F118" s="2482"/>
      <c r="G118" s="2483"/>
      <c r="H118" s="2482"/>
      <c r="I118" s="2483"/>
      <c r="J118" s="2482"/>
      <c r="K118" s="2482"/>
      <c r="L118" s="2483"/>
      <c r="M118" s="2482"/>
      <c r="N118" s="2482"/>
      <c r="O118" s="2483"/>
      <c r="P118" s="2482"/>
      <c r="Q118" s="2482"/>
      <c r="R118" s="2484"/>
    </row>
    <row r="119" spans="2:18" s="796" customFormat="1">
      <c r="B119" s="2482"/>
      <c r="C119" s="2482"/>
      <c r="D119" s="2482"/>
      <c r="E119" s="2482"/>
      <c r="F119" s="2482"/>
      <c r="G119" s="2483"/>
      <c r="H119" s="2482"/>
      <c r="I119" s="2483"/>
      <c r="J119" s="2482"/>
      <c r="K119" s="2482"/>
      <c r="L119" s="2483"/>
      <c r="M119" s="2482"/>
      <c r="N119" s="2482"/>
      <c r="O119" s="2483"/>
      <c r="P119" s="2482"/>
      <c r="Q119" s="2482"/>
      <c r="R119" s="2484"/>
    </row>
    <row r="120" spans="2:18" s="796" customFormat="1">
      <c r="B120" s="2482"/>
      <c r="C120" s="2482"/>
      <c r="D120" s="2482"/>
      <c r="E120" s="2482"/>
      <c r="F120" s="2482"/>
      <c r="G120" s="2483"/>
      <c r="H120" s="2482"/>
      <c r="I120" s="2483"/>
      <c r="J120" s="2482"/>
      <c r="K120" s="2482"/>
      <c r="L120" s="2483"/>
      <c r="M120" s="2482"/>
      <c r="N120" s="2482"/>
      <c r="O120" s="2483"/>
      <c r="P120" s="2482"/>
      <c r="Q120" s="2482"/>
      <c r="R120" s="2484"/>
    </row>
    <row r="121" spans="2:18" s="796" customFormat="1">
      <c r="B121" s="2482"/>
      <c r="C121" s="2482"/>
      <c r="D121" s="2482"/>
      <c r="E121" s="2482"/>
      <c r="F121" s="2482"/>
      <c r="G121" s="2483"/>
      <c r="H121" s="2482"/>
      <c r="I121" s="2483"/>
      <c r="J121" s="2482"/>
      <c r="K121" s="2482"/>
      <c r="L121" s="2483"/>
      <c r="M121" s="2482"/>
      <c r="N121" s="2482"/>
      <c r="O121" s="2483"/>
      <c r="P121" s="2482"/>
      <c r="Q121" s="2482"/>
      <c r="R121" s="2484"/>
    </row>
    <row r="122" spans="2:18" s="796" customFormat="1">
      <c r="B122" s="2482"/>
      <c r="C122" s="2482"/>
      <c r="D122" s="2482"/>
      <c r="E122" s="2482"/>
      <c r="F122" s="2482"/>
      <c r="G122" s="2483"/>
      <c r="H122" s="2482"/>
      <c r="I122" s="2483"/>
      <c r="J122" s="2482"/>
      <c r="K122" s="2482"/>
      <c r="L122" s="2483"/>
      <c r="M122" s="2482"/>
      <c r="N122" s="2482"/>
      <c r="O122" s="2483"/>
      <c r="P122" s="2482"/>
      <c r="Q122" s="2482"/>
      <c r="R122" s="2484"/>
    </row>
    <row r="123" spans="2:18" s="796" customFormat="1">
      <c r="B123" s="2482"/>
      <c r="C123" s="2482"/>
      <c r="D123" s="2482"/>
      <c r="E123" s="2482"/>
      <c r="F123" s="2482"/>
      <c r="G123" s="2483"/>
      <c r="H123" s="2482"/>
      <c r="I123" s="2483"/>
      <c r="J123" s="2482"/>
      <c r="K123" s="2482"/>
      <c r="L123" s="2483"/>
      <c r="M123" s="2482"/>
      <c r="N123" s="2482"/>
      <c r="O123" s="2483"/>
      <c r="P123" s="2482"/>
      <c r="Q123" s="2482"/>
      <c r="R123" s="2484"/>
    </row>
    <row r="124" spans="2:18" s="796" customFormat="1">
      <c r="B124" s="2482"/>
      <c r="C124" s="2482"/>
      <c r="D124" s="2482"/>
      <c r="E124" s="2482"/>
      <c r="F124" s="2482"/>
      <c r="G124" s="2483"/>
      <c r="H124" s="2482"/>
      <c r="I124" s="2483"/>
      <c r="J124" s="2482"/>
      <c r="K124" s="2482"/>
      <c r="L124" s="2483"/>
      <c r="M124" s="2482"/>
      <c r="N124" s="2482"/>
      <c r="O124" s="2483"/>
      <c r="P124" s="2482"/>
      <c r="Q124" s="2482"/>
      <c r="R124" s="2484"/>
    </row>
    <row r="125" spans="2:18" s="796" customFormat="1">
      <c r="B125" s="2482"/>
      <c r="C125" s="2482"/>
      <c r="D125" s="2482"/>
      <c r="E125" s="2482"/>
      <c r="F125" s="2482"/>
      <c r="G125" s="2483"/>
      <c r="H125" s="2482"/>
      <c r="I125" s="2483"/>
      <c r="J125" s="2482"/>
      <c r="K125" s="2482"/>
      <c r="L125" s="2483"/>
      <c r="M125" s="2482"/>
      <c r="N125" s="2482"/>
      <c r="O125" s="2483"/>
      <c r="P125" s="2482"/>
      <c r="Q125" s="2482"/>
      <c r="R125" s="2484"/>
    </row>
    <row r="126" spans="2:18" s="796" customFormat="1">
      <c r="B126" s="2482"/>
      <c r="C126" s="2482"/>
      <c r="D126" s="2482"/>
      <c r="E126" s="2482"/>
      <c r="F126" s="2482"/>
      <c r="G126" s="2483"/>
      <c r="H126" s="2482"/>
      <c r="I126" s="2483"/>
      <c r="J126" s="2482"/>
      <c r="K126" s="2482"/>
      <c r="L126" s="2483"/>
      <c r="M126" s="2482"/>
      <c r="N126" s="2482"/>
      <c r="O126" s="2483"/>
      <c r="P126" s="2482"/>
      <c r="Q126" s="2482"/>
      <c r="R126" s="2484"/>
    </row>
    <row r="127" spans="2:18" s="796" customFormat="1">
      <c r="B127" s="2482"/>
      <c r="C127" s="2482"/>
      <c r="D127" s="2482"/>
      <c r="E127" s="2482"/>
      <c r="F127" s="2482"/>
      <c r="G127" s="2483"/>
      <c r="H127" s="2482"/>
      <c r="I127" s="2483"/>
      <c r="J127" s="2482"/>
      <c r="K127" s="2482"/>
      <c r="L127" s="2483"/>
      <c r="M127" s="2482"/>
      <c r="N127" s="2482"/>
      <c r="O127" s="2483"/>
      <c r="P127" s="2482"/>
      <c r="Q127" s="2482"/>
      <c r="R127" s="2484"/>
    </row>
    <row r="128" spans="2:18" s="796" customFormat="1">
      <c r="B128" s="2482"/>
      <c r="C128" s="2482"/>
      <c r="D128" s="2482"/>
      <c r="E128" s="2482"/>
      <c r="F128" s="2482"/>
      <c r="G128" s="2483"/>
      <c r="H128" s="2482"/>
      <c r="I128" s="2483"/>
      <c r="J128" s="2482"/>
      <c r="K128" s="2482"/>
      <c r="L128" s="2483"/>
      <c r="M128" s="2482"/>
      <c r="N128" s="2482"/>
      <c r="O128" s="2483"/>
      <c r="P128" s="2482"/>
      <c r="Q128" s="2482"/>
      <c r="R128" s="2484"/>
    </row>
    <row r="129" spans="2:18" s="796" customFormat="1">
      <c r="B129" s="2482"/>
      <c r="C129" s="2482"/>
      <c r="D129" s="2482"/>
      <c r="E129" s="2482"/>
      <c r="F129" s="2482"/>
      <c r="G129" s="2483"/>
      <c r="H129" s="2482"/>
      <c r="I129" s="2483"/>
      <c r="J129" s="2482"/>
      <c r="K129" s="2482"/>
      <c r="L129" s="2483"/>
      <c r="M129" s="2482"/>
      <c r="N129" s="2482"/>
      <c r="O129" s="2483"/>
      <c r="P129" s="2482"/>
      <c r="Q129" s="2482"/>
      <c r="R129" s="2484"/>
    </row>
    <row r="130" spans="2:18" s="796" customFormat="1">
      <c r="B130" s="2482"/>
      <c r="C130" s="2482"/>
      <c r="D130" s="2482"/>
      <c r="E130" s="2482"/>
      <c r="F130" s="2482"/>
      <c r="G130" s="2483"/>
      <c r="H130" s="2482"/>
      <c r="I130" s="2483"/>
      <c r="J130" s="2482"/>
      <c r="K130" s="2482"/>
      <c r="L130" s="2483"/>
      <c r="M130" s="2482"/>
      <c r="N130" s="2482"/>
      <c r="O130" s="2483"/>
      <c r="P130" s="2482"/>
      <c r="Q130" s="2482"/>
      <c r="R130" s="2484"/>
    </row>
    <row r="131" spans="2:18" s="796" customFormat="1">
      <c r="B131" s="2482"/>
      <c r="C131" s="2482"/>
      <c r="D131" s="2482"/>
      <c r="E131" s="2482"/>
      <c r="F131" s="2482"/>
      <c r="G131" s="2483"/>
      <c r="H131" s="2482"/>
      <c r="I131" s="2483"/>
      <c r="J131" s="2482"/>
      <c r="K131" s="2482"/>
      <c r="L131" s="2483"/>
      <c r="M131" s="2482"/>
      <c r="N131" s="2482"/>
      <c r="O131" s="2483"/>
      <c r="P131" s="2482"/>
      <c r="Q131" s="2482"/>
      <c r="R131" s="2484"/>
    </row>
    <row r="132" spans="2:18" s="796" customFormat="1">
      <c r="B132" s="2482"/>
      <c r="C132" s="2482"/>
      <c r="D132" s="2482"/>
      <c r="E132" s="2482"/>
      <c r="F132" s="2482"/>
      <c r="G132" s="2483"/>
      <c r="H132" s="2482"/>
      <c r="I132" s="2483"/>
      <c r="J132" s="2482"/>
      <c r="K132" s="2482"/>
      <c r="L132" s="2483"/>
      <c r="M132" s="2482"/>
      <c r="N132" s="2482"/>
      <c r="O132" s="2483"/>
      <c r="P132" s="2482"/>
      <c r="Q132" s="2482"/>
      <c r="R132" s="2484"/>
    </row>
    <row r="133" spans="2:18" s="796" customFormat="1">
      <c r="B133" s="2482"/>
      <c r="C133" s="2482"/>
      <c r="D133" s="2482"/>
      <c r="E133" s="2482"/>
      <c r="F133" s="2482"/>
      <c r="G133" s="2483"/>
      <c r="H133" s="2482"/>
      <c r="I133" s="2483"/>
      <c r="J133" s="2482"/>
      <c r="K133" s="2482"/>
      <c r="L133" s="2483"/>
      <c r="M133" s="2482"/>
      <c r="N133" s="2482"/>
      <c r="O133" s="2483"/>
      <c r="P133" s="2482"/>
      <c r="Q133" s="2482"/>
      <c r="R133" s="2484"/>
    </row>
    <row r="134" spans="2:18" s="796" customFormat="1">
      <c r="B134" s="2482"/>
      <c r="C134" s="2482"/>
      <c r="D134" s="2482"/>
      <c r="E134" s="2482"/>
      <c r="F134" s="2482"/>
      <c r="G134" s="2483"/>
      <c r="H134" s="2482"/>
      <c r="I134" s="2483"/>
      <c r="J134" s="2482"/>
      <c r="K134" s="2482"/>
      <c r="L134" s="2483"/>
      <c r="M134" s="2482"/>
      <c r="N134" s="2482"/>
      <c r="O134" s="2483"/>
      <c r="P134" s="2482"/>
      <c r="Q134" s="2482"/>
      <c r="R134" s="2484"/>
    </row>
    <row r="135" spans="2:18" s="796" customFormat="1">
      <c r="B135" s="2482"/>
      <c r="C135" s="2482"/>
      <c r="D135" s="2482"/>
      <c r="E135" s="2482"/>
      <c r="F135" s="2482"/>
      <c r="G135" s="2483"/>
      <c r="H135" s="2482"/>
      <c r="I135" s="2483"/>
      <c r="J135" s="2482"/>
      <c r="K135" s="2482"/>
      <c r="L135" s="2483"/>
      <c r="M135" s="2482"/>
      <c r="N135" s="2482"/>
      <c r="O135" s="2483"/>
      <c r="P135" s="2482"/>
      <c r="Q135" s="2482"/>
      <c r="R135" s="2484"/>
    </row>
    <row r="136" spans="2:18" s="796" customFormat="1">
      <c r="B136" s="2482"/>
      <c r="C136" s="2482"/>
      <c r="D136" s="2482"/>
      <c r="E136" s="2482"/>
      <c r="F136" s="2482"/>
      <c r="G136" s="2483"/>
      <c r="H136" s="2482"/>
      <c r="I136" s="2483"/>
      <c r="J136" s="2482"/>
      <c r="K136" s="2482"/>
      <c r="L136" s="2483"/>
      <c r="M136" s="2482"/>
      <c r="N136" s="2482"/>
      <c r="O136" s="2483"/>
      <c r="P136" s="2482"/>
      <c r="Q136" s="2482"/>
      <c r="R136" s="2484"/>
    </row>
    <row r="137" spans="2:18" s="796" customFormat="1">
      <c r="B137" s="2482"/>
      <c r="C137" s="2482"/>
      <c r="D137" s="2482"/>
      <c r="E137" s="2482"/>
      <c r="F137" s="2482"/>
      <c r="G137" s="2483"/>
      <c r="H137" s="2482"/>
      <c r="I137" s="2483"/>
      <c r="J137" s="2482"/>
      <c r="K137" s="2482"/>
      <c r="L137" s="2483"/>
      <c r="M137" s="2482"/>
      <c r="N137" s="2482"/>
      <c r="O137" s="2483"/>
      <c r="P137" s="2482"/>
      <c r="Q137" s="2482"/>
      <c r="R137" s="2484"/>
    </row>
    <row r="138" spans="2:18" s="796" customFormat="1">
      <c r="B138" s="2482"/>
      <c r="C138" s="2482"/>
      <c r="D138" s="2482"/>
      <c r="E138" s="2482"/>
      <c r="F138" s="2482"/>
      <c r="G138" s="2483"/>
      <c r="H138" s="2482"/>
      <c r="I138" s="2483"/>
      <c r="J138" s="2482"/>
      <c r="K138" s="2482"/>
      <c r="L138" s="2483"/>
      <c r="M138" s="2482"/>
      <c r="N138" s="2482"/>
      <c r="O138" s="2483"/>
      <c r="P138" s="2482"/>
      <c r="Q138" s="2482"/>
      <c r="R138" s="2484"/>
    </row>
    <row r="139" spans="2:18" s="796" customFormat="1">
      <c r="B139" s="2482"/>
      <c r="C139" s="2482"/>
      <c r="D139" s="2482"/>
      <c r="E139" s="2482"/>
      <c r="F139" s="2482"/>
      <c r="G139" s="2483"/>
      <c r="H139" s="2482"/>
      <c r="I139" s="2483"/>
      <c r="J139" s="2482"/>
      <c r="K139" s="2482"/>
      <c r="L139" s="2483"/>
      <c r="M139" s="2482"/>
      <c r="N139" s="2482"/>
      <c r="O139" s="2483"/>
      <c r="P139" s="2482"/>
      <c r="Q139" s="2482"/>
      <c r="R139" s="2484"/>
    </row>
    <row r="140" spans="2:18" s="796" customFormat="1">
      <c r="B140" s="2482"/>
      <c r="C140" s="2482"/>
      <c r="D140" s="2482"/>
      <c r="E140" s="2482"/>
      <c r="F140" s="2482"/>
      <c r="G140" s="2483"/>
      <c r="H140" s="2482"/>
      <c r="I140" s="2483"/>
      <c r="J140" s="2482"/>
      <c r="K140" s="2482"/>
      <c r="L140" s="2483"/>
      <c r="M140" s="2482"/>
      <c r="N140" s="2482"/>
      <c r="O140" s="2483"/>
      <c r="P140" s="2482"/>
      <c r="Q140" s="2482"/>
      <c r="R140" s="2484"/>
    </row>
    <row r="141" spans="2:18" s="796" customFormat="1">
      <c r="B141" s="2482"/>
      <c r="C141" s="2482"/>
      <c r="D141" s="2482"/>
      <c r="E141" s="2482"/>
      <c r="F141" s="2482"/>
      <c r="G141" s="2483"/>
      <c r="H141" s="2482"/>
      <c r="I141" s="2483"/>
      <c r="J141" s="2482"/>
      <c r="K141" s="2482"/>
      <c r="L141" s="2483"/>
      <c r="M141" s="2482"/>
      <c r="N141" s="2482"/>
      <c r="O141" s="2483"/>
      <c r="P141" s="2482"/>
      <c r="Q141" s="2482"/>
      <c r="R141" s="2484"/>
    </row>
    <row r="142" spans="2:18" s="796" customFormat="1">
      <c r="B142" s="2482"/>
      <c r="C142" s="2482"/>
      <c r="D142" s="2482"/>
      <c r="E142" s="2482"/>
      <c r="F142" s="2482"/>
      <c r="G142" s="2483"/>
      <c r="H142" s="2482"/>
      <c r="I142" s="2483"/>
      <c r="J142" s="2482"/>
      <c r="K142" s="2482"/>
      <c r="L142" s="2483"/>
      <c r="M142" s="2482"/>
      <c r="N142" s="2482"/>
      <c r="O142" s="2483"/>
      <c r="P142" s="2482"/>
      <c r="Q142" s="2482"/>
      <c r="R142" s="2484"/>
    </row>
    <row r="143" spans="2:18" s="796" customFormat="1">
      <c r="B143" s="2482"/>
      <c r="C143" s="2482"/>
      <c r="D143" s="2482"/>
      <c r="E143" s="2482"/>
      <c r="F143" s="2482"/>
      <c r="G143" s="2483"/>
      <c r="H143" s="2482"/>
      <c r="I143" s="2483"/>
      <c r="J143" s="2482"/>
      <c r="K143" s="2482"/>
      <c r="L143" s="2483"/>
      <c r="M143" s="2482"/>
      <c r="N143" s="2482"/>
      <c r="O143" s="2483"/>
      <c r="P143" s="2482"/>
      <c r="Q143" s="2482"/>
      <c r="R143" s="2484"/>
    </row>
    <row r="144" spans="2:18" s="796" customFormat="1">
      <c r="B144" s="2482"/>
      <c r="C144" s="2482"/>
      <c r="D144" s="2482"/>
      <c r="E144" s="2482"/>
      <c r="F144" s="2482"/>
      <c r="G144" s="2483"/>
      <c r="H144" s="2482"/>
      <c r="I144" s="2483"/>
      <c r="J144" s="2482"/>
      <c r="K144" s="2482"/>
      <c r="L144" s="2483"/>
      <c r="M144" s="2482"/>
      <c r="N144" s="2482"/>
      <c r="O144" s="2483"/>
      <c r="P144" s="2482"/>
      <c r="Q144" s="2482"/>
      <c r="R144" s="2484"/>
    </row>
    <row r="145" spans="2:18" s="796" customFormat="1">
      <c r="B145" s="2482"/>
      <c r="C145" s="2482"/>
      <c r="D145" s="2482"/>
      <c r="E145" s="2482"/>
      <c r="F145" s="2482"/>
      <c r="G145" s="2483"/>
      <c r="H145" s="2482"/>
      <c r="I145" s="2483"/>
      <c r="J145" s="2482"/>
      <c r="K145" s="2482"/>
      <c r="L145" s="2483"/>
      <c r="M145" s="2482"/>
      <c r="N145" s="2482"/>
      <c r="O145" s="2483"/>
      <c r="P145" s="2482"/>
      <c r="Q145" s="2482"/>
      <c r="R145" s="2484"/>
    </row>
    <row r="146" spans="2:18" s="796" customFormat="1">
      <c r="B146" s="2482"/>
      <c r="C146" s="2482"/>
      <c r="D146" s="2482"/>
      <c r="E146" s="2482"/>
      <c r="F146" s="2482"/>
      <c r="G146" s="2483"/>
      <c r="H146" s="2482"/>
      <c r="I146" s="2483"/>
      <c r="J146" s="2482"/>
      <c r="K146" s="2482"/>
      <c r="L146" s="2483"/>
      <c r="M146" s="2482"/>
      <c r="N146" s="2482"/>
      <c r="O146" s="2483"/>
      <c r="P146" s="2482"/>
      <c r="Q146" s="2482"/>
      <c r="R146" s="2484"/>
    </row>
    <row r="147" spans="2:18" s="796" customFormat="1">
      <c r="B147" s="2482"/>
      <c r="C147" s="2482"/>
      <c r="D147" s="2482"/>
      <c r="E147" s="2482"/>
      <c r="F147" s="2482"/>
      <c r="G147" s="2483"/>
      <c r="H147" s="2482"/>
      <c r="I147" s="2483"/>
      <c r="J147" s="2482"/>
      <c r="K147" s="2482"/>
      <c r="L147" s="2483"/>
      <c r="M147" s="2482"/>
      <c r="N147" s="2482"/>
      <c r="O147" s="2483"/>
      <c r="P147" s="2482"/>
      <c r="Q147" s="2482"/>
      <c r="R147" s="2484"/>
    </row>
    <row r="148" spans="2:18" s="796" customFormat="1">
      <c r="B148" s="2482"/>
      <c r="C148" s="2482"/>
      <c r="D148" s="2482"/>
      <c r="E148" s="2482"/>
      <c r="F148" s="2482"/>
      <c r="G148" s="2483"/>
      <c r="H148" s="2482"/>
      <c r="I148" s="2483"/>
      <c r="J148" s="2482"/>
      <c r="K148" s="2482"/>
      <c r="L148" s="2483"/>
      <c r="M148" s="2482"/>
      <c r="N148" s="2482"/>
      <c r="O148" s="2483"/>
      <c r="P148" s="2482"/>
      <c r="Q148" s="2482"/>
      <c r="R148" s="2484"/>
    </row>
    <row r="149" spans="2:18" s="796" customFormat="1">
      <c r="B149" s="2482"/>
      <c r="C149" s="2482"/>
      <c r="D149" s="2482"/>
      <c r="E149" s="2482"/>
      <c r="F149" s="2482"/>
      <c r="G149" s="2483"/>
      <c r="H149" s="2482"/>
      <c r="I149" s="2483"/>
      <c r="J149" s="2482"/>
      <c r="K149" s="2482"/>
      <c r="L149" s="2483"/>
      <c r="M149" s="2482"/>
      <c r="N149" s="2482"/>
      <c r="O149" s="2483"/>
      <c r="P149" s="2482"/>
      <c r="Q149" s="2482"/>
      <c r="R149" s="2484"/>
    </row>
    <row r="150" spans="2:18" s="796" customFormat="1">
      <c r="B150" s="2482"/>
      <c r="C150" s="2482"/>
      <c r="D150" s="2482"/>
      <c r="E150" s="2482"/>
      <c r="F150" s="2482"/>
      <c r="G150" s="2483"/>
      <c r="H150" s="2482"/>
      <c r="I150" s="2483"/>
      <c r="J150" s="2482"/>
      <c r="K150" s="2482"/>
      <c r="L150" s="2483"/>
      <c r="M150" s="2482"/>
      <c r="N150" s="2482"/>
      <c r="O150" s="2483"/>
      <c r="P150" s="2482"/>
      <c r="Q150" s="2482"/>
      <c r="R150" s="2484"/>
    </row>
    <row r="151" spans="2:18" s="796" customFormat="1">
      <c r="B151" s="2482"/>
      <c r="C151" s="2482"/>
      <c r="D151" s="2482"/>
      <c r="E151" s="2482"/>
      <c r="F151" s="2482"/>
      <c r="G151" s="2483"/>
      <c r="H151" s="2482"/>
      <c r="I151" s="2483"/>
      <c r="J151" s="2482"/>
      <c r="K151" s="2482"/>
      <c r="L151" s="2483"/>
      <c r="M151" s="2482"/>
      <c r="N151" s="2482"/>
      <c r="O151" s="2483"/>
      <c r="P151" s="2482"/>
      <c r="Q151" s="2482"/>
      <c r="R151" s="2484"/>
    </row>
    <row r="152" spans="2:18" s="796" customFormat="1">
      <c r="B152" s="2482"/>
      <c r="C152" s="2482"/>
      <c r="D152" s="2482"/>
      <c r="E152" s="2482"/>
      <c r="F152" s="2482"/>
      <c r="G152" s="2483"/>
      <c r="H152" s="2482"/>
      <c r="I152" s="2483"/>
      <c r="J152" s="2482"/>
      <c r="K152" s="2482"/>
      <c r="L152" s="2483"/>
      <c r="M152" s="2482"/>
      <c r="N152" s="2482"/>
      <c r="O152" s="2483"/>
      <c r="P152" s="2482"/>
      <c r="Q152" s="2482"/>
      <c r="R152" s="2484"/>
    </row>
    <row r="153" spans="2:18" s="796" customFormat="1">
      <c r="B153" s="2482"/>
      <c r="C153" s="2482"/>
      <c r="D153" s="2482"/>
      <c r="E153" s="2482"/>
      <c r="F153" s="2482"/>
      <c r="G153" s="2483"/>
      <c r="H153" s="2482"/>
      <c r="I153" s="2483"/>
      <c r="J153" s="2482"/>
      <c r="K153" s="2482"/>
      <c r="L153" s="2483"/>
      <c r="M153" s="2482"/>
      <c r="N153" s="2482"/>
      <c r="O153" s="2483"/>
      <c r="P153" s="2482"/>
      <c r="Q153" s="2482"/>
      <c r="R153" s="2484"/>
    </row>
    <row r="154" spans="2:18" s="796" customFormat="1">
      <c r="B154" s="2482"/>
      <c r="C154" s="2482"/>
      <c r="D154" s="2482"/>
      <c r="E154" s="2482"/>
      <c r="F154" s="2482"/>
      <c r="G154" s="2483"/>
      <c r="H154" s="2482"/>
      <c r="I154" s="2483"/>
      <c r="J154" s="2482"/>
      <c r="K154" s="2482"/>
      <c r="L154" s="2483"/>
      <c r="M154" s="2482"/>
      <c r="N154" s="2482"/>
      <c r="O154" s="2483"/>
      <c r="P154" s="2482"/>
      <c r="Q154" s="2482"/>
      <c r="R154" s="2484"/>
    </row>
    <row r="155" spans="2:18" s="796" customFormat="1">
      <c r="B155" s="2482"/>
      <c r="C155" s="2482"/>
      <c r="D155" s="2482"/>
      <c r="E155" s="2482"/>
      <c r="F155" s="2482"/>
      <c r="G155" s="2483"/>
      <c r="H155" s="2482"/>
      <c r="I155" s="2483"/>
      <c r="J155" s="2482"/>
      <c r="K155" s="2482"/>
      <c r="L155" s="2483"/>
      <c r="M155" s="2482"/>
      <c r="N155" s="2482"/>
      <c r="O155" s="2483"/>
      <c r="P155" s="2482"/>
      <c r="Q155" s="2482"/>
      <c r="R155" s="2484"/>
    </row>
    <row r="156" spans="2:18" s="796" customFormat="1">
      <c r="B156" s="2482"/>
      <c r="C156" s="2482"/>
      <c r="D156" s="2482"/>
      <c r="E156" s="2482"/>
      <c r="F156" s="2482"/>
      <c r="G156" s="2483"/>
      <c r="H156" s="2482"/>
      <c r="I156" s="2483"/>
      <c r="J156" s="2482"/>
      <c r="K156" s="2482"/>
      <c r="L156" s="2483"/>
      <c r="M156" s="2482"/>
      <c r="N156" s="2482"/>
      <c r="O156" s="2483"/>
      <c r="P156" s="2482"/>
      <c r="Q156" s="2482"/>
      <c r="R156" s="2484"/>
    </row>
    <row r="157" spans="2:18" s="796" customFormat="1">
      <c r="B157" s="2482"/>
      <c r="C157" s="2482"/>
      <c r="D157" s="2482"/>
      <c r="E157" s="2482"/>
      <c r="F157" s="2482"/>
      <c r="G157" s="2483"/>
      <c r="H157" s="2482"/>
      <c r="I157" s="2483"/>
      <c r="J157" s="2482"/>
      <c r="K157" s="2482"/>
      <c r="L157" s="2483"/>
      <c r="M157" s="2482"/>
      <c r="N157" s="2482"/>
      <c r="O157" s="2483"/>
      <c r="P157" s="2482"/>
      <c r="Q157" s="2482"/>
      <c r="R157" s="2484"/>
    </row>
    <row r="158" spans="2:18" s="796" customFormat="1">
      <c r="B158" s="2482"/>
      <c r="C158" s="2482"/>
      <c r="D158" s="2482"/>
      <c r="E158" s="2482"/>
      <c r="F158" s="2482"/>
      <c r="G158" s="2483"/>
      <c r="H158" s="2482"/>
      <c r="I158" s="2483"/>
      <c r="J158" s="2482"/>
      <c r="K158" s="2482"/>
      <c r="L158" s="2483"/>
      <c r="M158" s="2482"/>
      <c r="N158" s="2482"/>
      <c r="O158" s="2483"/>
      <c r="P158" s="2482"/>
      <c r="Q158" s="2482"/>
      <c r="R158" s="2484"/>
    </row>
    <row r="159" spans="2:18" s="796" customFormat="1">
      <c r="B159" s="2482"/>
      <c r="C159" s="2482"/>
      <c r="D159" s="2482"/>
      <c r="E159" s="2482"/>
      <c r="F159" s="2482"/>
      <c r="G159" s="2483"/>
      <c r="H159" s="2482"/>
      <c r="I159" s="2483"/>
      <c r="J159" s="2482"/>
      <c r="K159" s="2482"/>
      <c r="L159" s="2483"/>
      <c r="M159" s="2482"/>
      <c r="N159" s="2482"/>
      <c r="O159" s="2483"/>
      <c r="P159" s="2482"/>
      <c r="Q159" s="2482"/>
      <c r="R159" s="2484"/>
    </row>
    <row r="160" spans="2:18" s="796" customFormat="1">
      <c r="B160" s="2482"/>
      <c r="C160" s="2482"/>
      <c r="D160" s="2482"/>
      <c r="E160" s="2482"/>
      <c r="F160" s="2482"/>
      <c r="G160" s="2483"/>
      <c r="H160" s="2482"/>
      <c r="I160" s="2483"/>
      <c r="J160" s="2482"/>
      <c r="K160" s="2482"/>
      <c r="L160" s="2483"/>
      <c r="M160" s="2482"/>
      <c r="N160" s="2482"/>
      <c r="O160" s="2483"/>
      <c r="P160" s="2482"/>
      <c r="Q160" s="2482"/>
      <c r="R160" s="2484"/>
    </row>
    <row r="161" spans="2:18" s="796" customFormat="1">
      <c r="B161" s="2482"/>
      <c r="C161" s="2482"/>
      <c r="D161" s="2482"/>
      <c r="E161" s="2482"/>
      <c r="F161" s="2482"/>
      <c r="G161" s="2483"/>
      <c r="H161" s="2482"/>
      <c r="I161" s="2483"/>
      <c r="J161" s="2482"/>
      <c r="K161" s="2482"/>
      <c r="L161" s="2483"/>
      <c r="M161" s="2482"/>
      <c r="N161" s="2482"/>
      <c r="O161" s="2483"/>
      <c r="P161" s="2482"/>
      <c r="Q161" s="2482"/>
      <c r="R161" s="2484"/>
    </row>
    <row r="162" spans="2:18" s="796" customFormat="1">
      <c r="B162" s="2482"/>
      <c r="C162" s="2482"/>
      <c r="D162" s="2482"/>
      <c r="E162" s="2482"/>
      <c r="F162" s="2482"/>
      <c r="G162" s="2483"/>
      <c r="H162" s="2482"/>
      <c r="I162" s="2483"/>
      <c r="J162" s="2482"/>
      <c r="K162" s="2482"/>
      <c r="L162" s="2483"/>
      <c r="M162" s="2482"/>
      <c r="N162" s="2482"/>
      <c r="O162" s="2483"/>
      <c r="P162" s="2482"/>
      <c r="Q162" s="2482"/>
      <c r="R162" s="2484"/>
    </row>
    <row r="163" spans="2:18" s="796" customFormat="1">
      <c r="B163" s="2482"/>
      <c r="C163" s="2482"/>
      <c r="D163" s="2482"/>
      <c r="E163" s="2482"/>
      <c r="F163" s="2482"/>
      <c r="G163" s="2483"/>
      <c r="H163" s="2482"/>
      <c r="I163" s="2483"/>
      <c r="J163" s="2482"/>
      <c r="K163" s="2482"/>
      <c r="L163" s="2483"/>
      <c r="M163" s="2482"/>
      <c r="N163" s="2482"/>
      <c r="O163" s="2483"/>
      <c r="P163" s="2482"/>
      <c r="Q163" s="2482"/>
      <c r="R163" s="2484"/>
    </row>
    <row r="164" spans="2:18" s="796" customFormat="1">
      <c r="B164" s="2482"/>
      <c r="C164" s="2482"/>
      <c r="D164" s="2482"/>
      <c r="E164" s="2482"/>
      <c r="F164" s="2482"/>
      <c r="G164" s="2483"/>
      <c r="H164" s="2482"/>
      <c r="I164" s="2483"/>
      <c r="J164" s="2482"/>
      <c r="K164" s="2482"/>
      <c r="L164" s="2483"/>
      <c r="M164" s="2482"/>
      <c r="N164" s="2482"/>
      <c r="O164" s="2483"/>
      <c r="P164" s="2482"/>
      <c r="Q164" s="2482"/>
      <c r="R164" s="2484"/>
    </row>
    <row r="165" spans="2:18" s="796" customFormat="1">
      <c r="B165" s="2482"/>
      <c r="C165" s="2482"/>
      <c r="D165" s="2482"/>
      <c r="E165" s="2482"/>
      <c r="F165" s="2482"/>
      <c r="G165" s="2483"/>
      <c r="H165" s="2482"/>
      <c r="I165" s="2483"/>
      <c r="J165" s="2482"/>
      <c r="K165" s="2482"/>
      <c r="L165" s="2483"/>
      <c r="M165" s="2482"/>
      <c r="N165" s="2482"/>
      <c r="O165" s="2483"/>
      <c r="P165" s="2482"/>
      <c r="Q165" s="2482"/>
      <c r="R165" s="2484"/>
    </row>
    <row r="166" spans="2:18" s="796" customFormat="1">
      <c r="B166" s="2482"/>
      <c r="C166" s="2482"/>
      <c r="D166" s="2482"/>
      <c r="E166" s="2482"/>
      <c r="F166" s="2482"/>
      <c r="G166" s="2483"/>
      <c r="H166" s="2482"/>
      <c r="I166" s="2483"/>
      <c r="J166" s="2482"/>
      <c r="K166" s="2482"/>
      <c r="L166" s="2483"/>
      <c r="M166" s="2482"/>
      <c r="N166" s="2482"/>
      <c r="O166" s="2483"/>
      <c r="P166" s="2482"/>
      <c r="Q166" s="2482"/>
      <c r="R166" s="2484"/>
    </row>
    <row r="167" spans="2:18" s="796" customFormat="1">
      <c r="B167" s="2482"/>
      <c r="C167" s="2482"/>
      <c r="D167" s="2482"/>
      <c r="E167" s="2482"/>
      <c r="F167" s="2482"/>
      <c r="G167" s="2483"/>
      <c r="H167" s="2482"/>
      <c r="I167" s="2483"/>
      <c r="J167" s="2482"/>
      <c r="K167" s="2482"/>
      <c r="L167" s="2483"/>
      <c r="M167" s="2482"/>
      <c r="N167" s="2482"/>
      <c r="O167" s="2483"/>
      <c r="P167" s="2482"/>
      <c r="Q167" s="2482"/>
      <c r="R167" s="2484"/>
    </row>
    <row r="168" spans="2:18" s="796" customFormat="1">
      <c r="B168" s="2482"/>
      <c r="C168" s="2482"/>
      <c r="D168" s="2482"/>
      <c r="E168" s="2482"/>
      <c r="F168" s="2482"/>
      <c r="G168" s="2483"/>
      <c r="H168" s="2482"/>
      <c r="I168" s="2483"/>
      <c r="J168" s="2482"/>
      <c r="K168" s="2482"/>
      <c r="L168" s="2483"/>
      <c r="M168" s="2482"/>
      <c r="N168" s="2482"/>
      <c r="O168" s="2483"/>
      <c r="P168" s="2482"/>
      <c r="Q168" s="2482"/>
      <c r="R168" s="2484"/>
    </row>
    <row r="169" spans="2:18" s="796" customFormat="1">
      <c r="B169" s="2482"/>
      <c r="C169" s="2482"/>
      <c r="D169" s="2482"/>
      <c r="E169" s="2482"/>
      <c r="F169" s="2482"/>
      <c r="G169" s="2483"/>
      <c r="H169" s="2482"/>
      <c r="I169" s="2483"/>
      <c r="J169" s="2482"/>
      <c r="K169" s="2482"/>
      <c r="L169" s="2483"/>
      <c r="M169" s="2482"/>
      <c r="N169" s="2482"/>
      <c r="O169" s="2483"/>
      <c r="P169" s="2482"/>
      <c r="Q169" s="2482"/>
      <c r="R169" s="2484"/>
    </row>
    <row r="170" spans="2:18" s="796" customFormat="1">
      <c r="B170" s="2482"/>
      <c r="C170" s="2482"/>
      <c r="D170" s="2482"/>
      <c r="E170" s="2482"/>
      <c r="F170" s="2482"/>
      <c r="G170" s="2483"/>
      <c r="H170" s="2482"/>
      <c r="I170" s="2483"/>
      <c r="J170" s="2482"/>
      <c r="K170" s="2482"/>
      <c r="L170" s="2483"/>
      <c r="M170" s="2482"/>
      <c r="N170" s="2482"/>
      <c r="O170" s="2483"/>
      <c r="P170" s="2482"/>
      <c r="Q170" s="2482"/>
      <c r="R170" s="2484"/>
    </row>
    <row r="171" spans="2:18" s="796" customFormat="1">
      <c r="B171" s="2482"/>
      <c r="C171" s="2482"/>
      <c r="D171" s="2482"/>
      <c r="E171" s="2482"/>
      <c r="F171" s="2482"/>
      <c r="G171" s="2483"/>
      <c r="H171" s="2482"/>
      <c r="I171" s="2483"/>
      <c r="J171" s="2482"/>
      <c r="K171" s="2482"/>
      <c r="L171" s="2483"/>
      <c r="M171" s="2482"/>
      <c r="N171" s="2482"/>
      <c r="O171" s="2483"/>
      <c r="P171" s="2482"/>
      <c r="Q171" s="2482"/>
      <c r="R171" s="2484"/>
    </row>
    <row r="172" spans="2:18" s="796" customFormat="1">
      <c r="B172" s="2482"/>
      <c r="C172" s="2482"/>
      <c r="D172" s="2482"/>
      <c r="E172" s="2482"/>
      <c r="F172" s="2482"/>
      <c r="G172" s="2483"/>
      <c r="H172" s="2482"/>
      <c r="I172" s="2483"/>
      <c r="J172" s="2482"/>
      <c r="K172" s="2482"/>
      <c r="L172" s="2483"/>
      <c r="M172" s="2482"/>
      <c r="N172" s="2482"/>
      <c r="O172" s="2483"/>
      <c r="P172" s="2482"/>
      <c r="Q172" s="2482"/>
      <c r="R172" s="2484"/>
    </row>
    <row r="173" spans="2:18" s="796" customFormat="1">
      <c r="B173" s="2482"/>
      <c r="C173" s="2482"/>
      <c r="D173" s="2482"/>
      <c r="E173" s="2482"/>
      <c r="F173" s="2482"/>
      <c r="G173" s="2483"/>
      <c r="H173" s="2482"/>
      <c r="I173" s="2483"/>
      <c r="J173" s="2482"/>
      <c r="K173" s="2482"/>
      <c r="L173" s="2483"/>
      <c r="M173" s="2482"/>
      <c r="N173" s="2482"/>
      <c r="O173" s="2483"/>
      <c r="P173" s="2482"/>
      <c r="Q173" s="2482"/>
      <c r="R173" s="2484"/>
    </row>
    <row r="174" spans="2:18" s="796" customFormat="1">
      <c r="B174" s="2482"/>
      <c r="C174" s="2482"/>
      <c r="D174" s="2482"/>
      <c r="E174" s="2482"/>
      <c r="F174" s="2482"/>
      <c r="G174" s="2483"/>
      <c r="H174" s="2482"/>
      <c r="I174" s="2483"/>
      <c r="J174" s="2482"/>
      <c r="K174" s="2482"/>
      <c r="L174" s="2483"/>
      <c r="M174" s="2482"/>
      <c r="N174" s="2482"/>
      <c r="O174" s="2483"/>
      <c r="P174" s="2482"/>
      <c r="Q174" s="2482"/>
      <c r="R174" s="2484"/>
    </row>
    <row r="175" spans="2:18" s="796" customFormat="1">
      <c r="B175" s="2482"/>
      <c r="C175" s="2482"/>
      <c r="D175" s="2482"/>
      <c r="E175" s="2482"/>
      <c r="F175" s="2482"/>
      <c r="G175" s="2483"/>
      <c r="H175" s="2482"/>
      <c r="I175" s="2483"/>
      <c r="J175" s="2482"/>
      <c r="K175" s="2482"/>
      <c r="L175" s="2483"/>
      <c r="M175" s="2482"/>
      <c r="N175" s="2482"/>
      <c r="O175" s="2483"/>
      <c r="P175" s="2482"/>
      <c r="Q175" s="2482"/>
      <c r="R175" s="2484"/>
    </row>
    <row r="176" spans="2:18" s="796" customFormat="1">
      <c r="B176" s="2482"/>
      <c r="C176" s="2482"/>
      <c r="D176" s="2482"/>
      <c r="E176" s="2482"/>
      <c r="F176" s="2482"/>
      <c r="G176" s="2483"/>
      <c r="H176" s="2482"/>
      <c r="I176" s="2483"/>
      <c r="J176" s="2482"/>
      <c r="K176" s="2482"/>
      <c r="L176" s="2483"/>
      <c r="M176" s="2482"/>
      <c r="N176" s="2482"/>
      <c r="O176" s="2483"/>
      <c r="P176" s="2482"/>
      <c r="Q176" s="2482"/>
      <c r="R176" s="2484"/>
    </row>
    <row r="177" spans="1:18" s="796" customFormat="1">
      <c r="B177" s="2482"/>
      <c r="C177" s="2482"/>
      <c r="D177" s="2482"/>
      <c r="E177" s="2482"/>
      <c r="F177" s="2482"/>
      <c r="G177" s="2483"/>
      <c r="H177" s="2482"/>
      <c r="I177" s="2483"/>
      <c r="J177" s="2482"/>
      <c r="K177" s="2482"/>
      <c r="L177" s="2483"/>
      <c r="M177" s="2482"/>
      <c r="N177" s="2482"/>
      <c r="O177" s="2483"/>
      <c r="P177" s="2482"/>
      <c r="Q177" s="2482"/>
      <c r="R177" s="2484"/>
    </row>
    <row r="178" spans="1:18" s="796" customFormat="1">
      <c r="B178" s="2482"/>
      <c r="C178" s="2482"/>
      <c r="D178" s="2482"/>
      <c r="E178" s="2482"/>
      <c r="F178" s="2482"/>
      <c r="G178" s="2483"/>
      <c r="H178" s="2482"/>
      <c r="I178" s="2483"/>
      <c r="J178" s="2482"/>
      <c r="K178" s="2482"/>
      <c r="L178" s="2483"/>
      <c r="M178" s="2482"/>
      <c r="N178" s="2482"/>
      <c r="O178" s="2483"/>
      <c r="P178" s="2482"/>
      <c r="Q178" s="2482"/>
      <c r="R178" s="2484"/>
    </row>
    <row r="179" spans="1:18" s="796" customFormat="1">
      <c r="B179" s="2482"/>
      <c r="C179" s="2482"/>
      <c r="D179" s="2482"/>
      <c r="E179" s="2482"/>
      <c r="F179" s="2482"/>
      <c r="G179" s="2483"/>
      <c r="H179" s="2482"/>
      <c r="I179" s="2483"/>
      <c r="J179" s="2482"/>
      <c r="K179" s="2482"/>
      <c r="L179" s="2483"/>
      <c r="M179" s="2482"/>
      <c r="N179" s="2482"/>
      <c r="O179" s="2483"/>
      <c r="P179" s="2482"/>
      <c r="Q179" s="2482"/>
      <c r="R179" s="2484"/>
    </row>
    <row r="180" spans="1:18" s="796" customFormat="1">
      <c r="B180" s="2482"/>
      <c r="C180" s="2482"/>
      <c r="D180" s="2482"/>
      <c r="E180" s="2482"/>
      <c r="F180" s="2482"/>
      <c r="G180" s="2483"/>
      <c r="H180" s="2482"/>
      <c r="I180" s="2483"/>
      <c r="J180" s="2482"/>
      <c r="K180" s="2482"/>
      <c r="L180" s="2483"/>
      <c r="M180" s="2482"/>
      <c r="N180" s="2482"/>
      <c r="O180" s="2483"/>
      <c r="P180" s="2482"/>
      <c r="Q180" s="2482"/>
      <c r="R180" s="2484"/>
    </row>
    <row r="181" spans="1:18" s="796" customFormat="1">
      <c r="B181" s="2482"/>
      <c r="C181" s="2482"/>
      <c r="D181" s="2482"/>
      <c r="E181" s="2482"/>
      <c r="F181" s="2482"/>
      <c r="G181" s="2483"/>
      <c r="H181" s="2482"/>
      <c r="I181" s="2483"/>
      <c r="J181" s="2482"/>
      <c r="K181" s="2482"/>
      <c r="L181" s="2483"/>
      <c r="M181" s="2482"/>
      <c r="N181" s="2482"/>
      <c r="O181" s="2483"/>
      <c r="P181" s="2482"/>
      <c r="Q181" s="2482"/>
      <c r="R181" s="2484"/>
    </row>
    <row r="182" spans="1:18" s="796" customFormat="1">
      <c r="B182" s="2482"/>
      <c r="C182" s="2482"/>
      <c r="D182" s="2482"/>
      <c r="E182" s="2482"/>
      <c r="F182" s="2482"/>
      <c r="G182" s="2483"/>
      <c r="H182" s="2482"/>
      <c r="I182" s="2483"/>
      <c r="J182" s="2482"/>
      <c r="K182" s="2482"/>
      <c r="L182" s="2483"/>
      <c r="M182" s="2482"/>
      <c r="N182" s="2482"/>
      <c r="O182" s="2483"/>
      <c r="P182" s="2482"/>
      <c r="Q182" s="2482"/>
      <c r="R182" s="2484"/>
    </row>
    <row r="183" spans="1:18" s="796" customFormat="1">
      <c r="B183" s="2482"/>
      <c r="C183" s="2482"/>
      <c r="D183" s="2482"/>
      <c r="E183" s="2482"/>
      <c r="F183" s="2482"/>
      <c r="G183" s="2483"/>
      <c r="H183" s="2482"/>
      <c r="I183" s="2483"/>
      <c r="J183" s="2482"/>
      <c r="K183" s="2482"/>
      <c r="L183" s="2483"/>
      <c r="M183" s="2482"/>
      <c r="N183" s="2482"/>
      <c r="O183" s="2483"/>
      <c r="P183" s="2482"/>
      <c r="Q183" s="2482"/>
      <c r="R183" s="2484"/>
    </row>
    <row r="184" spans="1:18" s="796" customFormat="1">
      <c r="B184" s="2482"/>
      <c r="C184" s="2482"/>
      <c r="D184" s="2482"/>
      <c r="E184" s="2482"/>
      <c r="F184" s="2482"/>
      <c r="G184" s="2483"/>
      <c r="H184" s="2482"/>
      <c r="I184" s="2483"/>
      <c r="J184" s="2482"/>
      <c r="K184" s="2482"/>
      <c r="L184" s="2483"/>
      <c r="M184" s="2482"/>
      <c r="N184" s="2482"/>
      <c r="O184" s="2483"/>
      <c r="P184" s="2482"/>
      <c r="Q184" s="2482"/>
      <c r="R184" s="2484"/>
    </row>
    <row r="185" spans="1:18" s="796"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6"/>
      <c r="B186" s="2482"/>
      <c r="C186" s="2482"/>
      <c r="E186" s="2482"/>
      <c r="F186" s="2482"/>
      <c r="G186" s="2483"/>
    </row>
    <row r="187" spans="1:18">
      <c r="A187" s="796"/>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10" sqref="G10"/>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4500</v>
      </c>
      <c r="C1" s="2677"/>
      <c r="D1" s="2677"/>
      <c r="E1" s="2677"/>
      <c r="F1" s="2677"/>
      <c r="G1" s="2678"/>
      <c r="H1" s="2679"/>
      <c r="I1" s="2679"/>
      <c r="J1" s="2679"/>
      <c r="K1" s="2679"/>
    </row>
    <row r="2" spans="1:11" ht="16.5">
      <c r="A2" s="2503" t="s">
        <v>653</v>
      </c>
      <c r="B2" s="2503">
        <f>SUM(C14:C23)</f>
        <v>0</v>
      </c>
      <c r="C2" s="2677"/>
      <c r="D2" s="2677"/>
      <c r="E2" s="2677"/>
      <c r="F2" s="2677"/>
      <c r="G2" s="2678"/>
      <c r="H2" s="2679"/>
      <c r="I2" s="2679"/>
      <c r="J2" s="2679"/>
      <c r="K2" s="2679"/>
    </row>
    <row r="3" spans="1:11" ht="16.5">
      <c r="A3" s="2503" t="s">
        <v>662</v>
      </c>
      <c r="B3" s="2505">
        <f>项目基本情况!D3</f>
        <v>45076</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SUM(D14:D23)</f>
        <v>0</v>
      </c>
      <c r="C5" s="2503" t="e">
        <f ca="1">IF(B5=D14,结果表!H102,ROUND(B5*10000/$B$1,0))</f>
        <v>#REF!</v>
      </c>
      <c r="D5" s="2503" t="e">
        <f>ROUND(B5*10000/$B$2,0)</f>
        <v>#DIV/0!</v>
      </c>
      <c r="E5" s="2677"/>
      <c r="F5" s="2678"/>
      <c r="G5" s="2678"/>
      <c r="H5" s="2679"/>
      <c r="I5" s="2679"/>
      <c r="J5" s="2679"/>
      <c r="K5" s="2679"/>
    </row>
    <row r="6" spans="1:11" ht="16.5">
      <c r="A6" s="2503" t="s">
        <v>656</v>
      </c>
      <c r="B6" s="2503">
        <f>SUM(G14:G23)</f>
        <v>0</v>
      </c>
      <c r="C6" s="2503" t="e">
        <f ca="1">IF(B6=G14,结果表!H108,ROUND(B6*10000/$B$1,0))</f>
        <v>#REF!</v>
      </c>
      <c r="D6" s="2503" t="e">
        <f>ROUND(B6*10000/$B$2,0)</f>
        <v>#DIV/0!</v>
      </c>
      <c r="E6" s="2677"/>
      <c r="F6" s="2678"/>
      <c r="G6" s="2678"/>
      <c r="H6" s="2679"/>
      <c r="I6" s="2679"/>
      <c r="J6" s="2679"/>
      <c r="K6" s="2679"/>
    </row>
    <row r="7" spans="1:11" ht="16.5">
      <c r="A7" s="2503" t="s">
        <v>664</v>
      </c>
      <c r="B7" s="2503">
        <f>SUM(H14:H23)</f>
        <v>0</v>
      </c>
      <c r="C7" s="2503" t="str">
        <f>IF(B7=H14,结果表!H110,ROUND(B7*10000/$B$1,0))</f>
        <v>——</v>
      </c>
      <c r="D7" s="2503" t="e">
        <f>ROUND(B7*10000/$B$2,0)</f>
        <v>#DIV/0!</v>
      </c>
      <c r="E7" s="2677"/>
      <c r="F7" s="2678"/>
      <c r="G7" s="2678"/>
      <c r="H7" s="2679"/>
      <c r="I7" s="2679"/>
      <c r="J7" s="2679"/>
      <c r="K7" s="2679"/>
    </row>
    <row r="8" spans="1:11" ht="16.5">
      <c r="A8" s="2503" t="s">
        <v>587</v>
      </c>
      <c r="B8" s="2503">
        <f>SUM(I14:I23)</f>
        <v>0</v>
      </c>
      <c r="C8" s="2503" t="str">
        <f>IF(B8=I14,结果表!H112,ROUND(B8*10000/$B$1,0))</f>
        <v>——</v>
      </c>
      <c r="D8" s="2503" t="e">
        <f>ROUND(B8*10000/$B$2,0)</f>
        <v>#DIV/0!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10090</v>
      </c>
      <c r="C10" s="2503" t="s">
        <v>3348</v>
      </c>
      <c r="D10" s="2503" t="s">
        <v>3349</v>
      </c>
      <c r="E10" s="3432">
        <f>'比较法-万达广场'!C50</f>
        <v>4.3</v>
      </c>
      <c r="F10" s="3436" t="s">
        <v>3350</v>
      </c>
      <c r="G10" s="3433">
        <v>7.0000000000000007E-2</v>
      </c>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'比较法-万达广场'!C34</f>
        <v>4500</v>
      </c>
      <c r="C14" s="2509"/>
      <c r="D14" s="2509"/>
      <c r="E14" s="2509">
        <f>ROUND(D14*10000/B14,0)</f>
        <v>0</v>
      </c>
      <c r="F14" s="2509" t="e">
        <f>ROUND(D14*10000/C14,0)</f>
        <v>#DIV/0!</v>
      </c>
      <c r="G14" s="2509"/>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91" sqref="H91"/>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t="s">
        <v>3393</v>
      </c>
      <c r="H1" s="1747" t="str">
        <f>IF(G1="现房","——","估价对象范围")</f>
        <v>——</v>
      </c>
      <c r="I1" s="1748" t="s">
        <v>3394</v>
      </c>
    </row>
    <row r="2" spans="1:12" ht="21.75" customHeight="1" thickBot="1">
      <c r="A2" s="3594" t="str">
        <f>项目基本情况!S2</f>
        <v>北京市房地产</v>
      </c>
      <c r="B2" s="3595"/>
      <c r="C2" s="3595"/>
      <c r="D2" s="3595"/>
      <c r="E2" s="3595"/>
      <c r="F2" s="3595"/>
      <c r="G2" s="3595"/>
      <c r="H2" s="3595"/>
      <c r="I2" s="3596"/>
    </row>
    <row r="3" spans="1:12" ht="12.75">
      <c r="A3" s="3598" t="s">
        <v>1264</v>
      </c>
      <c r="B3" s="3599"/>
      <c r="C3" s="3599"/>
      <c r="D3" s="3599"/>
      <c r="E3" s="3599"/>
      <c r="F3" s="3599"/>
      <c r="G3" s="3599"/>
      <c r="H3" s="3599"/>
      <c r="I3" s="3599"/>
    </row>
    <row r="4" spans="1:12" ht="14.25">
      <c r="A4" s="1751" t="s">
        <v>1265</v>
      </c>
      <c r="B4" s="1752" t="s">
        <v>1266</v>
      </c>
      <c r="C4" s="1753"/>
      <c r="D4" s="1753"/>
      <c r="E4" s="3600" t="s">
        <v>1267</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4" t="s">
        <v>1268</v>
      </c>
      <c r="B5" s="3561">
        <v>25</v>
      </c>
      <c r="C5" s="3577"/>
      <c r="D5" s="3597"/>
      <c r="E5" s="131" t="s">
        <v>1269</v>
      </c>
      <c r="F5" s="1754"/>
      <c r="G5" s="1754"/>
      <c r="H5" s="1754"/>
      <c r="I5" s="1370"/>
    </row>
    <row r="6" spans="1:12" ht="12.75">
      <c r="A6" s="3574"/>
      <c r="B6" s="3561"/>
      <c r="C6" s="3578"/>
      <c r="D6" s="3597"/>
      <c r="E6" s="131" t="s">
        <v>1270</v>
      </c>
      <c r="F6" s="1754"/>
      <c r="G6" s="1754"/>
      <c r="H6" s="1754"/>
      <c r="I6" s="1370"/>
    </row>
    <row r="7" spans="1:12" ht="12.75">
      <c r="A7" s="3574"/>
      <c r="B7" s="3561"/>
      <c r="C7" s="3579"/>
      <c r="D7" s="3597"/>
      <c r="E7" s="131" t="s">
        <v>1271</v>
      </c>
      <c r="F7" s="1754"/>
      <c r="G7" s="1754"/>
      <c r="H7" s="1754"/>
      <c r="I7" s="1370"/>
    </row>
    <row r="8" spans="1:12" ht="12.75">
      <c r="A8" s="3574" t="s">
        <v>1272</v>
      </c>
      <c r="B8" s="3561">
        <v>15</v>
      </c>
      <c r="C8" s="3577"/>
      <c r="D8" s="3597"/>
      <c r="E8" s="131" t="s">
        <v>1273</v>
      </c>
      <c r="F8" s="1754"/>
      <c r="G8" s="1754"/>
      <c r="H8" s="1754"/>
      <c r="I8" s="1370"/>
    </row>
    <row r="9" spans="1:12" ht="12.75">
      <c r="A9" s="3574"/>
      <c r="B9" s="3561"/>
      <c r="C9" s="3579"/>
      <c r="D9" s="3597"/>
      <c r="E9" s="131" t="s">
        <v>1274</v>
      </c>
      <c r="F9" s="1754"/>
      <c r="G9" s="1754"/>
      <c r="H9" s="1754"/>
      <c r="I9" s="1370"/>
    </row>
    <row r="10" spans="1:12" ht="12.75">
      <c r="A10" s="3574" t="s">
        <v>1275</v>
      </c>
      <c r="B10" s="3561">
        <v>15</v>
      </c>
      <c r="C10" s="3577"/>
      <c r="D10" s="3597"/>
      <c r="E10" s="131" t="s">
        <v>1276</v>
      </c>
      <c r="F10" s="1754"/>
      <c r="G10" s="1754"/>
      <c r="H10" s="1754"/>
      <c r="I10" s="1370"/>
    </row>
    <row r="11" spans="1:12" ht="12.75">
      <c r="A11" s="3574"/>
      <c r="B11" s="3561"/>
      <c r="C11" s="3579"/>
      <c r="D11" s="3597"/>
      <c r="E11" s="131" t="s">
        <v>1277</v>
      </c>
      <c r="F11" s="1754"/>
      <c r="G11" s="1754"/>
      <c r="H11" s="1754"/>
      <c r="I11" s="1370"/>
    </row>
    <row r="12" spans="1:12" ht="12.75">
      <c r="A12" s="3574" t="s">
        <v>1278</v>
      </c>
      <c r="B12" s="3561">
        <v>15</v>
      </c>
      <c r="C12" s="3577"/>
      <c r="D12" s="3597"/>
      <c r="E12" s="131" t="s">
        <v>1279</v>
      </c>
      <c r="F12" s="1754"/>
      <c r="G12" s="1754"/>
      <c r="H12" s="1754"/>
      <c r="I12" s="1370"/>
    </row>
    <row r="13" spans="1:12" ht="12.75">
      <c r="A13" s="3574"/>
      <c r="B13" s="3561"/>
      <c r="C13" s="3579"/>
      <c r="D13" s="3597"/>
      <c r="E13" s="131" t="s">
        <v>1280</v>
      </c>
      <c r="F13" s="1754"/>
      <c r="G13" s="1754"/>
      <c r="H13" s="1754"/>
      <c r="I13" s="1370"/>
    </row>
    <row r="14" spans="1:12" ht="12.75">
      <c r="A14" s="3574" t="s">
        <v>1281</v>
      </c>
      <c r="B14" s="3561">
        <v>30</v>
      </c>
      <c r="C14" s="3577">
        <v>5</v>
      </c>
      <c r="D14" s="3597">
        <f>10-C14</f>
        <v>5</v>
      </c>
      <c r="E14" s="131" t="s">
        <v>1282</v>
      </c>
      <c r="F14" s="1754"/>
      <c r="G14" s="1754"/>
      <c r="H14" s="1754"/>
      <c r="I14" s="1370"/>
    </row>
    <row r="15" spans="1:12" ht="12.75">
      <c r="A15" s="3574"/>
      <c r="B15" s="3561"/>
      <c r="C15" s="3578"/>
      <c r="D15" s="3597"/>
      <c r="E15" s="131" t="s">
        <v>1283</v>
      </c>
      <c r="F15" s="1754"/>
      <c r="G15" s="1754"/>
      <c r="H15" s="1754"/>
      <c r="I15" s="1370"/>
    </row>
    <row r="16" spans="1:12" ht="12.75">
      <c r="A16" s="3574"/>
      <c r="B16" s="3561"/>
      <c r="C16" s="3579"/>
      <c r="D16" s="3597"/>
      <c r="E16" s="131" t="s">
        <v>1284</v>
      </c>
      <c r="F16" s="1754"/>
      <c r="G16" s="1754"/>
      <c r="H16" s="1754"/>
      <c r="I16" s="1370"/>
    </row>
    <row r="17" spans="1:36" ht="15">
      <c r="A17" s="1755" t="s">
        <v>1285</v>
      </c>
      <c r="B17" s="56"/>
      <c r="C17" s="132">
        <f>SUM(C5:C16)</f>
        <v>5</v>
      </c>
      <c r="D17" s="132">
        <f>SUM(D5:D16)</f>
        <v>5</v>
      </c>
      <c r="E17" s="129"/>
      <c r="F17" s="129"/>
      <c r="G17" s="129"/>
      <c r="H17" s="129"/>
      <c r="I17" s="129"/>
      <c r="K17" s="302"/>
      <c r="L17" s="302" t="s">
        <v>1286</v>
      </c>
      <c r="M17" s="302" t="s">
        <v>1287</v>
      </c>
    </row>
    <row r="18" spans="1:36" ht="31.9" customHeight="1" thickBot="1">
      <c r="A18" s="1756" t="s">
        <v>1288</v>
      </c>
      <c r="B18" s="1757"/>
      <c r="C18" s="133">
        <f>ROUND(C17/SUM(C17:D17),2)</f>
        <v>0.5</v>
      </c>
      <c r="D18" s="133">
        <f>1-C18</f>
        <v>0.5</v>
      </c>
      <c r="E18" s="3584" t="s">
        <v>2131</v>
      </c>
      <c r="F18" s="3585"/>
      <c r="G18" s="3585"/>
      <c r="H18" s="3585"/>
      <c r="I18" s="3585"/>
      <c r="K18" s="302" t="s">
        <v>1289</v>
      </c>
      <c r="L18" s="302">
        <f>IF(C1="",'数据-汇总表'!E3,SUMIF(项目类型,C1,'数据-汇总表'!E17:E26)+SUMIF(项目类型,C1,'数据-汇总表'!I17:I26))</f>
        <v>0</v>
      </c>
      <c r="M18" s="302">
        <f>IF(C1="",'数据-汇总表'!E3,SUMIF(项目类型,C1,'数据-汇总表'!E17:E26))</f>
        <v>0</v>
      </c>
    </row>
    <row r="19" spans="1:36" ht="15">
      <c r="A19" s="1758" t="s">
        <v>1290</v>
      </c>
      <c r="B19" s="1759" t="s">
        <v>1291</v>
      </c>
      <c r="C19" s="134" t="e">
        <f ca="1">SUMIF(INDIRECT("'"&amp;C4&amp;"'"&amp;"!A:A"),结果表!B19,INDIRECT("'"&amp;C4&amp;"'"&amp;"!B:B"))</f>
        <v>#REF!</v>
      </c>
      <c r="D19" s="135" t="e">
        <f ca="1">SUMIF(INDIRECT("'"&amp;D4&amp;"'"&amp;"!A:A"),结果表!B19,INDIRECT("'"&amp;D4&amp;"'"&amp;"!B:B"))</f>
        <v>#REF!</v>
      </c>
      <c r="E19" s="1758" t="s">
        <v>1292</v>
      </c>
      <c r="F19" s="1759" t="s">
        <v>1291</v>
      </c>
      <c r="G19" s="136" t="e">
        <f ca="1">ROUND(C19*$C$18+D19*$D$18,0)</f>
        <v>#REF!</v>
      </c>
      <c r="H19" s="1760"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1"/>
      <c r="B20" s="1023" t="s">
        <v>1295</v>
      </c>
      <c r="C20" s="137" t="e">
        <f ca="1">SUMIF(INDIRECT("'"&amp;C4&amp;"'"&amp;"!A:A"),结果表!B20,INDIRECT("'"&amp;C4&amp;"'"&amp;"!B:B"))</f>
        <v>#REF!</v>
      </c>
      <c r="D20" s="138" t="e">
        <f ca="1">SUMIF(INDIRECT("'"&amp;D4&amp;"'"&amp;"!A:A"),结果表!B20,INDIRECT("'"&amp;D4&amp;"'"&amp;"!B:B"))</f>
        <v>#REF!</v>
      </c>
      <c r="E20" s="1761"/>
      <c r="F20" s="1023" t="s">
        <v>1295</v>
      </c>
      <c r="G20" s="139" t="e">
        <f ca="1">ROUND(C20*$C$18+D20*$D$18,0)</f>
        <v>#REF!</v>
      </c>
      <c r="H20" s="805" t="s">
        <v>1296</v>
      </c>
      <c r="I20" s="129"/>
    </row>
    <row r="21" spans="1:36" ht="15" customHeight="1" thickBot="1">
      <c r="A21" s="825"/>
      <c r="B21" s="1762" t="s">
        <v>1297</v>
      </c>
      <c r="C21" s="716" t="e">
        <f ca="1">ROUND(C19*10000/L19,0)</f>
        <v>#REF!</v>
      </c>
      <c r="D21" s="717" t="e">
        <f ca="1">ROUND(D19*10000/L19,0)</f>
        <v>#REF!</v>
      </c>
      <c r="E21" s="825"/>
      <c r="F21" s="1762" t="s">
        <v>1297</v>
      </c>
      <c r="G21" s="140" t="e">
        <f ca="1">ROUND(G19*10000/L19,0)</f>
        <v>#REF!</v>
      </c>
      <c r="H21" s="1763" t="s">
        <v>1296</v>
      </c>
      <c r="I21" s="129"/>
    </row>
    <row r="22" spans="1:36" ht="15" thickBot="1">
      <c r="A22" s="1685" t="s">
        <v>1298</v>
      </c>
      <c r="B22" s="1764"/>
      <c r="C22" s="1765"/>
      <c r="D22" s="718" t="e">
        <f ca="1">IF(C19&lt;D19,D19/C19-1,C19/D19-1)</f>
        <v>#REF!</v>
      </c>
      <c r="E22" s="129"/>
      <c r="F22" s="129"/>
      <c r="G22" s="129"/>
      <c r="H22" s="129"/>
      <c r="I22" s="129"/>
    </row>
    <row r="23" spans="1:36" ht="13.5" thickBot="1">
      <c r="A23" s="1744"/>
      <c r="B23" s="1744"/>
      <c r="C23" s="1744"/>
      <c r="D23" s="1744"/>
      <c r="E23" s="129"/>
      <c r="F23" s="129"/>
      <c r="G23" s="129"/>
      <c r="H23" s="129"/>
      <c r="I23" s="129"/>
    </row>
    <row r="24" spans="1:36" ht="14.25">
      <c r="A24" s="3568" t="s">
        <v>1299</v>
      </c>
      <c r="B24" s="1759" t="s">
        <v>1291</v>
      </c>
      <c r="C24" s="136">
        <f>IF(B30=0,0,D30)</f>
        <v>0</v>
      </c>
      <c r="D24" s="1766"/>
      <c r="E24" s="129"/>
      <c r="F24" s="129"/>
      <c r="G24" s="129"/>
      <c r="H24" s="129"/>
      <c r="I24" s="129"/>
    </row>
    <row r="25" spans="1:36" ht="14.25">
      <c r="A25" s="3569"/>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1305</v>
      </c>
      <c r="B32" s="1771"/>
      <c r="C32" s="144" t="e">
        <f ca="1">IF(D32="总价",G19-C24,G20-C25)</f>
        <v>#REF!</v>
      </c>
      <c r="D32" s="1772" t="s">
        <v>3395</v>
      </c>
      <c r="E32" s="129"/>
      <c r="F32" s="129"/>
      <c r="G32" s="129"/>
      <c r="H32" s="129"/>
      <c r="I32" s="129"/>
    </row>
    <row r="33" spans="1:15" ht="15">
      <c r="A33" s="783" t="s">
        <v>1306</v>
      </c>
      <c r="B33" s="1773"/>
      <c r="C33" s="1774" t="s">
        <v>3396</v>
      </c>
      <c r="D33" s="1775" t="s">
        <v>3397</v>
      </c>
      <c r="E33" s="1776" t="s">
        <v>1307</v>
      </c>
      <c r="F33" s="1777" t="str">
        <f>IF(D32="楼面单价","取值（单价）","取值（总价）")</f>
        <v>取值（总价）</v>
      </c>
      <c r="G33" s="129"/>
      <c r="H33" s="129"/>
      <c r="I33" s="129"/>
    </row>
    <row r="34" spans="1:15" ht="15">
      <c r="A34" s="1778"/>
      <c r="B34" s="1779" t="s">
        <v>1308</v>
      </c>
      <c r="C34" s="148" t="e">
        <f ca="1">IF(C33="自定义",F34,C32-C35)</f>
        <v>#REF!</v>
      </c>
      <c r="D34" s="858" t="e">
        <f ca="1">IF(C33="自定义",ROUND(C34/C32,3),IF(C33="收益比率",SUMIF(INDIRECT("'"&amp;D33&amp;"'"&amp;"!b:b"),"土地收益比率",INDIRECT("'"&amp;D33&amp;"'"&amp;"!c:c")),SUMIF(INDIRECT("'"&amp;D33&amp;"'"&amp;"!b:b"),"土地成本比率",INDIRECT("'"&amp;D33&amp;"'"&amp;"!c:c"))))</f>
        <v>#DIV/0!</v>
      </c>
      <c r="E34" s="1780" t="s">
        <v>1309</v>
      </c>
      <c r="F34" s="1327"/>
      <c r="G34" s="129"/>
      <c r="H34" s="129"/>
      <c r="I34" s="129"/>
    </row>
    <row r="35" spans="1:15" ht="15.75" thickBot="1">
      <c r="A35" s="1781"/>
      <c r="B35" s="1782"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#DIV/0!</v>
      </c>
      <c r="E35" s="1783" t="s">
        <v>1311</v>
      </c>
      <c r="F35" s="154"/>
      <c r="G35" s="129"/>
      <c r="H35" s="129"/>
      <c r="I35" s="129"/>
    </row>
    <row r="36" spans="1:15" ht="15.75" thickBot="1">
      <c r="A36" s="3588" t="s">
        <v>1312</v>
      </c>
      <c r="B36" s="1784" t="s">
        <v>1313</v>
      </c>
      <c r="C36" s="145"/>
      <c r="D36" s="1785" t="s">
        <v>3398</v>
      </c>
      <c r="E36" s="1786"/>
      <c r="F36" s="1787"/>
      <c r="G36" s="129"/>
      <c r="H36" s="129"/>
      <c r="I36" s="129"/>
    </row>
    <row r="37" spans="1:15" ht="15.75" thickBot="1">
      <c r="A37" s="3589"/>
      <c r="B37" s="1671" t="s">
        <v>1314</v>
      </c>
      <c r="C37" s="147"/>
      <c r="D37" s="1136"/>
      <c r="E37" s="1136"/>
      <c r="F37" s="1787"/>
      <c r="G37" s="129"/>
      <c r="H37" s="129"/>
      <c r="I37" s="129"/>
    </row>
    <row r="38" spans="1:15" ht="15.75" thickBot="1">
      <c r="A38" s="3590"/>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65" t="s">
        <v>1326</v>
      </c>
      <c r="B45" s="3566"/>
      <c r="C45" s="3567"/>
      <c r="D45" s="155" t="e">
        <f ca="1">ROUND(H101*F45,0)</f>
        <v>#REF!</v>
      </c>
      <c r="E45" s="156" t="s">
        <v>1327</v>
      </c>
      <c r="F45" s="157">
        <v>1</v>
      </c>
      <c r="G45" s="158" t="s">
        <v>1328</v>
      </c>
      <c r="H45" s="129"/>
      <c r="I45" s="129"/>
      <c r="J45" s="3643" t="s">
        <v>1329</v>
      </c>
      <c r="K45" s="3643"/>
      <c r="L45" s="3643"/>
      <c r="M45" s="3643"/>
      <c r="N45" s="3643"/>
      <c r="O45" s="3643"/>
    </row>
    <row r="46" spans="1:15" ht="14.25" customHeight="1">
      <c r="A46" s="3562" t="s">
        <v>1330</v>
      </c>
      <c r="B46" s="3563"/>
      <c r="C46" s="3563"/>
      <c r="D46" s="3563"/>
      <c r="E46" s="3563"/>
      <c r="F46" s="3563"/>
      <c r="G46" s="3564"/>
      <c r="H46" s="1803"/>
      <c r="I46" s="159"/>
      <c r="J46" s="2514">
        <v>1</v>
      </c>
      <c r="K46" s="3624" t="s">
        <v>1331</v>
      </c>
      <c r="L46" s="3624"/>
      <c r="M46" s="3644"/>
      <c r="N46" s="3644"/>
      <c r="O46" s="3644"/>
    </row>
    <row r="47" spans="1:15" ht="12" customHeight="1">
      <c r="A47" s="160" t="s">
        <v>1332</v>
      </c>
      <c r="B47" s="161"/>
      <c r="C47" s="162"/>
      <c r="D47" s="1084" t="s">
        <v>1333</v>
      </c>
      <c r="E47" s="302" t="s">
        <v>1334</v>
      </c>
      <c r="F47" s="163" t="s">
        <v>1335</v>
      </c>
      <c r="G47" s="2537" t="s">
        <v>1336</v>
      </c>
      <c r="H47" s="2538"/>
      <c r="I47" s="159"/>
      <c r="J47" s="2514">
        <v>2</v>
      </c>
      <c r="K47" s="3624" t="s">
        <v>1337</v>
      </c>
      <c r="L47" s="3624"/>
      <c r="M47" s="3645">
        <f>'数据-取费表'!B2</f>
        <v>45076</v>
      </c>
      <c r="N47" s="3645"/>
      <c r="O47" s="3645"/>
    </row>
    <row r="48" spans="1:15" ht="25.5">
      <c r="A48" s="3593" t="s">
        <v>1338</v>
      </c>
      <c r="B48" s="3576"/>
      <c r="C48" s="3576"/>
      <c r="D48" s="2320" t="e">
        <f ca="1">IF(H48="情况1",0,IF(H48="情况2",D52,IF(H48="情况3",D53,IF(H48="情况4",D54))))</f>
        <v>#REF!</v>
      </c>
      <c r="E48" s="2330" t="str">
        <f>IF(H48="情况4","(销售额-原购置价)×税（费）率","销售额×税（费）率")</f>
        <v>(销售额-原购置价)×税（费）率</v>
      </c>
      <c r="F48" s="2539">
        <f>IF(H48="情况1","免征",'数据-取费表'!B41)</f>
        <v>5.6000000000000001E-2</v>
      </c>
      <c r="G48" s="2540" t="s">
        <v>1339</v>
      </c>
      <c r="H48" s="2541" t="s">
        <v>3399</v>
      </c>
      <c r="I48" s="1803"/>
      <c r="J48" s="2514">
        <v>3</v>
      </c>
      <c r="K48" s="3624" t="s">
        <v>1340</v>
      </c>
      <c r="L48" s="3624"/>
      <c r="M48" s="3646" t="e">
        <f ca="1">H101</f>
        <v>#REF!</v>
      </c>
      <c r="N48" s="3646"/>
      <c r="O48" s="3646"/>
    </row>
    <row r="49" spans="1:35" ht="25.5" customHeight="1">
      <c r="A49" s="2329" t="s">
        <v>1341</v>
      </c>
      <c r="B49" s="3560" t="s">
        <v>1342</v>
      </c>
      <c r="C49" s="3560"/>
      <c r="D49" s="1587">
        <v>0</v>
      </c>
      <c r="E49" s="324" t="s">
        <v>1343</v>
      </c>
      <c r="F49" s="2420" t="s">
        <v>28</v>
      </c>
      <c r="G49" s="3630"/>
      <c r="H49" s="2306" t="s">
        <v>2134</v>
      </c>
      <c r="I49" s="2307"/>
      <c r="J49" s="2514">
        <v>4</v>
      </c>
      <c r="K49" s="3624" t="str">
        <f>IF(项目基本情况!E8="房地产抵押价值","房地产抵押价值","抵押担保权已注销时的房地产抵押价值")</f>
        <v>抵押担保权已注销时的房地产抵押价值</v>
      </c>
      <c r="L49" s="3624"/>
      <c r="M49" s="3646" t="str">
        <f>IF(项目基本情况!E8="房地产抵押价值",H107,H109)</f>
        <v>——</v>
      </c>
      <c r="N49" s="3646"/>
      <c r="O49" s="3646"/>
    </row>
    <row r="50" spans="1:35" ht="25.5" customHeight="1">
      <c r="A50" s="2542"/>
      <c r="B50" s="3560" t="s">
        <v>1344</v>
      </c>
      <c r="C50" s="3560"/>
      <c r="D50" s="2543"/>
      <c r="E50" s="332"/>
      <c r="F50" s="2420"/>
      <c r="G50" s="3631"/>
      <c r="H50" s="2308" t="s">
        <v>2135</v>
      </c>
      <c r="I50" s="2307"/>
      <c r="J50" s="3643" t="s">
        <v>1345</v>
      </c>
      <c r="K50" s="3643"/>
      <c r="L50" s="3643"/>
      <c r="M50" s="3643"/>
      <c r="N50" s="3643"/>
      <c r="O50" s="3643"/>
    </row>
    <row r="51" spans="1:35" ht="20.45" customHeight="1">
      <c r="A51" s="2544"/>
      <c r="B51" s="3560" t="s">
        <v>1346</v>
      </c>
      <c r="C51" s="3560"/>
      <c r="D51" s="1084"/>
      <c r="E51" s="327"/>
      <c r="F51" s="2420"/>
      <c r="G51" s="3632"/>
      <c r="H51" s="2308" t="s">
        <v>2136</v>
      </c>
      <c r="I51" s="2307"/>
      <c r="J51" s="2515" t="s">
        <v>1347</v>
      </c>
      <c r="K51" s="3624" t="s">
        <v>1348</v>
      </c>
      <c r="L51" s="3624"/>
      <c r="M51" s="2515" t="s">
        <v>1349</v>
      </c>
      <c r="N51" s="2515" t="s">
        <v>1350</v>
      </c>
      <c r="O51" s="2515" t="s">
        <v>1351</v>
      </c>
    </row>
    <row r="52" spans="1:35" ht="24" customHeight="1">
      <c r="A52" s="2331" t="s">
        <v>1352</v>
      </c>
      <c r="B52" s="3560" t="s">
        <v>1353</v>
      </c>
      <c r="C52" s="3560"/>
      <c r="D52" s="1084" t="e">
        <f ca="1">ROUND(D45*'数据-取费表'!B41/(1+'数据-取费表'!C42),0)</f>
        <v>#REF!</v>
      </c>
      <c r="E52" s="2330" t="s">
        <v>1354</v>
      </c>
      <c r="F52" s="2545">
        <f>'数据-取费表'!B41</f>
        <v>5.6000000000000001E-2</v>
      </c>
      <c r="G52" s="2546"/>
      <c r="H52" s="2535"/>
      <c r="I52" s="1804"/>
      <c r="J52" s="2514">
        <v>1</v>
      </c>
      <c r="K52" s="3625" t="s">
        <v>1355</v>
      </c>
      <c r="L52" s="3625"/>
      <c r="M52" s="2516" t="e">
        <f ca="1">D48</f>
        <v>#REF!</v>
      </c>
      <c r="N52" s="2514" t="str">
        <f>E48</f>
        <v>(销售额-原购置价)×税（费）率</v>
      </c>
      <c r="O52" s="2517">
        <f>F48</f>
        <v>5.6000000000000001E-2</v>
      </c>
    </row>
    <row r="53" spans="1:35" ht="12" customHeight="1">
      <c r="A53" s="2331" t="s">
        <v>1356</v>
      </c>
      <c r="B53" s="3586" t="s">
        <v>2279</v>
      </c>
      <c r="C53" s="3587"/>
      <c r="D53" s="1084" t="e">
        <f ca="1">ROUND(D45*'数据-取费表'!B41/(1+'数据-取费表'!C42),0)</f>
        <v>#REF!</v>
      </c>
      <c r="E53" s="2330" t="s">
        <v>1354</v>
      </c>
      <c r="F53" s="2545">
        <f>'数据-取费表'!B41</f>
        <v>5.6000000000000001E-2</v>
      </c>
      <c r="G53" s="2546"/>
      <c r="H53" s="2535"/>
      <c r="I53" s="1804"/>
      <c r="J53" s="2514">
        <v>2</v>
      </c>
      <c r="K53" s="3625" t="s">
        <v>1357</v>
      </c>
      <c r="L53" s="3625"/>
      <c r="M53" s="2516" t="e">
        <f t="shared" ref="M53:O54" ca="1" si="0">D55</f>
        <v>#REF!</v>
      </c>
      <c r="N53" s="2514" t="str">
        <f t="shared" si="0"/>
        <v>销售额×税（费）率</v>
      </c>
      <c r="O53" s="2517">
        <f t="shared" si="0"/>
        <v>5.0000000000000001E-4</v>
      </c>
    </row>
    <row r="54" spans="1:35" ht="12" customHeight="1">
      <c r="A54" s="2331" t="s">
        <v>1358</v>
      </c>
      <c r="B54" s="3586" t="s">
        <v>2280</v>
      </c>
      <c r="C54" s="3587"/>
      <c r="D54" s="1084" t="e">
        <f ca="1">C68</f>
        <v>#REF!</v>
      </c>
      <c r="E54" s="327" t="s">
        <v>1359</v>
      </c>
      <c r="F54" s="2545">
        <f>'数据-取费表'!B41</f>
        <v>5.6000000000000001E-2</v>
      </c>
      <c r="G54" s="2546"/>
      <c r="H54" s="2547"/>
      <c r="I54" s="1804"/>
      <c r="J54" s="2514">
        <v>3</v>
      </c>
      <c r="K54" s="3625" t="s">
        <v>1360</v>
      </c>
      <c r="L54" s="3625"/>
      <c r="M54" s="2516" t="e">
        <f t="shared" ca="1" si="0"/>
        <v>#REF!</v>
      </c>
      <c r="N54" s="2514" t="str">
        <f t="shared" si="0"/>
        <v>增值额×税（费）率</v>
      </c>
      <c r="O54" s="2518" t="str">
        <f t="shared" si="0"/>
        <v>——</v>
      </c>
    </row>
    <row r="55" spans="1:35" ht="24" customHeight="1">
      <c r="A55" s="3575" t="s">
        <v>1361</v>
      </c>
      <c r="B55" s="3576"/>
      <c r="C55" s="3576"/>
      <c r="D55" s="2320" t="e">
        <f ca="1">IF(H55="个人住宅",0,ROUND(D45*I55,0))</f>
        <v>#REF!</v>
      </c>
      <c r="E55" s="2330" t="s">
        <v>1362</v>
      </c>
      <c r="F55" s="2545">
        <f>IF(H55="正常",I55,"免征")</f>
        <v>5.0000000000000001E-4</v>
      </c>
      <c r="G55" s="2546"/>
      <c r="H55" s="2541" t="s">
        <v>3400</v>
      </c>
      <c r="I55" s="165">
        <f>'数据-取费表'!B49</f>
        <v>5.0000000000000001E-4</v>
      </c>
      <c r="J55" s="2514" t="str">
        <f>IF(H59="非个人房产","",4)</f>
        <v/>
      </c>
      <c r="K55" s="3625" t="str">
        <f>IF(H59="非个人房产","——","个人所得税")</f>
        <v>——</v>
      </c>
      <c r="L55" s="3625"/>
      <c r="M55" s="2519" t="str">
        <f>D59</f>
        <v>——</v>
      </c>
      <c r="N55" s="2036" t="str">
        <f>E59</f>
        <v>——</v>
      </c>
      <c r="O55" s="2520" t="str">
        <f>F59</f>
        <v>——</v>
      </c>
    </row>
    <row r="56" spans="1:35" ht="24.75">
      <c r="A56" s="3575" t="s">
        <v>1363</v>
      </c>
      <c r="B56" s="3576"/>
      <c r="C56" s="3576"/>
      <c r="D56" s="2320" t="e">
        <f ca="1">IF(H56="个人住宅",D57,D58)</f>
        <v>#REF!</v>
      </c>
      <c r="E56" s="2330" t="s">
        <v>1364</v>
      </c>
      <c r="F56" s="2545" t="str">
        <f>IF(H56="正常",F58,"免征")</f>
        <v>——</v>
      </c>
      <c r="G56" s="2548" t="s">
        <v>1365</v>
      </c>
      <c r="H56" s="2549" t="s">
        <v>3400</v>
      </c>
      <c r="I56" s="1805"/>
      <c r="J56" s="2514" t="str">
        <f>IF(项目基本情况!K6="上海银行",IF(J55="",4,J55+1),"")</f>
        <v/>
      </c>
      <c r="K56" s="3648" t="str">
        <f>IF(项目基本情况!K6="上海银行","其他处置费用","")</f>
        <v/>
      </c>
      <c r="L56" s="3649"/>
      <c r="M56" s="2516" t="str">
        <f>IF(项目基本情况!K6="上海银行",M69,"")</f>
        <v/>
      </c>
      <c r="N56" s="3648" t="str">
        <f>IF(项目基本情况!K6="上海银行","包含处置中涉及的律师、诉讼、拍卖、评估等费用","")</f>
        <v/>
      </c>
      <c r="O56" s="3651"/>
    </row>
    <row r="57" spans="1:35" ht="12.75">
      <c r="A57" s="2331" t="s">
        <v>1341</v>
      </c>
      <c r="B57" s="3586" t="s">
        <v>1366</v>
      </c>
      <c r="C57" s="3587"/>
      <c r="D57" s="1587">
        <v>0</v>
      </c>
      <c r="E57" s="324" t="s">
        <v>1343</v>
      </c>
      <c r="F57" s="302"/>
      <c r="G57" s="2546"/>
      <c r="H57" s="2550"/>
      <c r="I57" s="1805"/>
      <c r="J57" s="3625">
        <f>IF(AND(J55="",J56=""),4,IF(项目基本情况!K6="上海银行",结果表!J56+1,结果表!J55+1))</f>
        <v>4</v>
      </c>
      <c r="K57" s="3625" t="s">
        <v>1367</v>
      </c>
      <c r="L57" s="2521" t="s">
        <v>1368</v>
      </c>
      <c r="M57" s="2522"/>
      <c r="N57" s="2523">
        <f ca="1">SUMIF(M52:M56,"&lt;9e307")</f>
        <v>0</v>
      </c>
      <c r="O57" s="2524"/>
      <c r="P57" s="2681" t="e">
        <f ca="1">N57/M49</f>
        <v>#VALUE!</v>
      </c>
    </row>
    <row r="58" spans="1:35" ht="24.75">
      <c r="A58" s="2331" t="s">
        <v>1352</v>
      </c>
      <c r="B58" s="3586" t="s">
        <v>1369</v>
      </c>
      <c r="C58" s="3560"/>
      <c r="D58" s="2320" t="e">
        <f ca="1">IF(H58="转让取得",C81,C97)</f>
        <v>#REF!</v>
      </c>
      <c r="E58" s="2330" t="s">
        <v>1364</v>
      </c>
      <c r="F58" s="302" t="s">
        <v>28</v>
      </c>
      <c r="G58" s="2546"/>
      <c r="H58" s="2549" t="s">
        <v>3401</v>
      </c>
      <c r="I58" s="1805"/>
      <c r="J58" s="3625"/>
      <c r="K58" s="3625"/>
      <c r="L58" s="2521" t="s">
        <v>1370</v>
      </c>
      <c r="M58" s="2525"/>
      <c r="N58" s="2526" t="str">
        <f ca="1">NUMBERSTRING(INT(N57*10000),2)&amp;"元整"</f>
        <v>零元整</v>
      </c>
      <c r="O58" s="2527"/>
    </row>
    <row r="59" spans="1:35" ht="24.75" thickBot="1">
      <c r="A59" s="3628" t="s">
        <v>1371</v>
      </c>
      <c r="B59" s="3629"/>
      <c r="C59" s="3629"/>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1365</v>
      </c>
      <c r="H59" s="2310" t="s">
        <v>3402</v>
      </c>
      <c r="I59" s="2309" t="s">
        <v>2137</v>
      </c>
      <c r="J59" s="3626">
        <f>J57+1</f>
        <v>5</v>
      </c>
      <c r="K59" s="3625" t="s">
        <v>1372</v>
      </c>
      <c r="L59" s="2514" t="s">
        <v>1368</v>
      </c>
      <c r="M59" s="2528"/>
      <c r="N59" s="2529" t="e">
        <f ca="1">M49-N57</f>
        <v>#VALUE!</v>
      </c>
      <c r="O59" s="2530"/>
    </row>
    <row r="60" spans="1:35" ht="12" customHeight="1">
      <c r="A60" s="1806"/>
      <c r="B60" s="1744"/>
      <c r="C60" s="1744"/>
      <c r="D60" s="1744"/>
      <c r="E60" s="1575"/>
      <c r="F60" s="1805"/>
      <c r="G60" s="1805"/>
      <c r="H60" s="1807"/>
      <c r="I60" s="129"/>
      <c r="J60" s="3627"/>
      <c r="K60" s="3625"/>
      <c r="L60" s="2521" t="s">
        <v>1370</v>
      </c>
      <c r="M60" s="2525"/>
      <c r="N60" s="2526" t="e">
        <f ca="1">NUMBERSTRING(INT(N59*10000),2)&amp;"元整"</f>
        <v>#VALUE!</v>
      </c>
      <c r="O60" s="2527"/>
    </row>
    <row r="61" spans="1:35" ht="13.5" thickBot="1">
      <c r="A61" s="3573" t="s">
        <v>1373</v>
      </c>
      <c r="B61" s="3573"/>
      <c r="C61" s="3573"/>
      <c r="D61" s="3573"/>
      <c r="E61" s="3573"/>
      <c r="F61" s="1805"/>
      <c r="G61" s="1805"/>
      <c r="H61" s="1807"/>
      <c r="I61" s="129"/>
      <c r="J61" s="2514">
        <f>J59+1</f>
        <v>6</v>
      </c>
      <c r="K61" s="3625" t="s">
        <v>1374</v>
      </c>
      <c r="L61" s="3625"/>
      <c r="M61" s="2531"/>
      <c r="N61" s="2532" t="e">
        <f ca="1">ROUND(N59*10000/'数据-汇总表'!E3,0)</f>
        <v>#VALUE!</v>
      </c>
      <c r="O61" s="2533"/>
    </row>
    <row r="62" spans="1:35" ht="12.75">
      <c r="A62" s="3591" t="s">
        <v>1375</v>
      </c>
      <c r="B62" s="3592"/>
      <c r="C62" s="2017"/>
      <c r="D62" s="2017" t="s">
        <v>1376</v>
      </c>
      <c r="E62" s="166" t="s">
        <v>1377</v>
      </c>
      <c r="F62" s="1805"/>
      <c r="G62" s="1805"/>
      <c r="H62" s="1807"/>
      <c r="I62" s="129"/>
    </row>
    <row r="63" spans="1:35" ht="12.75">
      <c r="A63" s="173" t="s">
        <v>330</v>
      </c>
      <c r="B63" s="167" t="s">
        <v>1378</v>
      </c>
      <c r="C63" s="2555" t="e">
        <f ca="1">ROUND((C64+C65)/(1+'数据-取费表'!C42),0)</f>
        <v>#REF!</v>
      </c>
      <c r="D63" s="167"/>
      <c r="E63" s="168"/>
      <c r="F63" s="1805"/>
      <c r="G63" s="1805"/>
      <c r="H63" s="1807"/>
      <c r="I63" s="129"/>
      <c r="J63" s="3650" t="s">
        <v>1379</v>
      </c>
      <c r="K63" s="1329" t="s">
        <v>1380</v>
      </c>
      <c r="L63" s="1329" t="e">
        <f>IF(M49&gt;10000,M49*0.5%,IF(AND(M49&gt;1000,M49&lt;=10000),M49*1%,IF(AND(M49&gt;100,M49&lt;=1000),M49*3%,IF(AND(M49&gt;10,M49&lt;=100),M49*5%,M49*8%))))</f>
        <v>#VALUE!</v>
      </c>
      <c r="M63" s="302" t="e">
        <f>ROUND(L63,1)</f>
        <v>#VALUE!</v>
      </c>
      <c r="N63" s="2534"/>
      <c r="Z63" s="1749"/>
      <c r="AI63" s="1750"/>
    </row>
    <row r="64" spans="1:35" ht="14.25" customHeight="1">
      <c r="A64" s="169" t="s">
        <v>325</v>
      </c>
      <c r="B64" s="170" t="s">
        <v>1381</v>
      </c>
      <c r="C64" s="2556" t="e">
        <f ca="1">D45</f>
        <v>#REF!</v>
      </c>
      <c r="D64" s="170" t="s">
        <v>26</v>
      </c>
      <c r="E64" s="172"/>
      <c r="F64" s="1805"/>
      <c r="G64" s="1805"/>
      <c r="H64" s="1807"/>
      <c r="I64" s="129"/>
      <c r="J64" s="3650"/>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5" t="s">
        <v>1383</v>
      </c>
      <c r="Z64" s="1749"/>
      <c r="AI64" s="1750"/>
    </row>
    <row r="65" spans="1:35" ht="14.25" customHeight="1">
      <c r="A65" s="169" t="s">
        <v>326</v>
      </c>
      <c r="B65" s="170" t="s">
        <v>1384</v>
      </c>
      <c r="C65" s="2557"/>
      <c r="D65" s="170"/>
      <c r="E65" s="172"/>
      <c r="F65" s="1805"/>
      <c r="G65" s="1805"/>
      <c r="H65" s="1807"/>
      <c r="I65" s="129"/>
      <c r="J65" s="3650"/>
      <c r="K65" s="1329" t="s">
        <v>1385</v>
      </c>
      <c r="L65" s="1329" t="e">
        <f>IF(M49&gt;1000,M49*0.1%,IF(AND(M49&gt;500,M49&lt;=1000),M49*0.5%,IF(AND(M49&gt;50,M49&lt;=500),M49*1%,IF(AND(M49&gt;1,M49&lt;=50),M49*1.5%))))</f>
        <v>#VALUE!</v>
      </c>
      <c r="M65" s="302" t="e">
        <f t="shared" si="1"/>
        <v>#VALUE!</v>
      </c>
      <c r="N65" s="2535" t="s">
        <v>1383</v>
      </c>
      <c r="Z65" s="1749"/>
      <c r="AI65" s="1750"/>
    </row>
    <row r="66" spans="1:35" ht="14.25" customHeight="1">
      <c r="A66" s="173" t="s">
        <v>327</v>
      </c>
      <c r="B66" s="174" t="s">
        <v>1386</v>
      </c>
      <c r="C66" s="2558">
        <f>C75/1.05</f>
        <v>0</v>
      </c>
      <c r="D66" s="174" t="s">
        <v>26</v>
      </c>
      <c r="E66" s="1335" t="s">
        <v>671</v>
      </c>
      <c r="F66" s="1805"/>
      <c r="G66" s="1805"/>
      <c r="H66" s="1807"/>
      <c r="I66" s="129"/>
      <c r="J66" s="3650"/>
      <c r="K66" s="1329" t="s">
        <v>1387</v>
      </c>
      <c r="L66" s="1329" t="e">
        <f>M49*0.5%</f>
        <v>#VALUE!</v>
      </c>
      <c r="M66" s="302" t="e">
        <f>IF(L66&gt;0.5,0.5,ROUND(L66,0))</f>
        <v>#VALUE!</v>
      </c>
      <c r="N66" s="2535" t="s">
        <v>1388</v>
      </c>
      <c r="Z66" s="1749"/>
      <c r="AI66" s="1750"/>
    </row>
    <row r="67" spans="1:35" ht="14.25" customHeight="1">
      <c r="A67" s="173" t="s">
        <v>328</v>
      </c>
      <c r="B67" s="174" t="s">
        <v>1389</v>
      </c>
      <c r="C67" s="2559" t="e">
        <f ca="1">C63-C66</f>
        <v>#REF!</v>
      </c>
      <c r="D67" s="170" t="s">
        <v>26</v>
      </c>
      <c r="E67" s="172"/>
      <c r="F67" s="1805"/>
      <c r="G67" s="1805"/>
      <c r="H67" s="1807"/>
      <c r="I67" s="129"/>
      <c r="J67" s="3650"/>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4"/>
      <c r="Z67" s="1749"/>
      <c r="AI67" s="1750"/>
    </row>
    <row r="68" spans="1:35" ht="14.25" customHeight="1" thickBot="1">
      <c r="A68" s="176" t="s">
        <v>329</v>
      </c>
      <c r="B68" s="177" t="s">
        <v>1391</v>
      </c>
      <c r="C68" s="2560" t="e">
        <f ca="1">IF(C67&lt;=0,0,ROUND(C67*D68,0))</f>
        <v>#REF!</v>
      </c>
      <c r="D68" s="2561">
        <f>'数据-取费表'!B41</f>
        <v>5.6000000000000001E-2</v>
      </c>
      <c r="E68" s="178"/>
      <c r="F68" s="1805"/>
      <c r="G68" s="1805"/>
      <c r="H68" s="1807"/>
      <c r="I68" s="129"/>
      <c r="J68" s="3650"/>
      <c r="K68" s="1329" t="s">
        <v>1392</v>
      </c>
      <c r="L68" s="1329" t="e">
        <f>IF(M49&gt;10000,M49*0.5%,IF(AND(M49&gt;5000,M49&lt;=10000),M49*1%,IF(AND(M49&gt;1000,M49&lt;=5000),M49*2%,IF(AND(M49&gt;200,M49&lt;=1000),M49*3%,M49*5%))))</f>
        <v>#VALUE!</v>
      </c>
      <c r="M68" s="302" t="e">
        <f>ROUND(L68,1)</f>
        <v>#VALUE!</v>
      </c>
      <c r="N68" s="2534"/>
      <c r="Z68" s="1749"/>
      <c r="AI68" s="1750"/>
    </row>
    <row r="69" spans="1:35" s="1769" customFormat="1" ht="16.5" customHeight="1">
      <c r="A69" s="1808"/>
      <c r="B69" s="1809"/>
      <c r="C69" s="1810"/>
      <c r="D69" s="1811"/>
      <c r="E69" s="1812"/>
      <c r="F69" s="1575"/>
      <c r="G69" s="1575"/>
      <c r="H69" s="1574"/>
      <c r="I69" s="1744"/>
      <c r="J69" s="3650"/>
      <c r="K69" s="1329" t="s">
        <v>1393</v>
      </c>
      <c r="L69" s="1329"/>
      <c r="M69" s="302" t="e">
        <f>ROUND(SUM(M63:M68),0)</f>
        <v>#VALUE!</v>
      </c>
      <c r="N69" s="2536" t="e">
        <f>M69/M49</f>
        <v>#VALUE!</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12" t="s">
        <v>1394</v>
      </c>
      <c r="B70" s="3613"/>
      <c r="C70" s="3613"/>
      <c r="D70" s="3613"/>
      <c r="E70" s="3613"/>
      <c r="F70" s="3613"/>
      <c r="G70" s="3613"/>
      <c r="H70" s="3613"/>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1" t="s">
        <v>1375</v>
      </c>
      <c r="B71" s="3592"/>
      <c r="C71" s="2017"/>
      <c r="D71" s="2017" t="s">
        <v>1376</v>
      </c>
      <c r="E71" s="179" t="s">
        <v>1377</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59" t="e">
        <f ca="1">ROUND(D45/(1+'数据-取费表'!C42),0)</f>
        <v>#REF!</v>
      </c>
      <c r="D72" s="170" t="s">
        <v>26</v>
      </c>
      <c r="E72" s="2327"/>
      <c r="F72" s="2326"/>
      <c r="G72" s="2326"/>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59" t="e">
        <f ca="1">C74+C78</f>
        <v>#REF!</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2"/>
      <c r="D75" s="170" t="s">
        <v>26</v>
      </c>
      <c r="E75" s="184" t="s">
        <v>1399</v>
      </c>
      <c r="F75" s="2563" t="s">
        <v>3403</v>
      </c>
      <c r="G75" s="184" t="s">
        <v>1400</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5">
        <v>0.05</v>
      </c>
      <c r="E76" s="3586" t="s">
        <v>1402</v>
      </c>
      <c r="F76" s="3560"/>
      <c r="G76" s="3560"/>
      <c r="H76" s="3611"/>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66">
        <f>'数据-取费表'!B48+'数据-取费表'!B49</f>
        <v>3.0499999999999999E-2</v>
      </c>
      <c r="E77" s="2320" t="s">
        <v>1404</v>
      </c>
      <c r="F77" s="186"/>
      <c r="G77" s="1819" t="s">
        <v>3404</v>
      </c>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67" t="e">
        <f ca="1">ROUND(D45*D78/(1+'数据-取费表'!C42),0)</f>
        <v>#REF!</v>
      </c>
      <c r="D78" s="2568">
        <f>'数据-取费表'!B43</f>
        <v>6.000000000000001E-3</v>
      </c>
      <c r="E78" s="3570" t="s">
        <v>1406</v>
      </c>
      <c r="F78" s="3571"/>
      <c r="G78" s="3571"/>
      <c r="H78" s="3580"/>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59" t="e">
        <f ca="1">C72-C73</f>
        <v>#REF!</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69"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0" t="e">
        <f ca="1">ROUND(IF(C79&lt;=0,0,IF(C80&gt;=200%,C79*60%-C73*35%,IF(C80&gt;=100%,C79*50%-C73*15%,IF(C80&gt;=50%,C79*40%-C73*5%,IF(C80&lt;50%,C79*30%,0))))),0)</f>
        <v>#REF!</v>
      </c>
      <c r="D81" s="2571"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2" t="s">
        <v>1410</v>
      </c>
      <c r="B83" s="3613"/>
      <c r="C83" s="3613"/>
      <c r="D83" s="3613"/>
      <c r="E83" s="3613"/>
      <c r="F83" s="3613"/>
      <c r="G83" s="3613"/>
      <c r="H83" s="3613"/>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1" t="s">
        <v>1375</v>
      </c>
      <c r="B84" s="3592"/>
      <c r="C84" s="2017"/>
      <c r="D84" s="201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59" t="e">
        <f ca="1">ROUND(D45/(1+'数据-取费表'!C42),0)</f>
        <v>#REF!</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59" t="e">
        <f ca="1">IF(H88="仅含出让金",C87+C90+C91+C92+C93+C94,C87+C91+C92+C93+C94)</f>
        <v>#REF!</v>
      </c>
      <c r="D86" s="2572"/>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67">
        <f>C88+C89</f>
        <v>0</v>
      </c>
      <c r="D87" s="2568"/>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3"/>
      <c r="D88" s="2568"/>
      <c r="E88" s="193" t="s">
        <v>1413</v>
      </c>
      <c r="F88" s="2323"/>
      <c r="G88" s="194" t="s">
        <v>1414</v>
      </c>
      <c r="H88" s="1821" t="s">
        <v>3405</v>
      </c>
      <c r="I88" s="1818"/>
      <c r="J88" s="2512" t="s">
        <v>2276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67">
        <f>ROUND(C88*D89,0)</f>
        <v>0</v>
      </c>
      <c r="D89" s="2568">
        <f>'数据-取费表'!B48+'数据-取费表'!B49</f>
        <v>3.0499999999999999E-2</v>
      </c>
      <c r="E89" s="193"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3"/>
      <c r="D90" s="2568"/>
      <c r="E90" s="193" t="str">
        <f>IF(H88="-","土地取得成本中已包含该笔费用"," ")</f>
        <v xml:space="preserve"> </v>
      </c>
      <c r="F90" s="2323"/>
      <c r="G90" s="3652" t="s">
        <v>2129</v>
      </c>
      <c r="H90" s="3653"/>
      <c r="I90" s="1818"/>
      <c r="J90" s="2512" t="s">
        <v>2277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67">
        <f ca="1">IF(H91="——",成本法!C33,I91)</f>
        <v>0</v>
      </c>
      <c r="D91" s="2568"/>
      <c r="E91" s="3570" t="s">
        <v>1419</v>
      </c>
      <c r="F91" s="3571"/>
      <c r="G91" s="3571"/>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67">
        <f ca="1">ROUND((C87+C90+C91)*D92,0)</f>
        <v>0</v>
      </c>
      <c r="D92" s="2574"/>
      <c r="E92" s="3570" t="s">
        <v>1422</v>
      </c>
      <c r="F92" s="3571"/>
      <c r="G92" s="3571"/>
      <c r="H92" s="3580"/>
      <c r="I92" s="1818"/>
      <c r="J92" s="2513" t="s">
        <v>2278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67" t="e">
        <f ca="1">ROUND(D45*D93/(1+'数据-取费表'!C42),0)</f>
        <v>#REF!</v>
      </c>
      <c r="D93" s="2568">
        <f>'数据-取费表'!B43</f>
        <v>6.000000000000001E-3</v>
      </c>
      <c r="E93" s="3570" t="s">
        <v>1406</v>
      </c>
      <c r="F93" s="3571"/>
      <c r="G93" s="3571"/>
      <c r="H93" s="3580"/>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3">
        <f ca="1">ROUND((C87+C90+C91)*D94,0)</f>
        <v>0</v>
      </c>
      <c r="D94" s="2568">
        <v>0.2</v>
      </c>
      <c r="E94" s="3581" t="s">
        <v>1426</v>
      </c>
      <c r="F94" s="3582"/>
      <c r="G94" s="3582"/>
      <c r="H94" s="358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59" t="e">
        <f ca="1">ROUND(C85-C86,0)</f>
        <v>#REF!</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69"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0" t="e">
        <f ca="1">ROUND(IF(C95&lt;=0,0,IF(C96&gt;=200%,C95*60%-C86*35%,IF(C96&gt;=100%,C95*50%-C86*15%,IF(C96&gt;=50%,C95*40%-C86*5%,IF(C96&lt;50%,C95*30%,0))))),0)</f>
        <v>#REF!</v>
      </c>
      <c r="D97" s="2571"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54" t="s">
        <v>1428</v>
      </c>
      <c r="B100" s="3555"/>
      <c r="C100" s="3555"/>
      <c r="D100" s="3572"/>
      <c r="E100" s="3555" t="s">
        <v>1429</v>
      </c>
      <c r="F100" s="3555"/>
      <c r="G100" s="3555"/>
      <c r="H100" s="3572"/>
      <c r="I100" s="129"/>
    </row>
    <row r="101" spans="1:35" ht="18.75" customHeight="1">
      <c r="A101" s="3633" t="s">
        <v>1430</v>
      </c>
      <c r="B101" s="3634"/>
      <c r="C101" s="2576">
        <f>C4</f>
        <v>0</v>
      </c>
      <c r="D101" s="2577">
        <f>D4</f>
        <v>0</v>
      </c>
      <c r="E101" s="3647" t="s">
        <v>1431</v>
      </c>
      <c r="F101" s="3604"/>
      <c r="G101" s="1824" t="s">
        <v>1432</v>
      </c>
      <c r="H101" s="2586" t="e">
        <f ca="1">H118</f>
        <v>#REF!</v>
      </c>
      <c r="I101" s="129"/>
    </row>
    <row r="102" spans="1:35" ht="18.75" customHeight="1">
      <c r="A102" s="3606" t="s">
        <v>1433</v>
      </c>
      <c r="B102" s="2575" t="s">
        <v>1432</v>
      </c>
      <c r="C102" s="2576" t="e">
        <f ca="1">IF(D32="楼面单价",ROUND(C19,0),C19)</f>
        <v>#REF!</v>
      </c>
      <c r="D102" s="2577" t="e">
        <f ca="1">IF(D32="楼面单价",ROUND(D19,0),D19)</f>
        <v>#REF!</v>
      </c>
      <c r="E102" s="3647"/>
      <c r="F102" s="3604"/>
      <c r="G102" s="1824" t="s">
        <v>1434</v>
      </c>
      <c r="H102" s="2546" t="e">
        <f ca="1">I118</f>
        <v>#REF!</v>
      </c>
      <c r="I102" s="129"/>
    </row>
    <row r="103" spans="1:35" ht="42.75" customHeight="1">
      <c r="A103" s="3606"/>
      <c r="B103" s="2575" t="s">
        <v>1434</v>
      </c>
      <c r="C103" s="2578" t="e">
        <f ca="1">C20</f>
        <v>#REF!</v>
      </c>
      <c r="D103" s="2579" t="e">
        <f ca="1">D20</f>
        <v>#REF!</v>
      </c>
      <c r="E103" s="3641" t="s">
        <v>1435</v>
      </c>
      <c r="F103" s="3642"/>
      <c r="G103" s="1825" t="s">
        <v>1436</v>
      </c>
      <c r="H103" s="2586">
        <f>IF(D36="正常操作",H104+H105+H106,H105+H106)</f>
        <v>0</v>
      </c>
      <c r="I103" s="129"/>
    </row>
    <row r="104" spans="1:35" ht="18.75" customHeight="1">
      <c r="A104" s="3606" t="s">
        <v>1437</v>
      </c>
      <c r="B104" s="2580" t="s">
        <v>1432</v>
      </c>
      <c r="C104" s="2581" t="e">
        <f ca="1">H118</f>
        <v>#REF!</v>
      </c>
      <c r="D104" s="2582"/>
      <c r="E104" s="1671" t="s">
        <v>1438</v>
      </c>
      <c r="F104" s="1663"/>
      <c r="G104" s="1825" t="s">
        <v>1436</v>
      </c>
      <c r="H104" s="2587">
        <f>IF(D36="同一抵押权人同一抵押物续贷",C36&amp;"（续贷，未扣减，详见特别提示）",C36)</f>
        <v>0</v>
      </c>
      <c r="I104" s="129"/>
    </row>
    <row r="105" spans="1:35" ht="18.75" customHeight="1" thickBot="1">
      <c r="A105" s="3607"/>
      <c r="B105" s="2583" t="s">
        <v>1434</v>
      </c>
      <c r="C105" s="2584" t="e">
        <f ca="1">I118</f>
        <v>#REF!</v>
      </c>
      <c r="D105" s="2585"/>
      <c r="E105" s="1671" t="s">
        <v>1439</v>
      </c>
      <c r="F105" s="1663"/>
      <c r="G105" s="1825" t="s">
        <v>1436</v>
      </c>
      <c r="H105" s="2588">
        <f>C37</f>
        <v>0</v>
      </c>
      <c r="I105" s="129"/>
    </row>
    <row r="106" spans="1:35" ht="18.75" customHeight="1">
      <c r="A106" s="1744" t="s">
        <v>1440</v>
      </c>
      <c r="B106" s="1744"/>
      <c r="C106" s="1744"/>
      <c r="D106" s="1744"/>
      <c r="E106" s="1826" t="s">
        <v>1441</v>
      </c>
      <c r="F106" s="1663"/>
      <c r="G106" s="1825" t="s">
        <v>1436</v>
      </c>
      <c r="H106" s="2588">
        <f>C38</f>
        <v>0</v>
      </c>
      <c r="I106" s="129"/>
    </row>
    <row r="107" spans="1:35" ht="18.75" customHeight="1">
      <c r="A107" s="129"/>
      <c r="B107" s="129"/>
      <c r="C107" s="129"/>
      <c r="D107" s="129"/>
      <c r="E107" s="3603" t="str">
        <f>IF(项目基本情况!E8="已注销","——","3.房地产抵押价值")</f>
        <v>3.房地产抵押价值</v>
      </c>
      <c r="F107" s="3604"/>
      <c r="G107" s="1824" t="s">
        <v>1432</v>
      </c>
      <c r="H107" s="2586" t="e">
        <f ca="1">IF(E107="——","——",H101-H103)</f>
        <v>#REF!</v>
      </c>
      <c r="I107" s="129"/>
    </row>
    <row r="108" spans="1:35" ht="18.75" customHeight="1">
      <c r="A108" s="129"/>
      <c r="B108" s="129"/>
      <c r="C108" s="129"/>
      <c r="D108" s="129"/>
      <c r="E108" s="3603"/>
      <c r="F108" s="3604"/>
      <c r="G108" s="1824" t="s">
        <v>1434</v>
      </c>
      <c r="H108" s="2546" t="e">
        <f ca="1">IF(H107=H101,H102,ROUND(H107*10000/'数据-汇总表'!E3,0))</f>
        <v>#REF!</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4" t="s">
        <v>1432</v>
      </c>
      <c r="H109" s="2589" t="str">
        <f>IF(E109="——","——",H101-H105-H106)</f>
        <v>——</v>
      </c>
      <c r="I109" s="129"/>
    </row>
    <row r="110" spans="1:35" ht="18.75" customHeight="1">
      <c r="A110" s="129"/>
      <c r="B110" s="129"/>
      <c r="C110" s="129"/>
      <c r="D110" s="129"/>
      <c r="E110" s="3603"/>
      <c r="F110" s="3604"/>
      <c r="G110" s="1824" t="s">
        <v>1434</v>
      </c>
      <c r="H110" s="2546"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v>
      </c>
      <c r="F111" s="3605"/>
      <c r="G111" s="1824" t="s">
        <v>1432</v>
      </c>
      <c r="H111" s="2586" t="str">
        <f>IF(E111="——","——",N59)</f>
        <v>——</v>
      </c>
      <c r="I111" s="129"/>
    </row>
    <row r="112" spans="1:35" ht="18.75" customHeight="1" thickBot="1">
      <c r="A112" s="129"/>
      <c r="B112" s="129"/>
      <c r="C112" s="129"/>
      <c r="D112" s="129"/>
      <c r="E112" s="3636"/>
      <c r="F112" s="3637"/>
      <c r="G112" s="1827" t="s">
        <v>1434</v>
      </c>
      <c r="H112" s="2590" t="str">
        <f>IF(E111="——","——",N61)</f>
        <v>——</v>
      </c>
      <c r="I112" s="129"/>
    </row>
    <row r="113" spans="1:27" ht="18.75" customHeight="1">
      <c r="A113" s="129"/>
      <c r="B113" s="129"/>
      <c r="C113" s="129"/>
      <c r="D113" s="129"/>
      <c r="E113" s="3608" t="s">
        <v>1440</v>
      </c>
      <c r="F113" s="3608"/>
      <c r="G113" s="3608"/>
      <c r="H113" s="3608"/>
      <c r="I113" s="129"/>
    </row>
    <row r="114" spans="1:27" ht="3.75" customHeight="1">
      <c r="A114" s="1744"/>
      <c r="B114" s="1744"/>
      <c r="C114" s="1744"/>
      <c r="D114" s="1744"/>
      <c r="E114" s="1806"/>
      <c r="F114" s="1806"/>
      <c r="G114" s="1806"/>
      <c r="H114" s="1806"/>
      <c r="I114" s="1744"/>
    </row>
    <row r="115" spans="1:27" ht="18.75" customHeight="1">
      <c r="A115" s="3618" t="s">
        <v>1442</v>
      </c>
      <c r="B115" s="3619"/>
      <c r="C115" s="3619"/>
      <c r="D115" s="3619"/>
      <c r="E115" s="3619"/>
      <c r="F115" s="3619"/>
      <c r="G115" s="3619"/>
      <c r="H115" s="3619"/>
      <c r="I115" s="3620"/>
    </row>
    <row r="116" spans="1:27" ht="27" customHeight="1">
      <c r="A116" s="3574" t="s">
        <v>1443</v>
      </c>
      <c r="B116" s="3609" t="s">
        <v>1444</v>
      </c>
      <c r="C116" s="3609" t="s">
        <v>1445</v>
      </c>
      <c r="D116" s="3622" t="s">
        <v>1446</v>
      </c>
      <c r="E116" s="3623"/>
      <c r="F116" s="3617" t="s">
        <v>1447</v>
      </c>
      <c r="G116" s="3617"/>
      <c r="H116" s="3574" t="s">
        <v>1448</v>
      </c>
      <c r="I116" s="3574"/>
    </row>
    <row r="117" spans="1:27" ht="18.75" customHeight="1">
      <c r="A117" s="3574"/>
      <c r="B117" s="3610"/>
      <c r="C117" s="3610"/>
      <c r="D117" s="2325" t="s">
        <v>1449</v>
      </c>
      <c r="E117" s="2325" t="s">
        <v>1450</v>
      </c>
      <c r="F117" s="2325" t="s">
        <v>1449</v>
      </c>
      <c r="G117" s="2325" t="s">
        <v>1451</v>
      </c>
      <c r="H117" s="2325" t="s">
        <v>1449</v>
      </c>
      <c r="I117" s="2325" t="s">
        <v>1451</v>
      </c>
    </row>
    <row r="118" spans="1:27" ht="24.75" customHeight="1">
      <c r="A118" s="2591" t="str">
        <f>项目基本情况!S2</f>
        <v>北京市房地产</v>
      </c>
      <c r="B118" s="2325">
        <f>M18</f>
        <v>0</v>
      </c>
      <c r="C118" s="2325" t="e">
        <f>M19</f>
        <v>#DIV/0!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74" t="s">
        <v>1452</v>
      </c>
      <c r="B119" s="3574"/>
      <c r="C119" s="3574"/>
      <c r="D119" s="3614" t="e">
        <f ca="1">NUMBERSTRING(INT(D118*10000),2)&amp;"元整"</f>
        <v>#REF!</v>
      </c>
      <c r="E119" s="3616"/>
      <c r="F119" s="3614" t="e">
        <f ca="1">NUMBERSTRING(INT(F118*10000),2)&amp;"元整"</f>
        <v>#REF!</v>
      </c>
      <c r="G119" s="3616"/>
      <c r="H119" s="3614" t="e">
        <f ca="1">NUMBERSTRING(INT(H118*10000),2)&amp;"元整"</f>
        <v>#REF!</v>
      </c>
      <c r="I119" s="3616"/>
    </row>
    <row r="120" spans="1:27" ht="18.75" customHeight="1">
      <c r="A120" s="3638" t="str">
        <f>IF(项目基本情况!B9="房地产市场价值","",MID(E103,3,LEN(E103)-2))</f>
        <v/>
      </c>
      <c r="B120" s="3639"/>
      <c r="C120" s="3640"/>
      <c r="D120" s="3638">
        <f>H103</f>
        <v>0</v>
      </c>
      <c r="E120" s="3639"/>
      <c r="F120" s="3639"/>
      <c r="G120" s="3639"/>
      <c r="H120" s="3639"/>
      <c r="I120" s="3640"/>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614" t="s">
        <v>1452</v>
      </c>
      <c r="B121" s="3615"/>
      <c r="C121" s="3616"/>
      <c r="D121" s="3614" t="str">
        <f>IF(D120=0,"零元整",NUMBERSTRING(INT(D120*10000),2)&amp;"元整")</f>
        <v>零元整</v>
      </c>
      <c r="E121" s="3615"/>
      <c r="F121" s="3615"/>
      <c r="G121" s="3615"/>
      <c r="H121" s="3615"/>
      <c r="I121" s="3616"/>
      <c r="AA121" s="722"/>
    </row>
    <row r="122" spans="1:27" ht="18.75" customHeight="1">
      <c r="A122" s="3605" t="str">
        <f>IF(项目基本情况!B9="房地产市场价值","",MID(E107,3,LEN(E107)-2))</f>
        <v/>
      </c>
      <c r="B122" s="3605"/>
      <c r="C122" s="3605"/>
      <c r="D122" s="3638" t="e">
        <f ca="1">H107</f>
        <v>#REF!</v>
      </c>
      <c r="E122" s="3639"/>
      <c r="F122" s="3639"/>
      <c r="G122" s="3639"/>
      <c r="H122" s="3639"/>
      <c r="I122" s="3640"/>
      <c r="AA122" s="722"/>
    </row>
    <row r="123" spans="1:27" ht="18.75" customHeight="1">
      <c r="A123" s="3574" t="s">
        <v>1452</v>
      </c>
      <c r="B123" s="3574"/>
      <c r="C123" s="3574"/>
      <c r="D123" s="3614" t="e">
        <f ca="1">NUMBERSTRING(INT(D122*10000),2)&amp;"元整"</f>
        <v>#REF!</v>
      </c>
      <c r="E123" s="3615"/>
      <c r="F123" s="3615"/>
      <c r="G123" s="3615"/>
      <c r="H123" s="3615"/>
      <c r="I123" s="3616"/>
      <c r="AA123" s="722"/>
    </row>
    <row r="124" spans="1:27" ht="18.75" customHeight="1">
      <c r="A124" s="3605" t="str">
        <f>IF(项目基本情况!B9="房地产市场价值","",MID(E109,3,LEN(E109)-2))</f>
        <v/>
      </c>
      <c r="B124" s="3605"/>
      <c r="C124" s="3605"/>
      <c r="D124" s="3638" t="str">
        <f>H109</f>
        <v>——</v>
      </c>
      <c r="E124" s="3639"/>
      <c r="F124" s="3639"/>
      <c r="G124" s="3639"/>
      <c r="H124" s="3639"/>
      <c r="I124" s="3640"/>
      <c r="AA124" s="722"/>
    </row>
    <row r="125" spans="1:27" ht="18.75" customHeight="1">
      <c r="A125" s="3574" t="s">
        <v>1452</v>
      </c>
      <c r="B125" s="3574"/>
      <c r="C125" s="3574"/>
      <c r="D125" s="3614" t="e">
        <f>NUMBERSTRING(INT(D124*10000),2)&amp;"元整"</f>
        <v>#VALUE!</v>
      </c>
      <c r="E125" s="3615"/>
      <c r="F125" s="3615"/>
      <c r="G125" s="3615"/>
      <c r="H125" s="3615"/>
      <c r="I125" s="3616"/>
      <c r="AA125" s="722"/>
    </row>
    <row r="126" spans="1:27" ht="18.75" customHeight="1">
      <c r="A126" s="3605" t="str">
        <f>IF(项目基本情况!B9="房地产市场价值","",MID(E111,3,LEN(E111)-2))</f>
        <v/>
      </c>
      <c r="B126" s="3605"/>
      <c r="C126" s="3605"/>
      <c r="D126" s="3638" t="str">
        <f>H111</f>
        <v>——</v>
      </c>
      <c r="E126" s="3639"/>
      <c r="F126" s="3639"/>
      <c r="G126" s="3639"/>
      <c r="H126" s="3639"/>
      <c r="I126" s="3640"/>
      <c r="AA126" s="722"/>
    </row>
    <row r="127" spans="1:27" ht="18.75" customHeight="1">
      <c r="A127" s="3574" t="s">
        <v>1452</v>
      </c>
      <c r="B127" s="3574"/>
      <c r="C127" s="3574"/>
      <c r="D127" s="3614" t="e">
        <f>NUMBERSTRING(INT(D126*10000),2)&amp;"元整"</f>
        <v>#VALUE!</v>
      </c>
      <c r="E127" s="3615"/>
      <c r="F127" s="3615"/>
      <c r="G127" s="3615"/>
      <c r="H127" s="3615"/>
      <c r="I127" s="3616"/>
      <c r="AA127" s="722"/>
    </row>
    <row r="128" spans="1:27" ht="21.75" customHeight="1">
      <c r="A128" s="3621" t="s">
        <v>1453</v>
      </c>
      <c r="B128" s="3621"/>
      <c r="C128" s="3621"/>
      <c r="D128" s="3621"/>
      <c r="E128" s="3621"/>
      <c r="F128" s="3621"/>
      <c r="G128" s="3621"/>
      <c r="H128" s="3621"/>
      <c r="I128" s="3621"/>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6</v>
      </c>
    </row>
    <row r="2" spans="1:9" s="200" customFormat="1" ht="18" customHeight="1">
      <c r="A2" s="201" t="s">
        <v>1462</v>
      </c>
      <c r="B2" s="202" t="e">
        <f ca="1">IF(D2="——",C52,C52-E2)</f>
        <v>#DIV/0!</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0</v>
      </c>
      <c r="D8" s="222"/>
      <c r="E8" s="220"/>
      <c r="F8" s="221"/>
      <c r="G8" s="1853" t="s">
        <v>3406</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160</v>
      </c>
      <c r="F9" s="221"/>
      <c r="G9" s="1854"/>
      <c r="H9" s="1134"/>
      <c r="I9" s="1855"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0</v>
      </c>
      <c r="E19" s="211">
        <f>'数据-取费表'!B31</f>
        <v>200</v>
      </c>
      <c r="F19" s="231"/>
      <c r="G19" s="1853" t="s">
        <v>3407</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ROUND((C5+C19+C20)*F27*'数据-取费表'!B21/'数据-取费表'!B20,0)</f>
        <v>#DIV/0!</v>
      </c>
      <c r="D28" s="235"/>
      <c r="E28" s="236"/>
      <c r="F28" s="246"/>
      <c r="G28" s="247"/>
    </row>
    <row r="29" spans="1:7" s="214" customFormat="1" ht="13.5" customHeight="1">
      <c r="A29" s="777"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7" t="s">
        <v>351</v>
      </c>
      <c r="B35" s="215" t="s">
        <v>1527</v>
      </c>
      <c r="C35" s="220">
        <f ca="1">ROUND(C34*F35,0)</f>
        <v>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1530</v>
      </c>
    </row>
    <row r="37" spans="1:7" s="258" customFormat="1" ht="13.5" customHeight="1">
      <c r="A37" s="777" t="s">
        <v>353</v>
      </c>
      <c r="B37" s="215" t="s">
        <v>1531</v>
      </c>
      <c r="C37" s="249">
        <f ca="1">ROUND(E37*D37*F34/10000,0)</f>
        <v>0</v>
      </c>
      <c r="D37" s="217">
        <f ca="1">D19</f>
        <v>0</v>
      </c>
      <c r="E37" s="249">
        <f>'数据-取费表'!B35</f>
        <v>200</v>
      </c>
      <c r="F37" s="259"/>
      <c r="G37" s="261" t="s">
        <v>1532</v>
      </c>
    </row>
    <row r="38" spans="1:7" ht="13.5" customHeight="1">
      <c r="A38" s="777"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0</v>
      </c>
      <c r="D41" s="235">
        <f ca="1">C44</f>
        <v>8.0000000000000004E-4</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0</v>
      </c>
      <c r="D42" s="238"/>
      <c r="E42" s="238"/>
      <c r="F42" s="239"/>
      <c r="G42" s="3654" t="s">
        <v>1544</v>
      </c>
    </row>
    <row r="43" spans="1:7" ht="13.5" customHeight="1">
      <c r="A43" s="777" t="s">
        <v>347</v>
      </c>
      <c r="B43" s="215" t="s">
        <v>1545</v>
      </c>
      <c r="C43" s="238">
        <f ca="1">ROUND(IF('数据-取费表'!B22&lt;=1,C39*F22*'数据-取费表'!B21/2,C39*(POWER((1+F22),'数据-取费表'!B21/2)-1)),0)</f>
        <v>0</v>
      </c>
      <c r="D43" s="238"/>
      <c r="E43" s="238"/>
      <c r="F43" s="239"/>
      <c r="G43" s="3655"/>
    </row>
    <row r="44" spans="1:7" ht="13.5" customHeight="1">
      <c r="A44" s="777" t="s">
        <v>348</v>
      </c>
      <c r="B44" s="215" t="s">
        <v>1546</v>
      </c>
      <c r="C44" s="238">
        <f ca="1">ROUND(IF('数据-取费表'!B22&lt;=1,C40*F22*'数据-取费表'!B21/2,C40*(POWER((1+F22),'数据-取费表'!B21/2)-1)),4)</f>
        <v>8.0000000000000004E-4</v>
      </c>
      <c r="D44" s="238"/>
      <c r="E44" s="238"/>
      <c r="F44" s="239"/>
      <c r="G44" s="365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71" t="str">
        <f>项目基本情况!B1</f>
        <v>北京市房地产市场价值预评估</v>
      </c>
      <c r="C37" s="3471"/>
      <c r="D37" s="3471"/>
      <c r="E37" s="3471"/>
      <c r="F37" s="3471"/>
      <c r="G37" s="3471"/>
      <c r="H37" s="3471"/>
      <c r="I37" s="3471"/>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6</v>
      </c>
      <c r="H1" s="1058" t="str">
        <f>IF(ISERROR(FIND("住宅",B1)),"非住宅","住宅")</f>
        <v>非住宅</v>
      </c>
    </row>
    <row r="2" spans="1:8" s="200" customFormat="1" ht="18" customHeight="1">
      <c r="A2" s="201" t="s">
        <v>1462</v>
      </c>
      <c r="B2" s="3415" t="e">
        <f ca="1">ROUND(IF(D2="——",C52/10000,C52/10000-E2),4)</f>
        <v>#DIV/0!</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3" t="s">
        <v>3406</v>
      </c>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t="str">
        <f>IF(G19="已包含在土地取得成本中","0",ROUND(D19*E19,0))</f>
        <v>0</v>
      </c>
      <c r="D19" s="846">
        <f ca="1">D9+D10</f>
        <v>0</v>
      </c>
      <c r="E19" s="211">
        <f>'数据-取费表'!B31</f>
        <v>200</v>
      </c>
      <c r="F19" s="231"/>
      <c r="G19" s="1853" t="s">
        <v>3407</v>
      </c>
    </row>
    <row r="20" spans="1:7" s="214" customFormat="1" ht="13.5" customHeight="1">
      <c r="A20" s="255" t="s">
        <v>1574</v>
      </c>
      <c r="B20" s="210" t="s">
        <v>1575</v>
      </c>
      <c r="C20" s="232">
        <f ca="1">ROUND((C5+C19)*F20,0)</f>
        <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7" t="s">
        <v>1476</v>
      </c>
      <c r="B25" s="215" t="s">
        <v>1587</v>
      </c>
      <c r="C25" s="1125">
        <f ca="1">ROUND(IF('数据-取费表'!B22&lt;=1,C20*F22*'数据-取费表'!B22/2,C20*(POWER((1+F22),'数据-取费表'!B22/2)-1)),0)</f>
        <v>0</v>
      </c>
      <c r="D25" s="238"/>
      <c r="E25" s="241"/>
      <c r="F25" s="239"/>
      <c r="G25" s="242" t="s">
        <v>1588</v>
      </c>
    </row>
    <row r="26" spans="1:7" s="214" customFormat="1">
      <c r="A26" s="777"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ROUND((C5+C19+C20)*F27,0)</f>
        <v>#DIV/0!</v>
      </c>
      <c r="D28" s="235"/>
      <c r="E28" s="236"/>
      <c r="F28" s="246"/>
      <c r="G28" s="247"/>
    </row>
    <row r="29" spans="1:7" s="214" customFormat="1" ht="13.5" customHeight="1">
      <c r="A29" s="777" t="s">
        <v>347</v>
      </c>
      <c r="B29" s="248" t="s">
        <v>1517</v>
      </c>
      <c r="C29" s="238" t="e">
        <f ca="1">ROUND(C21*F27,4)</f>
        <v>#DIV/0!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7" t="s">
        <v>351</v>
      </c>
      <c r="B35" s="215" t="s">
        <v>1527</v>
      </c>
      <c r="C35" s="220">
        <f ca="1">ROUND(C34*F35,0)</f>
        <v>0</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0.03</v>
      </c>
      <c r="G36" s="260" t="s">
        <v>1530</v>
      </c>
    </row>
    <row r="37" spans="1:7" s="258" customFormat="1" ht="13.5" customHeight="1">
      <c r="A37" s="777" t="s">
        <v>353</v>
      </c>
      <c r="B37" s="215" t="s">
        <v>1531</v>
      </c>
      <c r="C37" s="249">
        <f ca="1">ROUND(E37*D37,0)</f>
        <v>0</v>
      </c>
      <c r="D37" s="217">
        <f ca="1">D19</f>
        <v>0</v>
      </c>
      <c r="E37" s="249">
        <f>'数据-取费表'!B35</f>
        <v>200</v>
      </c>
      <c r="F37" s="259"/>
      <c r="G37" s="261"/>
    </row>
    <row r="38" spans="1:7" ht="13.5" customHeight="1">
      <c r="A38" s="777"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0</v>
      </c>
      <c r="D41" s="235">
        <f ca="1">C44</f>
        <v>8.0000000000000004E-4</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0</v>
      </c>
      <c r="D42" s="238"/>
      <c r="E42" s="238"/>
      <c r="F42" s="239"/>
      <c r="G42" s="3654" t="s">
        <v>1591</v>
      </c>
    </row>
    <row r="43" spans="1:7" ht="13.5" customHeight="1">
      <c r="A43" s="777" t="s">
        <v>347</v>
      </c>
      <c r="B43" s="215" t="s">
        <v>1545</v>
      </c>
      <c r="C43" s="238">
        <f ca="1">ROUND(IF('数据-取费表'!B22&lt;=1,C39*F22*'数据-取费表'!B20/2,C39*(POWER((1+F22),'数据-取费表'!B20/2)-1)),0)</f>
        <v>0</v>
      </c>
      <c r="D43" s="238"/>
      <c r="E43" s="238"/>
      <c r="F43" s="239"/>
      <c r="G43" s="3655"/>
    </row>
    <row r="44" spans="1:7" ht="13.5" customHeight="1">
      <c r="A44" s="777" t="s">
        <v>348</v>
      </c>
      <c r="B44" s="215" t="s">
        <v>1546</v>
      </c>
      <c r="C44" s="238">
        <f ca="1">ROUND(IF('数据-取费表'!B22&lt;=1,C40*F22*'数据-取费表'!B20/2,C40*(POWER((1+F22),'数据-取费表'!B20/2)-1)),4)</f>
        <v>8.0000000000000004E-4</v>
      </c>
      <c r="D44" s="238"/>
      <c r="E44" s="238"/>
      <c r="F44" s="239"/>
      <c r="G44" s="3656"/>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9" sqref="G19"/>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797"/>
      <c r="F1" s="2797"/>
      <c r="G1" s="2662"/>
      <c r="H1" s="2797"/>
      <c r="I1" s="2797"/>
      <c r="J1" s="2797"/>
      <c r="K1" s="2798">
        <f>MATCH(C1,'数据-取费表'!A6:A16,0)+5</f>
        <v>6</v>
      </c>
    </row>
    <row r="2" spans="1:33" ht="18" customHeight="1">
      <c r="A2" s="201" t="s">
        <v>1462</v>
      </c>
      <c r="B2" s="204" t="e">
        <f ca="1">C32</f>
        <v>#DIV/0!</v>
      </c>
      <c r="C2" s="276" t="s">
        <v>1595</v>
      </c>
      <c r="D2" s="276"/>
      <c r="E2" s="2797"/>
      <c r="F2" s="2797"/>
      <c r="G2" s="2797"/>
      <c r="H2" s="2797"/>
      <c r="I2" s="2797"/>
      <c r="J2" s="2797"/>
      <c r="K2" s="2797"/>
    </row>
    <row r="3" spans="1:33" ht="18" customHeight="1" thickBot="1">
      <c r="A3" s="203" t="s">
        <v>1464</v>
      </c>
      <c r="B3" s="204" t="e">
        <f ca="1">ROUND(B2*10000/IF(C1="",'数据-汇总表'!E3,INDIRECT("'数据-取费表'!K"&amp;$K$1)),0)</f>
        <v>#DIV/0!</v>
      </c>
      <c r="C3" s="276" t="s">
        <v>1596</v>
      </c>
      <c r="D3" s="276"/>
      <c r="E3" s="2797"/>
      <c r="F3" s="2797"/>
      <c r="G3" s="2797"/>
      <c r="H3" s="2797"/>
      <c r="I3" s="2797"/>
      <c r="J3" s="2797"/>
      <c r="K3" s="2797"/>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0.03</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0</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0</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t="s">
        <v>3408</v>
      </c>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0</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t="e">
        <f ca="1">C30</f>
        <v>#DIV/0!</v>
      </c>
      <c r="D28" s="280" t="e">
        <f ca="1">C29</f>
        <v>#DIV/0!</v>
      </c>
      <c r="E28" s="282" t="s">
        <v>12</v>
      </c>
      <c r="F28" s="288" t="e">
        <f ca="1">IF(C1="",'数据-取费表'!Q16,INDIRECT("'数据-取费表'!q"&amp;$K$1))</f>
        <v>#DIV/0!</v>
      </c>
      <c r="G28" s="814"/>
      <c r="H28" s="815"/>
      <c r="I28" s="815"/>
      <c r="J28" s="815"/>
      <c r="K28" s="816"/>
    </row>
    <row r="29" spans="1:33" s="291" customFormat="1" ht="13.5" customHeight="1">
      <c r="A29" s="797" t="s">
        <v>358</v>
      </c>
      <c r="B29" s="819" t="s">
        <v>1643</v>
      </c>
      <c r="C29" s="284" t="e">
        <f ca="1">ROUND((1+C24)*F28*'数据-取费表'!B24/'数据-取费表'!B20,4)</f>
        <v>#DIV/0!</v>
      </c>
      <c r="D29" s="284"/>
      <c r="E29" s="285"/>
      <c r="F29" s="290"/>
      <c r="G29" s="131" t="s">
        <v>1644</v>
      </c>
      <c r="H29" s="804"/>
      <c r="I29" s="804"/>
      <c r="J29" s="804"/>
      <c r="K29" s="805"/>
    </row>
    <row r="30" spans="1:33" s="291" customFormat="1" ht="13.5" customHeight="1">
      <c r="A30" s="797" t="s">
        <v>359</v>
      </c>
      <c r="B30" s="819" t="s">
        <v>1645</v>
      </c>
      <c r="C30" s="292" t="e">
        <f ca="1">ROUND((C21+C22+C23)*F28,0)</f>
        <v>#DIV/0!</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t="e">
        <f ca="1">ROUND((C4-C21-C22-C23-C25-C28-C31)/(1+C24+D25+D28),0)</f>
        <v>#DIV/0!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-1963</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697"/>
      <c r="H2" s="2686"/>
      <c r="I2" s="2686"/>
      <c r="J2" s="2686"/>
      <c r="K2" s="2687"/>
      <c r="L2" s="2686"/>
      <c r="M2" s="2686"/>
    </row>
    <row r="3" spans="1:37" ht="18" customHeight="1" thickBot="1">
      <c r="A3" s="1387" t="s">
        <v>806</v>
      </c>
      <c r="B3" s="1388">
        <f ca="1">IF(ISERROR(B2*10000/F43),0,ROUND(B2*10000/F43,0))</f>
        <v>0</v>
      </c>
      <c r="C3" s="1384" t="s">
        <v>807</v>
      </c>
      <c r="D3" s="1384"/>
      <c r="E3" s="1385"/>
      <c r="F3" s="1386"/>
      <c r="G3" s="2697"/>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659" t="s">
        <v>694</v>
      </c>
      <c r="C6" s="1071">
        <f ca="1">ROUND(F6*F8*F7*(1-F9)/10000,0)</f>
        <v>0</v>
      </c>
      <c r="D6" s="155" t="s">
        <v>2109</v>
      </c>
      <c r="E6" s="302" t="s">
        <v>696</v>
      </c>
      <c r="F6" s="303">
        <f ca="1">INDIRECT("'数据-取费表'!u"&amp;$G$1)</f>
        <v>0</v>
      </c>
      <c r="G6" s="1381"/>
      <c r="H6" s="1066" t="s">
        <v>398</v>
      </c>
      <c r="I6" s="3659" t="s">
        <v>694</v>
      </c>
      <c r="J6" s="301">
        <f ca="1">ROUND(M6*M8*M7*(1-M9)/10000,0)</f>
        <v>0</v>
      </c>
      <c r="K6" s="155" t="s">
        <v>2108</v>
      </c>
      <c r="L6" s="302" t="s">
        <v>696</v>
      </c>
      <c r="M6" s="303">
        <f ca="1">INDIRECT("'数据-取费表'!z"&amp;$G$1)</f>
        <v>0</v>
      </c>
    </row>
    <row r="7" spans="1:37" ht="18" customHeight="1">
      <c r="A7" s="1070"/>
      <c r="B7" s="3660"/>
      <c r="C7" s="1072"/>
      <c r="D7" s="307"/>
      <c r="E7" s="1073" t="s">
        <v>697</v>
      </c>
      <c r="F7" s="303">
        <f ca="1">IF(INDIRECT("'数据-取费表'!ah"&amp;$G$1)="",INDIRECT("'数据-取费表'!k"&amp;$G$1),INDIRECT("'数据-取费表'!ah"&amp;$G$1))</f>
        <v>0</v>
      </c>
      <c r="G7" s="1381"/>
      <c r="H7" s="304"/>
      <c r="I7" s="3660"/>
      <c r="J7" s="306"/>
      <c r="K7" s="307"/>
      <c r="L7" s="302" t="s">
        <v>697</v>
      </c>
      <c r="M7" s="303">
        <f ca="1">F7</f>
        <v>0</v>
      </c>
    </row>
    <row r="8" spans="1:37" ht="18" customHeight="1">
      <c r="A8" s="304"/>
      <c r="B8" s="3660"/>
      <c r="C8" s="306"/>
      <c r="D8" s="307"/>
      <c r="E8" s="302" t="s">
        <v>698</v>
      </c>
      <c r="F8" s="303">
        <f ca="1">INDIRECT("'数据-取费表'!ai"&amp;$G$1)</f>
        <v>0</v>
      </c>
      <c r="G8" s="1381"/>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1"/>
      <c r="H9" s="304"/>
      <c r="I9" s="3661"/>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2117</v>
      </c>
      <c r="E10" s="313" t="s">
        <v>701</v>
      </c>
      <c r="F10" s="1113" t="s">
        <v>3409</v>
      </c>
      <c r="G10" s="1381"/>
      <c r="H10" s="1066" t="s">
        <v>402</v>
      </c>
      <c r="I10" s="1362" t="s">
        <v>700</v>
      </c>
      <c r="J10" s="301">
        <f ca="1">ROUND(IF(M10="押一",J6/12*M11,IF(M10="押二",J6/12*2*M11,IF(M10="押三",J6/12*3*M11,J11*M11))),0)</f>
        <v>0</v>
      </c>
      <c r="K10" s="1363" t="s">
        <v>2116</v>
      </c>
      <c r="L10" s="313" t="s">
        <v>701</v>
      </c>
      <c r="M10" s="1113" t="s">
        <v>3409</v>
      </c>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3329</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ROUND(IF(AND(项目基本情况!B11="自然人",项目基本情况!B10="北京市"),C6*F31/(1+'数据-取费表'!C42),C32+C33+C34),2)</f>
        <v>0</v>
      </c>
      <c r="D31" s="1342" t="s">
        <v>720</v>
      </c>
      <c r="E31" s="1341" t="s">
        <v>770</v>
      </c>
      <c r="F31" s="2311"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79" t="s">
        <v>397</v>
      </c>
      <c r="B32" s="302" t="s">
        <v>723</v>
      </c>
      <c r="C32" s="21">
        <f ca="1">IF(项目基本情况!B11="自然人","——",ROUND(C6*F32/(1+'数据-取费表'!C42),2))</f>
        <v>0</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7" t="s">
        <v>3329</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IF(项目基本情况!B11="自然人","——",ROUND(F34*F35/10000,2))</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ROUND(C29*F36,2)</f>
        <v>0</v>
      </c>
      <c r="D36" s="1341" t="s">
        <v>771</v>
      </c>
      <c r="E36" s="302" t="s">
        <v>712</v>
      </c>
      <c r="F36" s="328">
        <f ca="1">INDIRECT("'数据-取费表'!Ak"&amp;$G$1)</f>
        <v>0</v>
      </c>
      <c r="G36" s="1381"/>
      <c r="H36" s="2691"/>
      <c r="I36" s="1395"/>
      <c r="J36" s="1396"/>
      <c r="K36" s="2535"/>
      <c r="L36" s="2691"/>
      <c r="M36" s="2691"/>
    </row>
    <row r="37" spans="1:18" ht="18" customHeight="1">
      <c r="A37" s="979" t="s">
        <v>437</v>
      </c>
      <c r="B37" s="302" t="s">
        <v>742</v>
      </c>
      <c r="C37" s="21">
        <f ca="1">ROUND(C13*F37,2)</f>
        <v>0</v>
      </c>
      <c r="D37" s="1341" t="s">
        <v>743</v>
      </c>
      <c r="E37" s="302" t="s">
        <v>744</v>
      </c>
      <c r="F37" s="330">
        <f ca="1">INDIRECT("'数据-取费表'!Al"&amp;$G$1)</f>
        <v>0</v>
      </c>
      <c r="G37" s="1381"/>
      <c r="H37" s="2691"/>
      <c r="I37" s="1395"/>
      <c r="J37" s="1396"/>
      <c r="K37" s="2535"/>
      <c r="L37" s="2691"/>
      <c r="M37" s="2691"/>
    </row>
    <row r="38" spans="1:18" ht="18" customHeight="1" thickBot="1">
      <c r="A38" s="1086" t="s">
        <v>684</v>
      </c>
      <c r="B38" s="1087" t="s">
        <v>728</v>
      </c>
      <c r="C38" s="1088">
        <f ca="1">ROUND(C5*F38,2)</f>
        <v>0</v>
      </c>
      <c r="D38" s="1089" t="s">
        <v>748</v>
      </c>
      <c r="E38" s="1087" t="s">
        <v>744</v>
      </c>
      <c r="F38" s="1083">
        <f ca="1">INDIRECT("'数据-取费表'!Am"&amp;$G$1)</f>
        <v>0</v>
      </c>
      <c r="G38" s="1381"/>
      <c r="H38" s="2691"/>
      <c r="I38" s="1395"/>
      <c r="J38" s="1396"/>
      <c r="K38" s="2695"/>
      <c r="L38" s="2691"/>
      <c r="M38" s="2691"/>
    </row>
    <row r="39" spans="1:18" ht="24.6" customHeight="1" thickTop="1">
      <c r="A39" s="1076" t="s">
        <v>394</v>
      </c>
      <c r="B39" s="1091" t="s">
        <v>772</v>
      </c>
      <c r="C39" s="310">
        <f ca="1">C5-C30</f>
        <v>0</v>
      </c>
      <c r="D39" s="1092" t="s">
        <v>773</v>
      </c>
      <c r="E39" s="1093"/>
      <c r="F39" s="1094"/>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3410</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3411</v>
      </c>
      <c r="K48" s="1420" t="s">
        <v>820</v>
      </c>
      <c r="L48" s="1421">
        <f ca="1">INDIRECT("'数据-取费表'!f"&amp;$G$1)</f>
        <v>0</v>
      </c>
      <c r="O48" s="1415" t="s">
        <v>404</v>
      </c>
      <c r="P48" s="1416" t="s">
        <v>821</v>
      </c>
      <c r="Q48" s="1417" t="str">
        <f ca="1">J60</f>
        <v>0</v>
      </c>
      <c r="R48" s="1417" t="s">
        <v>822</v>
      </c>
    </row>
    <row r="49" spans="1:18" s="1381" customFormat="1" ht="13.5" thickBot="1">
      <c r="A49" s="972" t="s">
        <v>439</v>
      </c>
      <c r="B49" s="1368" t="s">
        <v>779</v>
      </c>
      <c r="C49" s="1111">
        <f ca="1">ROUND(F49*F51*F50*(1-F52)/10000,0)</f>
        <v>0</v>
      </c>
      <c r="D49" s="1052" t="s">
        <v>2110</v>
      </c>
      <c r="E49" s="1369" t="s">
        <v>780</v>
      </c>
      <c r="F49" s="1057"/>
      <c r="G49" s="1422"/>
      <c r="H49" s="720"/>
      <c r="I49" s="1418" t="s">
        <v>823</v>
      </c>
      <c r="J49" s="1423">
        <f>'数据-取费表'!N17</f>
        <v>0</v>
      </c>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0</v>
      </c>
      <c r="I51" s="1429" t="s">
        <v>829</v>
      </c>
      <c r="J51" s="1430">
        <f>IF(J49="",J50,J49+J50-YEAR('数据-取费表'!B2))</f>
        <v>-1963</v>
      </c>
      <c r="K51" s="1431" t="s">
        <v>830</v>
      </c>
      <c r="L51" s="1432">
        <f ca="1">ROUND(-PV(INDIRECT("'数据-取费表'!h"&amp;$G$1),J51,(C39-C13*C76),0),0)</f>
        <v>0</v>
      </c>
      <c r="M51" s="1433"/>
      <c r="O51" s="1425" t="s">
        <v>407</v>
      </c>
      <c r="P51" s="1416" t="s">
        <v>831</v>
      </c>
      <c r="Q51" s="1428">
        <f>J52</f>
        <v>8.5000000000000006E-2</v>
      </c>
      <c r="R51" s="1417"/>
    </row>
    <row r="52" spans="1:18" s="1381" customFormat="1" ht="13.5" thickBot="1">
      <c r="A52" s="974"/>
      <c r="B52" s="976"/>
      <c r="C52" s="977"/>
      <c r="D52" s="950"/>
      <c r="E52" s="978" t="s">
        <v>699</v>
      </c>
      <c r="F52" s="1051"/>
      <c r="I52" s="1434" t="s">
        <v>832</v>
      </c>
      <c r="J52" s="1435">
        <f>'数据-取费表'!J6+0.005</f>
        <v>8.5000000000000006E-2</v>
      </c>
      <c r="K52" s="1434" t="s">
        <v>833</v>
      </c>
      <c r="L52" s="1435"/>
      <c r="O52" s="1425" t="s">
        <v>408</v>
      </c>
      <c r="P52" s="1416" t="s">
        <v>834</v>
      </c>
      <c r="Q52" s="1417">
        <f ca="1">J53</f>
        <v>-1963</v>
      </c>
      <c r="R52" s="1417" t="s">
        <v>835</v>
      </c>
    </row>
    <row r="53" spans="1:18" s="1381" customFormat="1" ht="24.75" thickBot="1">
      <c r="A53" s="1149" t="s">
        <v>440</v>
      </c>
      <c r="B53" s="1370" t="s">
        <v>700</v>
      </c>
      <c r="C53" s="316">
        <f ca="1">ROUND(IF(F53="押一",C49/12*F11,IF(F53="押二",C49/12*2*F11,IF(F53="押三",C49/12*3*F11,C54*F11))),0)</f>
        <v>0</v>
      </c>
      <c r="D53" s="1363" t="s">
        <v>2116</v>
      </c>
      <c r="E53" s="313" t="s">
        <v>701</v>
      </c>
      <c r="F53" s="1113"/>
      <c r="I53" s="1436" t="s">
        <v>836</v>
      </c>
      <c r="J53" s="2164">
        <f ca="1">IF(M47="住宅",IF(D1="——",MAX(J51,L48),MAX(J51,L48-'数据-取费表'!B24)),IF(D1="——",MIN(J51,L48),MIN(J51,L48-'数据-取费表'!B24)))</f>
        <v>-1963</v>
      </c>
      <c r="K53" s="3657" t="s">
        <v>837</v>
      </c>
      <c r="L53" s="3658"/>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t="s">
        <v>3373</v>
      </c>
      <c r="K56" s="1418" t="s">
        <v>843</v>
      </c>
      <c r="L56" s="1421">
        <f ca="1">IF(L48&lt;J51,"——",L48-J53)</f>
        <v>1963</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t="str">
        <f ca="1">IF(OR(M47="住宅",J51&lt;L48,J56="是"),"——",J51-L48)</f>
        <v>——</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#VALUE!</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3329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0.08</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0.08</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-1963</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59" t="s">
        <v>694</v>
      </c>
      <c r="C6" s="1071">
        <f ca="1">ROUND(F6*F8*F7*(1-F9),0)</f>
        <v>0</v>
      </c>
      <c r="D6" s="155" t="s">
        <v>2106</v>
      </c>
      <c r="E6" s="302" t="s">
        <v>696</v>
      </c>
      <c r="F6" s="303">
        <f ca="1">INDIRECT("'数据-取费表'!u"&amp;$G$1)</f>
        <v>0</v>
      </c>
      <c r="G6" s="1381"/>
      <c r="H6" s="1066" t="s">
        <v>398</v>
      </c>
      <c r="I6" s="3659" t="s">
        <v>694</v>
      </c>
      <c r="J6" s="301">
        <f ca="1">ROUND(M6*M8*M7*(1-M9),0)</f>
        <v>0</v>
      </c>
      <c r="K6" s="1373" t="s">
        <v>2107</v>
      </c>
      <c r="L6" s="302" t="s">
        <v>696</v>
      </c>
      <c r="M6" s="303">
        <f ca="1">INDIRECT("'数据-取费表'!z"&amp;$G$1)</f>
        <v>0</v>
      </c>
    </row>
    <row r="7" spans="1:37" ht="18" customHeight="1">
      <c r="A7" s="1070"/>
      <c r="B7" s="3660"/>
      <c r="C7" s="1072"/>
      <c r="D7" s="307"/>
      <c r="E7" s="1073" t="s">
        <v>697</v>
      </c>
      <c r="F7" s="303">
        <f ca="1">IF(INDIRECT("'数据-取费表'!ah"&amp;$G$1)="",INDIRECT("'数据-取费表'!k"&amp;$G$1),INDIRECT("'数据-取费表'!ah"&amp;$G$1))</f>
        <v>0</v>
      </c>
      <c r="G7" s="1381"/>
      <c r="H7" s="304"/>
      <c r="I7" s="3660"/>
      <c r="J7" s="306"/>
      <c r="K7" s="307"/>
      <c r="L7" s="302" t="s">
        <v>697</v>
      </c>
      <c r="M7" s="303">
        <f ca="1">F7</f>
        <v>0</v>
      </c>
    </row>
    <row r="8" spans="1:37" ht="18" customHeight="1">
      <c r="A8" s="304"/>
      <c r="B8" s="3660"/>
      <c r="C8" s="306"/>
      <c r="D8" s="307"/>
      <c r="E8" s="302" t="s">
        <v>698</v>
      </c>
      <c r="F8" s="303">
        <f ca="1">INDIRECT("'数据-取费表'!ai"&amp;$G$1)</f>
        <v>0</v>
      </c>
      <c r="G8" s="1381"/>
      <c r="H8" s="304"/>
      <c r="I8" s="3660"/>
      <c r="J8" s="306"/>
      <c r="K8" s="307"/>
      <c r="L8" s="302" t="s">
        <v>698</v>
      </c>
      <c r="M8" s="303">
        <f ca="1">INDIRECT("'数据-取费表'!ai"&amp;$G$1)</f>
        <v>0</v>
      </c>
    </row>
    <row r="9" spans="1:37" ht="18" customHeight="1">
      <c r="A9" s="304"/>
      <c r="B9" s="3661"/>
      <c r="C9" s="306"/>
      <c r="D9" s="307"/>
      <c r="E9" s="302" t="s">
        <v>699</v>
      </c>
      <c r="F9" s="312">
        <f ca="1">INDIRECT("'数据-取费表'!w"&amp;$G$1)</f>
        <v>0</v>
      </c>
      <c r="G9" s="1381"/>
      <c r="H9" s="304"/>
      <c r="I9" s="3661"/>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t="s">
        <v>3409</v>
      </c>
      <c r="G10" s="1381"/>
      <c r="H10" s="1066" t="s">
        <v>402</v>
      </c>
      <c r="I10" s="1362" t="s">
        <v>700</v>
      </c>
      <c r="J10" s="301">
        <f ca="1">ROUND(IF(M10="押一",J6/12*M11,IF(M10="押二",J6/12*2*M11,IF(M10="押三",J6/12*3*M11,J11*M11))),0)</f>
        <v>0</v>
      </c>
      <c r="K10" s="1374" t="s">
        <v>2118</v>
      </c>
      <c r="L10" s="313" t="s">
        <v>701</v>
      </c>
      <c r="M10" s="1113" t="s">
        <v>3409</v>
      </c>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3329</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88"/>
      <c r="I30" s="1395"/>
      <c r="J30" s="1396"/>
      <c r="K30" s="2466"/>
      <c r="L30" s="2689"/>
      <c r="M30" s="2690"/>
    </row>
    <row r="31" spans="1:37" ht="18" customHeight="1">
      <c r="A31" s="979" t="s">
        <v>398</v>
      </c>
      <c r="B31" s="302"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799" t="s">
        <v>2298</v>
      </c>
      <c r="I31" s="1395"/>
      <c r="J31" s="1396"/>
      <c r="K31" s="2466"/>
      <c r="L31" s="2689"/>
      <c r="M31" s="2690"/>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88"/>
      <c r="I32" s="1395"/>
      <c r="J32" s="1396"/>
      <c r="K32" s="2466"/>
      <c r="L32" s="2689"/>
      <c r="M32" s="2690"/>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3329</v>
      </c>
      <c r="E33" s="302" t="s">
        <v>712</v>
      </c>
      <c r="F33" s="322">
        <f>IF(D33="按票据","——",IF(D33="按租金收入计税",'数据-取费表'!B51,'数据-取费表'!B50))</f>
        <v>0.12</v>
      </c>
      <c r="G33" s="1381"/>
      <c r="H33" s="2691"/>
      <c r="I33" s="1395"/>
      <c r="J33" s="1396"/>
      <c r="K33" s="2692"/>
      <c r="L33" s="2691"/>
      <c r="M33" s="2691"/>
    </row>
    <row r="34" spans="1:18" ht="18" customHeight="1">
      <c r="A34" s="1066" t="s">
        <v>680</v>
      </c>
      <c r="B34" s="155" t="s">
        <v>730</v>
      </c>
      <c r="C34" s="22">
        <f ca="1">IF(项目基本情况!B11="自然人","——",ROUND(F34*F35,0))</f>
        <v>0</v>
      </c>
      <c r="D34" s="324" t="s">
        <v>731</v>
      </c>
      <c r="E34" s="302" t="s">
        <v>732</v>
      </c>
      <c r="F34" s="325">
        <f>'数据-取费表'!B52</f>
        <v>0</v>
      </c>
      <c r="G34" s="1381"/>
      <c r="H34" s="2688"/>
      <c r="I34" s="1395"/>
      <c r="J34" s="1396"/>
      <c r="K34" s="2693"/>
      <c r="L34" s="2694"/>
      <c r="M34" s="2694"/>
    </row>
    <row r="35" spans="1:18" ht="18" customHeight="1">
      <c r="A35" s="1100"/>
      <c r="B35" s="1098"/>
      <c r="C35" s="26"/>
      <c r="D35" s="327"/>
      <c r="E35" s="302" t="s">
        <v>736</v>
      </c>
      <c r="F35" s="303">
        <f ca="1">INDIRECT("'数据-取费表'!r"&amp;$G$1)</f>
        <v>0</v>
      </c>
      <c r="G35" s="1381"/>
      <c r="H35" s="2688"/>
      <c r="I35" s="1395"/>
      <c r="J35" s="1396"/>
      <c r="K35" s="2692"/>
      <c r="L35" s="2691"/>
      <c r="M35" s="2691"/>
    </row>
    <row r="36" spans="1:18" ht="18" customHeight="1">
      <c r="A36" s="1099"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79"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6" t="s">
        <v>684</v>
      </c>
      <c r="B38" s="1087" t="s">
        <v>728</v>
      </c>
      <c r="C38" s="1088">
        <f ca="1">ROUND(C5*F38,0)</f>
        <v>0</v>
      </c>
      <c r="D38" s="1089" t="s">
        <v>748</v>
      </c>
      <c r="E38" s="1087" t="s">
        <v>744</v>
      </c>
      <c r="F38" s="1083">
        <f ca="1">INDIRECT("'数据-取费表'!Am"&amp;$G$1)</f>
        <v>0</v>
      </c>
      <c r="G38" s="1381"/>
      <c r="H38" s="2691"/>
      <c r="I38" s="1395"/>
      <c r="J38" s="1396"/>
      <c r="K38" s="2695"/>
      <c r="L38" s="2691"/>
      <c r="M38" s="2691"/>
    </row>
    <row r="39" spans="1:18" ht="24.6" customHeight="1" thickTop="1">
      <c r="A39" s="1076" t="s">
        <v>394</v>
      </c>
      <c r="B39" s="1091" t="s">
        <v>772</v>
      </c>
      <c r="C39" s="310">
        <f ca="1">C5-C30</f>
        <v>0</v>
      </c>
      <c r="D39" s="1092" t="s">
        <v>773</v>
      </c>
      <c r="E39" s="1093"/>
      <c r="F39" s="1094"/>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3345</v>
      </c>
      <c r="B45" s="1397"/>
      <c r="C45" s="1469" t="e">
        <f ca="1">ROUND((C68-C40)/10000,4)</f>
        <v>#DIV/0!</v>
      </c>
      <c r="D45" s="3423" t="s">
        <v>3346</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3410</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t="s">
        <v>3411</v>
      </c>
      <c r="K48" s="1420" t="s">
        <v>820</v>
      </c>
      <c r="L48" s="1421">
        <f ca="1">INDIRECT("'数据-取费表'!f"&amp;$G$1)</f>
        <v>0</v>
      </c>
      <c r="O48" s="1415" t="s">
        <v>404</v>
      </c>
      <c r="P48" s="1416" t="s">
        <v>821</v>
      </c>
      <c r="Q48" s="1417" t="str">
        <f ca="1">J60</f>
        <v>0</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'数据-取费表'!N17</f>
        <v>0</v>
      </c>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0"/>
      <c r="I50" s="1418" t="s">
        <v>826</v>
      </c>
      <c r="J50" s="1426">
        <f>SUMPRODUCT((I63:I65=J47)*(J62:L62=J48)*(J63:L65))</f>
        <v>60</v>
      </c>
      <c r="K50" s="1420" t="s">
        <v>827</v>
      </c>
      <c r="L50" s="1424"/>
      <c r="M50" s="1427"/>
      <c r="O50" s="1425" t="s">
        <v>406</v>
      </c>
      <c r="P50" s="1416" t="s">
        <v>828</v>
      </c>
      <c r="Q50" s="1428" t="e">
        <f ca="1">J58</f>
        <v>#VALUE!</v>
      </c>
      <c r="R50" s="1417"/>
    </row>
    <row r="51" spans="1:18" s="1381" customFormat="1" ht="13.5" thickBot="1">
      <c r="A51" s="974"/>
      <c r="B51" s="976"/>
      <c r="C51" s="977"/>
      <c r="D51" s="950"/>
      <c r="E51" s="978" t="s">
        <v>698</v>
      </c>
      <c r="F51" s="303">
        <f ca="1">F8</f>
        <v>0</v>
      </c>
      <c r="I51" s="1429" t="s">
        <v>829</v>
      </c>
      <c r="J51" s="1430">
        <f>IF(J49="",J50,J49+J50-YEAR('数据-取费表'!B2))</f>
        <v>-1963</v>
      </c>
      <c r="K51" s="1431" t="s">
        <v>830</v>
      </c>
      <c r="L51" s="1432">
        <f ca="1">ROUND(-PV(INDIRECT("'数据-取费表'!h"&amp;$G$1),J51,(C39-C13*C76),0),0)</f>
        <v>0</v>
      </c>
      <c r="M51" s="1433"/>
      <c r="O51" s="1425" t="s">
        <v>407</v>
      </c>
      <c r="P51" s="1416" t="s">
        <v>831</v>
      </c>
      <c r="Q51" s="1428">
        <f>J52</f>
        <v>8.5000000000000006E-2</v>
      </c>
      <c r="R51" s="1417"/>
    </row>
    <row r="52" spans="1:18" s="1381" customFormat="1" ht="13.5" thickBot="1">
      <c r="A52" s="974"/>
      <c r="B52" s="976"/>
      <c r="C52" s="977"/>
      <c r="D52" s="950"/>
      <c r="E52" s="978" t="s">
        <v>699</v>
      </c>
      <c r="F52" s="1051"/>
      <c r="I52" s="1434" t="s">
        <v>832</v>
      </c>
      <c r="J52" s="1435">
        <f>'数据-取费表'!J6+0.005</f>
        <v>8.5000000000000006E-2</v>
      </c>
      <c r="K52" s="1434" t="s">
        <v>833</v>
      </c>
      <c r="L52" s="1435"/>
      <c r="O52" s="1425" t="s">
        <v>408</v>
      </c>
      <c r="P52" s="1416" t="s">
        <v>834</v>
      </c>
      <c r="Q52" s="1417">
        <f ca="1">J53</f>
        <v>-1963</v>
      </c>
      <c r="R52" s="1417" t="s">
        <v>835</v>
      </c>
    </row>
    <row r="53" spans="1:18" s="1381" customFormat="1" ht="30.75" customHeight="1" thickBot="1">
      <c r="A53" s="1108" t="s">
        <v>440</v>
      </c>
      <c r="B53" s="323" t="s">
        <v>700</v>
      </c>
      <c r="C53" s="316">
        <f ca="1">ROUND(IF(F53="押一",C49/12*F11,IF(F53="押二",C49/12*2*F11,IF(F53="押三",C49/12*3*F11,C54*F11))),0)</f>
        <v>0</v>
      </c>
      <c r="D53" s="1363" t="s">
        <v>2119</v>
      </c>
      <c r="E53" s="313" t="s">
        <v>701</v>
      </c>
      <c r="F53" s="1113"/>
      <c r="I53" s="1436" t="s">
        <v>836</v>
      </c>
      <c r="J53" s="2164">
        <f ca="1">IF(M47="住宅",IF(D1="——",MAX(J51,L48),MAX(J51,L48-'数据-取费表'!B24)),IF(D1="——",MIN(J51,L48),MIN(J51,L48-'数据-取费表'!B24)))</f>
        <v>-1963</v>
      </c>
      <c r="K53" s="3657" t="s">
        <v>837</v>
      </c>
      <c r="L53" s="3658"/>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#VALUE!</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t="s">
        <v>3373</v>
      </c>
      <c r="K56" s="1418" t="s">
        <v>843</v>
      </c>
      <c r="L56" s="1421">
        <f ca="1">IF(L48&lt;J51,"——",L48-J51)</f>
        <v>1963</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t="str">
        <f ca="1">IF(OR(M47="住宅",J51&lt;L48,J56="是"),"——",J51-L48)</f>
        <v>——</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#VALUE!</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2">
        <f ca="1">ROUND(IF(AND(项目基本情况!B11="自然人",项目基本情况!B10="北京市"),C49*F59/(1+'数据-取费表'!C42),C60+C61+C62),0)</f>
        <v>0</v>
      </c>
      <c r="D59" s="960" t="s">
        <v>720</v>
      </c>
      <c r="E59" s="961" t="s">
        <v>721</v>
      </c>
      <c r="F59" s="2311" t="str">
        <f>IF(项目基本情况!B11="企业","——",IF('数据-取费表'!B10="住宅",IF(F49*F50*F51/12/(1+'数据-取费表'!F30)&gt;100000,4%,2.5%),IF(F49*F50*F51/12/(1+'数据-取费表'!F30)&gt;100000,12%,7%)))</f>
        <v>——</v>
      </c>
      <c r="I59" s="1452" t="s">
        <v>851</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str">
        <f ca="1">IF(OR(M47="住宅",J51&lt;L48,J56="是"),"0",ROUND(J59/(1+J52)^J53,0))</f>
        <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3329</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0.08</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0.08</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2426</v>
      </c>
      <c r="B1" s="2823"/>
      <c r="C1" s="2835"/>
      <c r="D1" s="2835"/>
      <c r="E1" s="2824"/>
      <c r="F1" s="2825"/>
      <c r="G1" s="2826"/>
      <c r="J1" s="2829" t="s">
        <v>2305</v>
      </c>
      <c r="K1" s="2830"/>
      <c r="L1" s="2830"/>
      <c r="M1" s="2830"/>
      <c r="N1" s="2830"/>
      <c r="O1" s="2830"/>
      <c r="P1" s="2830"/>
      <c r="Q1" s="2830"/>
      <c r="R1" s="2831"/>
      <c r="S1" s="2832"/>
      <c r="T1" s="2832"/>
      <c r="U1" s="2832"/>
    </row>
    <row r="2" spans="1:22" s="2844" customFormat="1" ht="13.15" customHeight="1">
      <c r="A2" s="1382" t="s">
        <v>2306</v>
      </c>
      <c r="B2" s="2834" t="e">
        <f>IF(D2="——",C40,C40+E2)</f>
        <v>#DIV/0!</v>
      </c>
      <c r="C2" s="2835" t="s">
        <v>2307</v>
      </c>
      <c r="D2" s="3434" t="s">
        <v>3351</v>
      </c>
      <c r="E2" s="3435"/>
      <c r="F2" s="2837"/>
      <c r="G2" s="2838"/>
      <c r="H2" s="2839"/>
      <c r="I2" s="2840"/>
      <c r="J2" s="3668" t="s">
        <v>2308</v>
      </c>
      <c r="K2" s="3669"/>
      <c r="L2" s="2841" t="s">
        <v>2309</v>
      </c>
      <c r="M2" s="2841" t="s">
        <v>2310</v>
      </c>
      <c r="N2" s="2841" t="s">
        <v>2311</v>
      </c>
      <c r="O2" s="2841" t="s">
        <v>2312</v>
      </c>
      <c r="P2" s="2841" t="s">
        <v>2313</v>
      </c>
      <c r="Q2" s="2842" t="s">
        <v>2314</v>
      </c>
      <c r="R2" s="2843" t="s">
        <v>2315</v>
      </c>
      <c r="S2" s="2832"/>
      <c r="T2" s="2832"/>
      <c r="U2" s="2832"/>
      <c r="V2" s="2840"/>
    </row>
    <row r="3" spans="1:22" s="2844" customFormat="1" ht="13.15" customHeight="1">
      <c r="A3" s="2845" t="s">
        <v>2316</v>
      </c>
      <c r="B3" s="2846" t="e">
        <f>ROUND(B2*10000/B4,0)</f>
        <v>#DIV/0!</v>
      </c>
      <c r="C3" s="2835" t="s">
        <v>2317</v>
      </c>
      <c r="D3" s="2835"/>
      <c r="E3" s="2836"/>
      <c r="F3" s="2837"/>
      <c r="G3" s="2838"/>
      <c r="H3" s="2839"/>
      <c r="I3" s="2840"/>
      <c r="J3" s="3670" t="s">
        <v>2318</v>
      </c>
      <c r="K3" s="3671"/>
      <c r="L3" s="2847"/>
      <c r="M3" s="2847"/>
      <c r="N3" s="2847"/>
      <c r="O3" s="2847"/>
      <c r="P3" s="2847"/>
      <c r="Q3" s="2848"/>
      <c r="R3" s="2849">
        <f>SUM(L3:Q3)</f>
        <v>0</v>
      </c>
      <c r="S3" s="2832"/>
      <c r="T3" s="2832"/>
      <c r="U3" s="2832"/>
      <c r="V3" s="2840"/>
    </row>
    <row r="4" spans="1:22" s="2844" customFormat="1" ht="13.15" customHeight="1">
      <c r="A4" s="2850" t="s">
        <v>2319</v>
      </c>
      <c r="B4" s="2851"/>
      <c r="C4" s="2835"/>
      <c r="D4" s="2835"/>
      <c r="E4" s="2836"/>
      <c r="F4" s="2837"/>
      <c r="G4" s="2838"/>
      <c r="H4" s="2839"/>
      <c r="I4" s="2840"/>
      <c r="J4" s="3670" t="s">
        <v>2320</v>
      </c>
      <c r="K4" s="3671"/>
      <c r="L4" s="2852"/>
      <c r="M4" s="2852"/>
      <c r="N4" s="2852"/>
      <c r="O4" s="2852"/>
      <c r="P4" s="2852"/>
      <c r="Q4" s="2853"/>
      <c r="R4" s="2854">
        <f>SUM(L4:Q4)</f>
        <v>0</v>
      </c>
      <c r="S4" s="2832"/>
      <c r="T4" s="2832"/>
      <c r="U4" s="2832"/>
      <c r="V4" s="2840"/>
    </row>
    <row r="5" spans="1:22" s="2844" customFormat="1" ht="13.15" customHeight="1" thickBot="1">
      <c r="A5" s="2855" t="s">
        <v>2321</v>
      </c>
      <c r="B5" s="2856"/>
      <c r="C5" s="2835"/>
      <c r="D5" s="2857"/>
      <c r="E5" s="2837"/>
      <c r="F5" s="2837"/>
      <c r="G5" s="2838"/>
      <c r="H5" s="2839"/>
      <c r="I5" s="2840"/>
      <c r="J5" s="2858" t="s">
        <v>2322</v>
      </c>
      <c r="K5" s="2859"/>
      <c r="L5" s="2859"/>
      <c r="M5" s="2860"/>
      <c r="N5" s="2860"/>
      <c r="O5" s="2860"/>
      <c r="P5" s="2860"/>
      <c r="Q5" s="2860"/>
      <c r="R5" s="2843">
        <f>SUM(R14,R19,R24,R25,R27,R28)</f>
        <v>0</v>
      </c>
      <c r="S5" s="2832"/>
      <c r="T5" s="2832" t="s">
        <v>2323</v>
      </c>
      <c r="U5" s="2832" t="e">
        <f>ROUND(R5*10000/365/R3,1)</f>
        <v>#DIV/0!</v>
      </c>
      <c r="V5" s="2840"/>
    </row>
    <row r="6" spans="1:22" s="2844" customFormat="1" ht="13.15" customHeight="1" thickBot="1">
      <c r="A6" s="3676" t="s">
        <v>2324</v>
      </c>
      <c r="B6" s="3677"/>
      <c r="C6" s="3678"/>
      <c r="D6" s="2861"/>
      <c r="E6" s="2862"/>
      <c r="F6" s="2863"/>
      <c r="G6" s="2864"/>
      <c r="H6" s="2839"/>
      <c r="I6" s="2840"/>
      <c r="J6" s="3662">
        <v>1</v>
      </c>
      <c r="K6" s="3663" t="s">
        <v>2325</v>
      </c>
      <c r="L6" s="2865" t="s">
        <v>2326</v>
      </c>
      <c r="M6" s="2866" t="s">
        <v>2327</v>
      </c>
      <c r="N6" s="2866" t="s">
        <v>2328</v>
      </c>
      <c r="O6" s="2866" t="s">
        <v>2329</v>
      </c>
      <c r="P6" s="2866" t="s">
        <v>2330</v>
      </c>
      <c r="Q6" s="2866" t="s">
        <v>2331</v>
      </c>
      <c r="R6" s="2849" t="s">
        <v>2332</v>
      </c>
      <c r="S6" s="2832"/>
      <c r="T6" s="2832" t="s">
        <v>2333</v>
      </c>
      <c r="U6" s="2832"/>
      <c r="V6" s="2840"/>
    </row>
    <row r="7" spans="1:22" s="2844" customFormat="1" ht="13.15" customHeight="1">
      <c r="A7" s="2867" t="s">
        <v>2334</v>
      </c>
      <c r="B7" s="2868"/>
      <c r="C7" s="2869"/>
      <c r="D7" s="2870">
        <f>SUM(D9,D10,D11,D17,0)</f>
        <v>0</v>
      </c>
      <c r="E7" s="2871" t="e">
        <f>E9+E10+E11+E17</f>
        <v>#DIV/0!</v>
      </c>
      <c r="F7" s="2872"/>
      <c r="G7" s="2873"/>
      <c r="H7" s="2839"/>
      <c r="I7" s="2840"/>
      <c r="J7" s="3662"/>
      <c r="K7" s="3664"/>
      <c r="L7" s="2874" t="s">
        <v>2335</v>
      </c>
      <c r="M7" s="2875"/>
      <c r="N7" s="2851"/>
      <c r="O7" s="2876"/>
      <c r="P7" s="2876"/>
      <c r="Q7" s="2877">
        <v>365</v>
      </c>
      <c r="R7" s="2878">
        <f>ROUND(M7*N7*O7*P7*Q7/10000,0)</f>
        <v>0</v>
      </c>
      <c r="S7" s="2832"/>
      <c r="T7" s="2832" t="s">
        <v>2336</v>
      </c>
      <c r="U7" s="2832"/>
      <c r="V7" s="2840"/>
    </row>
    <row r="8" spans="1:22" s="2844" customFormat="1" ht="13.15" customHeight="1">
      <c r="A8" s="2879" t="s">
        <v>2337</v>
      </c>
      <c r="B8" s="3679" t="s">
        <v>2338</v>
      </c>
      <c r="C8" s="3680"/>
      <c r="D8" s="2880" t="s">
        <v>2339</v>
      </c>
      <c r="E8" s="2881" t="s">
        <v>2340</v>
      </c>
      <c r="F8" s="2882" t="s">
        <v>2341</v>
      </c>
      <c r="G8" s="2883"/>
      <c r="H8" s="2839"/>
      <c r="I8" s="2840"/>
      <c r="J8" s="3662"/>
      <c r="K8" s="3664"/>
      <c r="L8" s="2874" t="s">
        <v>2342</v>
      </c>
      <c r="M8" s="2875"/>
      <c r="N8" s="2851"/>
      <c r="O8" s="2876"/>
      <c r="P8" s="2876"/>
      <c r="Q8" s="2877">
        <v>365</v>
      </c>
      <c r="R8" s="2878">
        <f t="shared" ref="R8:R13" si="0">ROUND(M8*N8*O8*P8*Q8/10000,0)</f>
        <v>0</v>
      </c>
      <c r="S8" s="2832"/>
      <c r="T8" s="2832" t="s">
        <v>2343</v>
      </c>
      <c r="U8" s="2832"/>
      <c r="V8" s="2840"/>
    </row>
    <row r="9" spans="1:22" s="2844" customFormat="1" ht="13.15" customHeight="1">
      <c r="A9" s="2879">
        <v>1</v>
      </c>
      <c r="B9" s="3679" t="s">
        <v>2344</v>
      </c>
      <c r="C9" s="3680"/>
      <c r="D9" s="2880">
        <f>ROUND(D6*E9,0)</f>
        <v>0</v>
      </c>
      <c r="E9" s="2884"/>
      <c r="F9" s="2885" t="s">
        <v>2345</v>
      </c>
      <c r="G9" s="2864"/>
      <c r="H9" s="2839"/>
      <c r="I9" s="2840"/>
      <c r="J9" s="3662"/>
      <c r="K9" s="3664"/>
      <c r="L9" s="2874" t="s">
        <v>2346</v>
      </c>
      <c r="M9" s="2875"/>
      <c r="N9" s="2851"/>
      <c r="O9" s="2876"/>
      <c r="P9" s="2876"/>
      <c r="Q9" s="2877">
        <v>365</v>
      </c>
      <c r="R9" s="2878">
        <f t="shared" si="0"/>
        <v>0</v>
      </c>
      <c r="S9" s="2832"/>
      <c r="T9" s="2832"/>
      <c r="U9" s="2832"/>
      <c r="V9" s="2840"/>
    </row>
    <row r="10" spans="1:22" s="2844" customFormat="1" ht="13.15" customHeight="1">
      <c r="A10" s="2879">
        <v>2</v>
      </c>
      <c r="B10" s="3679" t="s">
        <v>2347</v>
      </c>
      <c r="C10" s="3680"/>
      <c r="D10" s="2880">
        <f>ROUND(D6*E10,0)</f>
        <v>0</v>
      </c>
      <c r="E10" s="2884"/>
      <c r="F10" s="2885" t="s">
        <v>2348</v>
      </c>
      <c r="G10" s="2864"/>
      <c r="H10" s="2839"/>
      <c r="I10" s="2840"/>
      <c r="J10" s="3662"/>
      <c r="K10" s="3664"/>
      <c r="L10" s="2874" t="s">
        <v>2349</v>
      </c>
      <c r="M10" s="2875"/>
      <c r="N10" s="2851"/>
      <c r="O10" s="2876"/>
      <c r="P10" s="2876"/>
      <c r="Q10" s="2877">
        <v>365</v>
      </c>
      <c r="R10" s="2878">
        <f t="shared" si="0"/>
        <v>0</v>
      </c>
      <c r="S10" s="2832"/>
      <c r="T10" s="2832"/>
      <c r="U10" s="2832"/>
      <c r="V10" s="2840"/>
    </row>
    <row r="11" spans="1:22" s="2844" customFormat="1" ht="13.15" customHeight="1">
      <c r="A11" s="2879">
        <v>3</v>
      </c>
      <c r="B11" s="3679" t="s">
        <v>2350</v>
      </c>
      <c r="C11" s="3680"/>
      <c r="D11" s="2880">
        <f>D12+D14+D15+D16</f>
        <v>0</v>
      </c>
      <c r="E11" s="2886" t="e">
        <f>D11/D6</f>
        <v>#DIV/0!</v>
      </c>
      <c r="F11" s="2882"/>
      <c r="G11" s="2883"/>
      <c r="H11" s="2839"/>
      <c r="I11" s="2840"/>
      <c r="J11" s="3662"/>
      <c r="K11" s="3664"/>
      <c r="L11" s="2874" t="s">
        <v>2351</v>
      </c>
      <c r="M11" s="2875"/>
      <c r="N11" s="2851"/>
      <c r="O11" s="2876"/>
      <c r="P11" s="2876"/>
      <c r="Q11" s="2877">
        <v>365</v>
      </c>
      <c r="R11" s="2878">
        <f t="shared" si="0"/>
        <v>0</v>
      </c>
      <c r="S11" s="2832"/>
      <c r="T11" s="2832"/>
      <c r="U11" s="2832"/>
      <c r="V11" s="2840"/>
    </row>
    <row r="12" spans="1:22" s="2844" customFormat="1" ht="13.15" customHeight="1">
      <c r="A12" s="2887" t="s">
        <v>2352</v>
      </c>
      <c r="B12" s="3672" t="s">
        <v>2353</v>
      </c>
      <c r="C12" s="3673"/>
      <c r="D12" s="2888">
        <f>ROUND(D13*1.2%*(1-30%),0)</f>
        <v>0</v>
      </c>
      <c r="E12" s="2889">
        <v>1.2E-2</v>
      </c>
      <c r="F12" s="2882" t="s">
        <v>2354</v>
      </c>
      <c r="G12" s="2883"/>
      <c r="H12" s="2839"/>
      <c r="I12" s="2840"/>
      <c r="J12" s="3662"/>
      <c r="K12" s="3664"/>
      <c r="L12" s="2874" t="s">
        <v>2355</v>
      </c>
      <c r="M12" s="2875"/>
      <c r="N12" s="2851"/>
      <c r="O12" s="2876"/>
      <c r="P12" s="2876"/>
      <c r="Q12" s="2877">
        <v>365</v>
      </c>
      <c r="R12" s="2878">
        <f t="shared" si="0"/>
        <v>0</v>
      </c>
      <c r="S12" s="2832"/>
      <c r="T12" s="2832"/>
      <c r="U12" s="2832"/>
      <c r="V12" s="2840"/>
    </row>
    <row r="13" spans="1:22" s="2844" customFormat="1" ht="13.15" customHeight="1">
      <c r="A13" s="2887"/>
      <c r="B13" s="2890"/>
      <c r="C13" s="2891" t="s">
        <v>2356</v>
      </c>
      <c r="D13" s="2892"/>
      <c r="E13" s="2893"/>
      <c r="F13" s="2882"/>
      <c r="G13" s="2883"/>
      <c r="H13" s="2839"/>
      <c r="I13" s="2840"/>
      <c r="J13" s="3662"/>
      <c r="K13" s="3664"/>
      <c r="L13" s="2874" t="s">
        <v>2357</v>
      </c>
      <c r="M13" s="2875"/>
      <c r="N13" s="2851"/>
      <c r="O13" s="2876"/>
      <c r="P13" s="2876"/>
      <c r="Q13" s="2877">
        <v>365</v>
      </c>
      <c r="R13" s="2878">
        <f t="shared" si="0"/>
        <v>0</v>
      </c>
      <c r="S13" s="2832"/>
      <c r="T13" s="2832"/>
      <c r="U13" s="2832"/>
      <c r="V13" s="2840"/>
    </row>
    <row r="14" spans="1:22" s="2844" customFormat="1" ht="13.15" customHeight="1">
      <c r="A14" s="2887" t="s">
        <v>2358</v>
      </c>
      <c r="B14" s="3672" t="s">
        <v>2359</v>
      </c>
      <c r="C14" s="3673"/>
      <c r="D14" s="2888">
        <f>ROUND(E14*B5/10000,0)</f>
        <v>0</v>
      </c>
      <c r="E14" s="2877"/>
      <c r="F14" s="2882" t="s">
        <v>2360</v>
      </c>
      <c r="G14" s="2883"/>
      <c r="H14" s="2839"/>
      <c r="I14" s="2840"/>
      <c r="J14" s="3662"/>
      <c r="K14" s="3665"/>
      <c r="L14" s="2894" t="s">
        <v>2361</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2362</v>
      </c>
      <c r="B15" s="3672" t="s">
        <v>2363</v>
      </c>
      <c r="C15" s="3673"/>
      <c r="D15" s="2888">
        <f>ROUND(D6*E15,0)</f>
        <v>0</v>
      </c>
      <c r="E15" s="2889">
        <v>5.5E-2</v>
      </c>
      <c r="F15" s="2882" t="s">
        <v>2364</v>
      </c>
      <c r="G15" s="2864"/>
      <c r="H15" s="2839"/>
      <c r="I15" s="2840"/>
      <c r="J15" s="3662">
        <v>2</v>
      </c>
      <c r="K15" s="3663" t="s">
        <v>2365</v>
      </c>
      <c r="L15" s="2874" t="s">
        <v>2366</v>
      </c>
      <c r="M15" s="2875" t="s">
        <v>2367</v>
      </c>
      <c r="N15" s="2875" t="s">
        <v>2368</v>
      </c>
      <c r="O15" s="2876" t="s">
        <v>2369</v>
      </c>
      <c r="P15" s="2876" t="s">
        <v>2331</v>
      </c>
      <c r="Q15" s="2851" t="s">
        <v>2370</v>
      </c>
      <c r="R15" s="2898" t="s">
        <v>2332</v>
      </c>
      <c r="S15" s="2832"/>
      <c r="T15" s="2832"/>
      <c r="U15" s="2832"/>
      <c r="V15" s="2840"/>
    </row>
    <row r="16" spans="1:22" s="2844" customFormat="1" ht="13.15" customHeight="1">
      <c r="A16" s="2887" t="s">
        <v>2371</v>
      </c>
      <c r="B16" s="3672" t="s">
        <v>2372</v>
      </c>
      <c r="C16" s="3673"/>
      <c r="D16" s="2899">
        <f>D6*E16</f>
        <v>0</v>
      </c>
      <c r="E16" s="2900"/>
      <c r="F16" s="2885" t="s">
        <v>2373</v>
      </c>
      <c r="G16" s="2864"/>
      <c r="H16" s="2839"/>
      <c r="I16" s="2840"/>
      <c r="J16" s="3662"/>
      <c r="K16" s="3664"/>
      <c r="L16" s="2874" t="s">
        <v>2374</v>
      </c>
      <c r="M16" s="2875"/>
      <c r="N16" s="2875"/>
      <c r="O16" s="2876"/>
      <c r="P16" s="2877">
        <v>365</v>
      </c>
      <c r="Q16" s="2851"/>
      <c r="R16" s="2898">
        <f>ROUND(M16*N16*O16*P16/10000,0)</f>
        <v>0</v>
      </c>
      <c r="S16" s="2832"/>
      <c r="T16" s="2832"/>
      <c r="U16" s="2832"/>
      <c r="V16" s="2840"/>
    </row>
    <row r="17" spans="1:22" s="2844" customFormat="1" ht="13.15" customHeight="1" thickBot="1">
      <c r="A17" s="2901">
        <v>4</v>
      </c>
      <c r="B17" s="3674" t="s">
        <v>2375</v>
      </c>
      <c r="C17" s="3675"/>
      <c r="D17" s="2902">
        <f>ROUND(D6*E17,0)</f>
        <v>0</v>
      </c>
      <c r="E17" s="2903"/>
      <c r="F17" s="2904" t="s">
        <v>2376</v>
      </c>
      <c r="G17" s="2864"/>
      <c r="H17" s="2839"/>
      <c r="I17" s="2840"/>
      <c r="J17" s="3662"/>
      <c r="K17" s="3664"/>
      <c r="L17" s="2874" t="s">
        <v>2377</v>
      </c>
      <c r="M17" s="2875"/>
      <c r="N17" s="2875"/>
      <c r="O17" s="2876"/>
      <c r="P17" s="2877">
        <v>365</v>
      </c>
      <c r="Q17" s="2851"/>
      <c r="R17" s="2898">
        <f>ROUND(M17*N17*O17*P17/10000,0)</f>
        <v>0</v>
      </c>
      <c r="S17" s="2832"/>
      <c r="T17" s="2832"/>
      <c r="U17" s="2832"/>
      <c r="V17" s="2840"/>
    </row>
    <row r="18" spans="1:22" s="2844" customFormat="1" ht="13.15" customHeight="1" thickBot="1">
      <c r="A18" s="2867" t="s">
        <v>2378</v>
      </c>
      <c r="B18" s="2868"/>
      <c r="C18" s="2868"/>
      <c r="D18" s="2905">
        <f>ROUND(D6*E18,0)</f>
        <v>0</v>
      </c>
      <c r="E18" s="2906"/>
      <c r="F18" s="2907" t="s">
        <v>2379</v>
      </c>
      <c r="G18" s="2864"/>
      <c r="H18" s="2839"/>
      <c r="I18" s="2840"/>
      <c r="J18" s="3662"/>
      <c r="K18" s="3664"/>
      <c r="L18" s="2874" t="s">
        <v>2380</v>
      </c>
      <c r="M18" s="2875"/>
      <c r="N18" s="2875"/>
      <c r="O18" s="2876"/>
      <c r="P18" s="2877">
        <v>365</v>
      </c>
      <c r="Q18" s="2851"/>
      <c r="R18" s="2898">
        <f>ROUND(M18*N18*O18*P18/10000,0)</f>
        <v>0</v>
      </c>
      <c r="S18" s="2832"/>
      <c r="T18" s="2832"/>
      <c r="U18" s="2832"/>
      <c r="V18" s="2840"/>
    </row>
    <row r="19" spans="1:22" s="2844" customFormat="1" ht="13.15" customHeight="1" thickBot="1">
      <c r="A19" s="2908" t="s">
        <v>2381</v>
      </c>
      <c r="B19" s="2862"/>
      <c r="C19" s="2862"/>
      <c r="D19" s="2862"/>
      <c r="E19" s="2862"/>
      <c r="F19" s="2863"/>
      <c r="G19" s="2883"/>
      <c r="H19" s="2839"/>
      <c r="I19" s="2840"/>
      <c r="J19" s="3662"/>
      <c r="K19" s="3665"/>
      <c r="L19" s="2894" t="s">
        <v>2361</v>
      </c>
      <c r="M19" s="2895"/>
      <c r="N19" s="2895">
        <f>SUM(N16:N18)</f>
        <v>0</v>
      </c>
      <c r="O19" s="2896"/>
      <c r="P19" s="2909" t="s">
        <v>2425</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662">
        <v>3</v>
      </c>
      <c r="K20" s="3663" t="s">
        <v>2382</v>
      </c>
      <c r="L20" s="2874" t="s">
        <v>2383</v>
      </c>
      <c r="M20" s="2875" t="s">
        <v>2384</v>
      </c>
      <c r="N20" s="2912" t="s">
        <v>2385</v>
      </c>
      <c r="O20" s="2876" t="s">
        <v>2386</v>
      </c>
      <c r="P20" s="2877" t="s">
        <v>2387</v>
      </c>
      <c r="Q20" s="2851" t="s">
        <v>2388</v>
      </c>
      <c r="R20" s="2898" t="s">
        <v>2389</v>
      </c>
      <c r="S20" s="2913"/>
      <c r="T20" s="2913"/>
      <c r="U20" s="2913"/>
      <c r="V20" s="2840"/>
    </row>
    <row r="21" spans="1:22" s="2844" customFormat="1" ht="13.15" customHeight="1">
      <c r="A21" s="2867"/>
      <c r="B21" s="2868"/>
      <c r="C21" s="2914" t="s">
        <v>2390</v>
      </c>
      <c r="D21" s="2915" t="s">
        <v>2391</v>
      </c>
      <c r="E21" s="2916" t="s">
        <v>2392</v>
      </c>
      <c r="F21" s="2911"/>
      <c r="G21" s="2883"/>
      <c r="H21" s="2839"/>
      <c r="I21" s="2840"/>
      <c r="J21" s="3662"/>
      <c r="K21" s="3664"/>
      <c r="L21" s="2874" t="s">
        <v>2393</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2394</v>
      </c>
      <c r="D22" s="2919" t="s">
        <v>2395</v>
      </c>
      <c r="E22" s="2920" t="s">
        <v>2396</v>
      </c>
      <c r="F22" s="2911"/>
      <c r="G22" s="2921"/>
      <c r="H22" s="2839"/>
      <c r="I22" s="2840"/>
      <c r="J22" s="3662"/>
      <c r="K22" s="3664"/>
      <c r="L22" s="2874" t="s">
        <v>2397</v>
      </c>
      <c r="M22" s="2875"/>
      <c r="N22" s="2875"/>
      <c r="O22" s="2876"/>
      <c r="P22" s="2877">
        <v>365</v>
      </c>
      <c r="Q22" s="2851"/>
      <c r="R22" s="2917">
        <f>ROUND(M22*N22*O22*P22/10000,0)</f>
        <v>0</v>
      </c>
      <c r="S22" s="2913"/>
      <c r="T22" s="2913"/>
      <c r="U22" s="2913"/>
      <c r="V22" s="2840"/>
    </row>
    <row r="23" spans="1:22" s="2844" customFormat="1" ht="13.15" customHeight="1">
      <c r="A23" s="2922">
        <v>1</v>
      </c>
      <c r="B23" s="2923" t="s">
        <v>2398</v>
      </c>
      <c r="C23" s="2924">
        <f>D6</f>
        <v>0</v>
      </c>
      <c r="D23" s="2925">
        <f>C23*(1+D24)</f>
        <v>0</v>
      </c>
      <c r="E23" s="2926">
        <f>D23*(1+E24)</f>
        <v>0</v>
      </c>
      <c r="F23" s="2927"/>
      <c r="G23" s="2928"/>
      <c r="H23" s="2839"/>
      <c r="I23" s="2840"/>
      <c r="J23" s="3662"/>
      <c r="K23" s="3664"/>
      <c r="L23" s="2874" t="s">
        <v>2399</v>
      </c>
      <c r="M23" s="2875"/>
      <c r="N23" s="2875"/>
      <c r="O23" s="2876"/>
      <c r="P23" s="2877">
        <v>365</v>
      </c>
      <c r="Q23" s="2851"/>
      <c r="R23" s="2917">
        <f>ROUND(M23*N23*O23*P23/10000,0)</f>
        <v>0</v>
      </c>
      <c r="S23" s="2832"/>
      <c r="T23" s="2832"/>
      <c r="U23" s="2832"/>
      <c r="V23" s="2840"/>
    </row>
    <row r="24" spans="1:22" s="2844" customFormat="1" ht="13.15" customHeight="1">
      <c r="A24" s="2929"/>
      <c r="B24" s="2930" t="s">
        <v>2400</v>
      </c>
      <c r="C24" s="2931"/>
      <c r="D24" s="2932"/>
      <c r="E24" s="2933"/>
      <c r="F24" s="2934"/>
      <c r="G24" s="2928"/>
      <c r="H24" s="2839"/>
      <c r="I24" s="2840"/>
      <c r="J24" s="3662"/>
      <c r="K24" s="3665"/>
      <c r="L24" s="2894" t="s">
        <v>2361</v>
      </c>
      <c r="M24" s="2895">
        <f>SUM(M21:M23)</f>
        <v>0</v>
      </c>
      <c r="N24" s="2895"/>
      <c r="O24" s="2896"/>
      <c r="P24" s="2909" t="s">
        <v>2425</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2401</v>
      </c>
      <c r="L25" s="2937"/>
      <c r="M25" s="2937"/>
      <c r="N25" s="2937"/>
      <c r="O25" s="2937"/>
      <c r="P25" s="2938"/>
      <c r="Q25" s="2939">
        <v>0</v>
      </c>
      <c r="R25" s="2910">
        <f>ROUND(R14*Q25,0)</f>
        <v>0</v>
      </c>
      <c r="S25" s="2832"/>
      <c r="T25" s="2832"/>
      <c r="U25" s="2832"/>
      <c r="V25" s="2940"/>
    </row>
    <row r="26" spans="1:22" s="2941" customFormat="1" ht="13.15" customHeight="1">
      <c r="A26" s="2922">
        <v>2</v>
      </c>
      <c r="B26" s="2923" t="s">
        <v>2402</v>
      </c>
      <c r="C26" s="2924">
        <f>D7</f>
        <v>0</v>
      </c>
      <c r="D26" s="2925">
        <f>D23*D27</f>
        <v>0</v>
      </c>
      <c r="E26" s="2926">
        <f>E23*E27</f>
        <v>0</v>
      </c>
      <c r="F26" s="2927"/>
      <c r="G26" s="2928"/>
      <c r="H26" s="2839"/>
      <c r="I26" s="2840"/>
      <c r="J26" s="3666">
        <v>5</v>
      </c>
      <c r="K26" s="2942" t="s">
        <v>2403</v>
      </c>
      <c r="L26" s="2943"/>
      <c r="M26" s="2944"/>
      <c r="N26" s="2945" t="s">
        <v>2404</v>
      </c>
      <c r="O26" s="2945" t="s">
        <v>2405</v>
      </c>
      <c r="P26" s="2946" t="s">
        <v>2406</v>
      </c>
      <c r="Q26" s="2946" t="s">
        <v>2407</v>
      </c>
      <c r="R26" s="2849" t="s">
        <v>2332</v>
      </c>
      <c r="S26" s="2947"/>
      <c r="T26" s="2947"/>
      <c r="U26" s="2947"/>
      <c r="V26" s="2940"/>
    </row>
    <row r="27" spans="1:22" s="2844" customFormat="1" ht="13.15" customHeight="1">
      <c r="A27" s="2929"/>
      <c r="B27" s="2930" t="s">
        <v>2408</v>
      </c>
      <c r="C27" s="2948" t="e">
        <f>E7</f>
        <v>#DIV/0!</v>
      </c>
      <c r="D27" s="2932"/>
      <c r="E27" s="2933"/>
      <c r="F27" s="2934"/>
      <c r="G27" s="2928"/>
      <c r="H27" s="2949"/>
      <c r="I27" s="2940"/>
      <c r="J27" s="3667"/>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2409</v>
      </c>
      <c r="F28" s="2934"/>
      <c r="G28" s="2921"/>
      <c r="H28" s="2949"/>
      <c r="I28" s="2940"/>
      <c r="J28" s="2955">
        <v>6</v>
      </c>
      <c r="K28" s="2956" t="s">
        <v>2410</v>
      </c>
      <c r="L28" s="2957" t="s">
        <v>2411</v>
      </c>
      <c r="M28" s="2958"/>
      <c r="N28" s="2957" t="s">
        <v>2412</v>
      </c>
      <c r="O28" s="2959"/>
      <c r="P28" s="2957" t="s">
        <v>2413</v>
      </c>
      <c r="Q28" s="2960">
        <v>1.4999999999999999E-2</v>
      </c>
      <c r="R28" s="2961"/>
      <c r="S28" s="2913"/>
      <c r="T28" s="2913"/>
      <c r="U28" s="2913"/>
      <c r="V28" s="2940"/>
    </row>
    <row r="29" spans="1:22" s="2941" customFormat="1" ht="13.15" customHeight="1">
      <c r="A29" s="2922">
        <v>3</v>
      </c>
      <c r="B29" s="2923" t="s">
        <v>2414</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2408</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2415</v>
      </c>
      <c r="K31" s="2830"/>
      <c r="L31" s="2830"/>
      <c r="M31" s="2830"/>
      <c r="N31" s="2830"/>
      <c r="O31" s="2830"/>
      <c r="P31" s="2830"/>
      <c r="Q31" s="2830"/>
      <c r="R31" s="2831"/>
      <c r="S31" s="2913"/>
      <c r="T31" s="2832"/>
      <c r="U31" s="2832"/>
      <c r="V31" s="2940"/>
    </row>
    <row r="32" spans="1:22" s="2941" customFormat="1" ht="13.15" customHeight="1">
      <c r="A32" s="2922">
        <v>4</v>
      </c>
      <c r="B32" s="2923" t="s">
        <v>2416</v>
      </c>
      <c r="C32" s="2924">
        <f>C23-C26-C29</f>
        <v>0</v>
      </c>
      <c r="D32" s="2925">
        <f>D23-D26-D29</f>
        <v>0</v>
      </c>
      <c r="E32" s="2926">
        <f>E23-E26-E29</f>
        <v>0</v>
      </c>
      <c r="F32" s="2927"/>
      <c r="G32" s="2921"/>
      <c r="H32" s="2839"/>
      <c r="I32" s="2840"/>
      <c r="J32" s="3668" t="s">
        <v>2308</v>
      </c>
      <c r="K32" s="3669"/>
      <c r="L32" s="2841" t="s">
        <v>2309</v>
      </c>
      <c r="M32" s="2841" t="s">
        <v>2310</v>
      </c>
      <c r="N32" s="2841" t="s">
        <v>2311</v>
      </c>
      <c r="O32" s="2841" t="s">
        <v>2312</v>
      </c>
      <c r="P32" s="2841" t="s">
        <v>2313</v>
      </c>
      <c r="Q32" s="2842" t="s">
        <v>2314</v>
      </c>
      <c r="R32" s="2964" t="s">
        <v>2315</v>
      </c>
      <c r="S32" s="2913"/>
      <c r="T32" s="2832"/>
      <c r="U32" s="2832"/>
      <c r="V32" s="2940"/>
    </row>
    <row r="33" spans="1:23" s="2844" customFormat="1" ht="13.15" customHeight="1">
      <c r="A33" s="2922"/>
      <c r="B33" s="2923"/>
      <c r="C33" s="2924"/>
      <c r="D33" s="2965"/>
      <c r="E33" s="2966"/>
      <c r="F33" s="2927"/>
      <c r="G33" s="2921"/>
      <c r="H33" s="2949"/>
      <c r="I33" s="2940"/>
      <c r="J33" s="3670" t="s">
        <v>2318</v>
      </c>
      <c r="K33" s="3671"/>
      <c r="L33" s="2847"/>
      <c r="M33" s="2847"/>
      <c r="N33" s="2847"/>
      <c r="O33" s="2847"/>
      <c r="P33" s="2847"/>
      <c r="Q33" s="2848"/>
      <c r="R33" s="2967">
        <f>SUM(L33:Q33)</f>
        <v>0</v>
      </c>
      <c r="S33" s="2913"/>
      <c r="T33" s="2832"/>
      <c r="U33" s="2832"/>
      <c r="V33" s="2840"/>
    </row>
    <row r="34" spans="1:23" s="2844" customFormat="1" ht="13.15" customHeight="1">
      <c r="A34" s="2922">
        <v>5</v>
      </c>
      <c r="B34" s="2923" t="s">
        <v>2417</v>
      </c>
      <c r="C34" s="2968"/>
      <c r="D34" s="2969"/>
      <c r="E34" s="2970"/>
      <c r="F34" s="2927"/>
      <c r="G34" s="2921"/>
      <c r="H34" s="2949"/>
      <c r="I34" s="2940"/>
      <c r="J34" s="3670" t="s">
        <v>2320</v>
      </c>
      <c r="K34" s="3671"/>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2418</v>
      </c>
      <c r="C35" s="2972"/>
      <c r="D35" s="2973"/>
      <c r="E35" s="2974"/>
      <c r="F35" s="2927"/>
      <c r="G35" s="2975"/>
      <c r="H35" s="2839"/>
      <c r="I35" s="2940"/>
      <c r="J35" s="2858" t="s">
        <v>2322</v>
      </c>
      <c r="K35" s="2859"/>
      <c r="L35" s="2859"/>
      <c r="M35" s="2860"/>
      <c r="N35" s="2860"/>
      <c r="O35" s="2860"/>
      <c r="P35" s="2860"/>
      <c r="Q35" s="2860"/>
      <c r="R35" s="2976">
        <f>R40+R41+R43</f>
        <v>0</v>
      </c>
      <c r="S35" s="2913"/>
      <c r="T35" s="2832" t="s">
        <v>2323</v>
      </c>
      <c r="U35" s="2832"/>
      <c r="V35" s="2840"/>
    </row>
    <row r="36" spans="1:23" s="2844" customFormat="1" ht="13.15" customHeight="1" thickBot="1">
      <c r="A36" s="2922">
        <v>7</v>
      </c>
      <c r="B36" s="2977" t="s">
        <v>2419</v>
      </c>
      <c r="C36" s="2978"/>
      <c r="D36" s="2979"/>
      <c r="E36" s="2980"/>
      <c r="F36" s="2981">
        <f>C36+D36+E36</f>
        <v>0</v>
      </c>
      <c r="G36" s="2921"/>
      <c r="H36" s="2839"/>
      <c r="I36" s="2840"/>
      <c r="J36" s="3662">
        <v>1</v>
      </c>
      <c r="K36" s="3663" t="s">
        <v>2420</v>
      </c>
      <c r="L36" s="2865"/>
      <c r="M36" s="2866"/>
      <c r="N36" s="2866"/>
      <c r="O36" s="2866"/>
      <c r="P36" s="2866"/>
      <c r="Q36" s="2866"/>
      <c r="R36" s="2849" t="s">
        <v>2332</v>
      </c>
      <c r="S36" s="2913"/>
      <c r="T36" s="2832" t="s">
        <v>2333</v>
      </c>
      <c r="U36" s="2832"/>
      <c r="V36" s="2840"/>
    </row>
    <row r="37" spans="1:23" s="2844" customFormat="1" ht="13.15" customHeight="1">
      <c r="A37" s="2922"/>
      <c r="B37" s="2923"/>
      <c r="C37" s="2923"/>
      <c r="D37" s="2923"/>
      <c r="E37" s="2923"/>
      <c r="F37" s="2927"/>
      <c r="G37" s="2921"/>
      <c r="H37" s="2839"/>
      <c r="I37" s="2840"/>
      <c r="J37" s="3662"/>
      <c r="K37" s="3664"/>
      <c r="L37" s="2874"/>
      <c r="M37" s="2875"/>
      <c r="N37" s="2851"/>
      <c r="O37" s="2876"/>
      <c r="P37" s="2876"/>
      <c r="Q37" s="2877"/>
      <c r="R37" s="2878"/>
      <c r="S37" s="2913"/>
      <c r="T37" s="2832" t="s">
        <v>2336</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662"/>
      <c r="K38" s="3664"/>
      <c r="L38" s="2874"/>
      <c r="M38" s="2875"/>
      <c r="N38" s="2851"/>
      <c r="O38" s="2876"/>
      <c r="P38" s="2876"/>
      <c r="Q38" s="2877"/>
      <c r="R38" s="2878"/>
      <c r="S38" s="2913"/>
      <c r="T38" s="2832" t="s">
        <v>2343</v>
      </c>
      <c r="U38" s="2832"/>
      <c r="V38" s="2840"/>
    </row>
    <row r="39" spans="1:23" s="2844" customFormat="1" ht="13.15" customHeight="1">
      <c r="A39" s="2922">
        <v>9</v>
      </c>
      <c r="B39" s="2923" t="s">
        <v>2421</v>
      </c>
      <c r="C39" s="2888" t="e">
        <f>C38</f>
        <v>#DIV/0!</v>
      </c>
      <c r="D39" s="2923">
        <f>D38/(1+D34)^C36</f>
        <v>0</v>
      </c>
      <c r="E39" s="2923">
        <f>E38/(1+E34)^(C36+D36)</f>
        <v>0</v>
      </c>
      <c r="F39" s="2927"/>
      <c r="G39" s="2982"/>
      <c r="H39" s="2839"/>
      <c r="I39" s="2840"/>
      <c r="J39" s="3662"/>
      <c r="K39" s="3664"/>
      <c r="L39" s="2874"/>
      <c r="M39" s="2875"/>
      <c r="N39" s="2851"/>
      <c r="O39" s="2876"/>
      <c r="P39" s="2876"/>
      <c r="Q39" s="2877"/>
      <c r="R39" s="2878"/>
      <c r="S39" s="2913"/>
      <c r="T39" s="2832"/>
      <c r="U39" s="2832"/>
      <c r="V39" s="2840"/>
    </row>
    <row r="40" spans="1:23" s="2844" customFormat="1" ht="13.15" customHeight="1">
      <c r="A40" s="2983">
        <v>10</v>
      </c>
      <c r="B40" s="2923" t="s">
        <v>2422</v>
      </c>
      <c r="C40" s="2984" t="e">
        <f>C39+D39+E39</f>
        <v>#DIV/0!</v>
      </c>
      <c r="D40" s="2985"/>
      <c r="E40" s="2985"/>
      <c r="F40" s="2986"/>
      <c r="G40" s="2921"/>
      <c r="H40" s="2839"/>
      <c r="I40" s="2840"/>
      <c r="J40" s="3662"/>
      <c r="K40" s="3665"/>
      <c r="L40" s="2894" t="s">
        <v>2361</v>
      </c>
      <c r="M40" s="2895"/>
      <c r="N40" s="2895"/>
      <c r="O40" s="2896"/>
      <c r="P40" s="2896"/>
      <c r="Q40" s="2897"/>
      <c r="R40" s="2843">
        <f>SUM(R37:R39)</f>
        <v>0</v>
      </c>
      <c r="S40" s="2913"/>
      <c r="T40" s="2832"/>
      <c r="U40" s="2832"/>
      <c r="V40" s="2840"/>
    </row>
    <row r="41" spans="1:23" s="2844" customFormat="1" ht="13.15" customHeight="1" thickBot="1">
      <c r="A41" s="2987">
        <v>11</v>
      </c>
      <c r="B41" s="2988" t="s">
        <v>2423</v>
      </c>
      <c r="C41" s="2988" t="e">
        <f>ROUND(C40*10000/B4,0)</f>
        <v>#DIV/0!</v>
      </c>
      <c r="D41" s="2989"/>
      <c r="E41" s="2989"/>
      <c r="F41" s="2990"/>
      <c r="G41" s="2991"/>
      <c r="H41" s="2839"/>
      <c r="I41" s="2840"/>
      <c r="J41" s="2935">
        <v>2</v>
      </c>
      <c r="K41" s="2936" t="s">
        <v>2401</v>
      </c>
      <c r="L41" s="2937"/>
      <c r="M41" s="2937"/>
      <c r="N41" s="2937"/>
      <c r="O41" s="2937"/>
      <c r="P41" s="2938"/>
      <c r="Q41" s="2939"/>
      <c r="R41" s="2910">
        <f>ROUND(R40*Q41,0)</f>
        <v>0</v>
      </c>
      <c r="S41" s="2913"/>
      <c r="T41" s="2832"/>
      <c r="U41" s="2947"/>
      <c r="V41" s="2840"/>
    </row>
    <row r="42" spans="1:23" s="2844" customFormat="1" ht="13.15" customHeight="1">
      <c r="G42" s="2991"/>
      <c r="H42" s="2839"/>
      <c r="I42" s="2840"/>
      <c r="J42" s="3666">
        <v>3</v>
      </c>
      <c r="K42" s="2942" t="s">
        <v>2403</v>
      </c>
      <c r="L42" s="2943"/>
      <c r="M42" s="2944"/>
      <c r="N42" s="2945" t="s">
        <v>2404</v>
      </c>
      <c r="O42" s="2945" t="s">
        <v>2405</v>
      </c>
      <c r="P42" s="2946" t="s">
        <v>2406</v>
      </c>
      <c r="Q42" s="2946" t="s">
        <v>2407</v>
      </c>
      <c r="R42" s="2849" t="s">
        <v>2332</v>
      </c>
      <c r="S42" s="2947"/>
      <c r="T42" s="2947"/>
      <c r="U42" s="2832"/>
      <c r="V42" s="2840"/>
    </row>
    <row r="43" spans="1:23" ht="13.15" customHeight="1">
      <c r="A43" s="2844"/>
      <c r="B43" s="2844"/>
      <c r="C43" s="2844"/>
      <c r="D43" s="2844"/>
      <c r="E43" s="2844"/>
      <c r="F43" s="2844"/>
      <c r="I43" s="2827"/>
      <c r="J43" s="3667"/>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2410</v>
      </c>
      <c r="L44" s="2995" t="s">
        <v>2411</v>
      </c>
      <c r="M44" s="2958"/>
      <c r="N44" s="2995" t="s">
        <v>2412</v>
      </c>
      <c r="O44" s="2958"/>
      <c r="P44" s="2995" t="s">
        <v>2413</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698"/>
      <c r="G1" s="1486"/>
      <c r="H1" s="1486"/>
      <c r="I1" s="1486"/>
      <c r="J1" s="1486"/>
      <c r="K1" s="1486"/>
      <c r="L1" s="1486"/>
      <c r="M1" s="1486"/>
      <c r="N1" s="1486"/>
      <c r="O1" s="1486"/>
      <c r="P1" s="1486"/>
      <c r="Q1" s="1486"/>
      <c r="R1" s="1486"/>
      <c r="S1" s="1486"/>
    </row>
    <row r="2" spans="1:22" ht="15.75">
      <c r="A2" s="1867" t="s">
        <v>1462</v>
      </c>
      <c r="B2" s="1868">
        <f ca="1">SUMIF(B6:B13,"&lt;&gt;#ref!",B6:B13)</f>
        <v>0</v>
      </c>
      <c r="C2" s="1869" t="s">
        <v>1651</v>
      </c>
      <c r="D2" s="1870" t="s">
        <v>1652</v>
      </c>
      <c r="E2" s="2598">
        <f>SUM(E6:E13)</f>
        <v>0</v>
      </c>
      <c r="F2" s="2698"/>
      <c r="G2" s="1486"/>
      <c r="H2" s="1486"/>
      <c r="I2" s="1486"/>
      <c r="J2" s="1486"/>
      <c r="K2" s="1486"/>
      <c r="L2" s="1486"/>
      <c r="M2" s="1486"/>
      <c r="N2" s="1486"/>
      <c r="O2" s="1486"/>
      <c r="P2" s="1486"/>
      <c r="Q2" s="1486"/>
      <c r="R2" s="1486"/>
      <c r="S2" s="1486"/>
    </row>
    <row r="3" spans="1:22" ht="15.75">
      <c r="A3" s="1867" t="s">
        <v>686</v>
      </c>
      <c r="B3" s="2592" t="e">
        <f ca="1">ROUND(B2*10000/E2,0)</f>
        <v>#DIV/0!</v>
      </c>
      <c r="C3" s="1869" t="s">
        <v>1659</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1653</v>
      </c>
      <c r="B5" s="3681" t="s">
        <v>1654</v>
      </c>
      <c r="C5" s="3682"/>
      <c r="D5" s="2699"/>
      <c r="E5" s="1871" t="s">
        <v>1655</v>
      </c>
      <c r="F5" s="1872" t="s">
        <v>1656</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1651</v>
      </c>
      <c r="D6" s="2700"/>
      <c r="E6" s="2597">
        <f>IF(OR(A6=0,F6="否"),0,'数据-取费表'!K6+'数据-取费表'!S6)</f>
        <v>0</v>
      </c>
      <c r="F6" s="1873" t="s">
        <v>1657</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1651</v>
      </c>
      <c r="D7" s="2700"/>
      <c r="E7" s="2597">
        <f>IF(OR(A7=0,F7="否"),0,'数据-取费表'!K7+'数据-取费表'!S7)</f>
        <v>0</v>
      </c>
      <c r="F7" s="1873" t="s">
        <v>1657</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1651</v>
      </c>
      <c r="D8" s="2700"/>
      <c r="E8" s="2597">
        <f>IF(OR(A8=0,F8="否"),0,'数据-取费表'!K8+'数据-取费表'!S8)</f>
        <v>0</v>
      </c>
      <c r="F8" s="1873" t="s">
        <v>1657</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1651</v>
      </c>
      <c r="D9" s="2700"/>
      <c r="E9" s="2597">
        <f>IF(OR(A9=0,F9="否"),0,'数据-取费表'!K9+'数据-取费表'!S9)</f>
        <v>0</v>
      </c>
      <c r="F9" s="1873" t="s">
        <v>1657</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1651</v>
      </c>
      <c r="D10" s="2700"/>
      <c r="E10" s="2597">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1651</v>
      </c>
      <c r="D11" s="2700"/>
      <c r="E11" s="2597">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1651</v>
      </c>
      <c r="D12" s="2700"/>
      <c r="E12" s="2597">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1651</v>
      </c>
      <c r="D13" s="2701"/>
      <c r="E13" s="2597">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G19" sqref="G1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17" t="s">
        <v>3461</v>
      </c>
      <c r="F1" s="1876" t="s">
        <v>3462</v>
      </c>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t="e">
        <f>IF(C2="——",C49,ROUND(B2*10000/D3,0))</f>
        <v>#N/A</v>
      </c>
      <c r="C3" s="354" t="s">
        <v>1665</v>
      </c>
      <c r="D3" s="353">
        <f>IF(D1="",'数据-汇总表'!E3,SUMIF('数据-汇总表'!$C19:$C33,D1,'数据-汇总表'!$E19:$E33))</f>
        <v>0</v>
      </c>
      <c r="E3" s="904"/>
      <c r="F3" s="1885"/>
      <c r="G3" s="904"/>
      <c r="H3" s="904"/>
      <c r="I3" s="904"/>
      <c r="J3" s="904"/>
      <c r="K3" s="1881"/>
      <c r="L3" s="2704"/>
      <c r="M3" s="2705"/>
      <c r="N3" s="2705"/>
      <c r="O3" s="2705"/>
      <c r="P3" s="1882"/>
      <c r="Q3" s="1883"/>
      <c r="R3" s="1883"/>
      <c r="S3" s="1883"/>
      <c r="T3" s="1883"/>
      <c r="U3" s="1883"/>
      <c r="V3" s="1883"/>
      <c r="W3" s="1883"/>
      <c r="X3" s="1883"/>
      <c r="Y3" s="1883"/>
      <c r="Z3" s="1883"/>
      <c r="AA3" s="1883"/>
      <c r="AB3" s="1883"/>
      <c r="AC3" s="1058"/>
    </row>
    <row r="4" spans="1:29" ht="15">
      <c r="A4" s="355" t="s">
        <v>1666</v>
      </c>
      <c r="B4" s="356"/>
      <c r="C4" s="3701" t="s">
        <v>1667</v>
      </c>
      <c r="D4" s="3702"/>
      <c r="E4" s="3703" t="s">
        <v>1668</v>
      </c>
      <c r="F4" s="3704"/>
      <c r="G4" s="3701" t="s">
        <v>1669</v>
      </c>
      <c r="H4" s="3702"/>
      <c r="I4" s="3701" t="s">
        <v>1670</v>
      </c>
      <c r="J4" s="3702"/>
      <c r="K4" s="1886" t="s">
        <v>1671</v>
      </c>
      <c r="L4" s="2706"/>
      <c r="M4" s="2707"/>
      <c r="N4" s="2707"/>
      <c r="O4" s="2707"/>
      <c r="P4" s="3705" t="s">
        <v>1672</v>
      </c>
      <c r="Q4" s="3706"/>
      <c r="R4" s="3711" t="s">
        <v>1668</v>
      </c>
      <c r="S4" s="3712"/>
      <c r="T4" s="3711" t="s">
        <v>1669</v>
      </c>
      <c r="U4" s="3712"/>
      <c r="V4" s="3717" t="s">
        <v>1670</v>
      </c>
      <c r="W4" s="3717"/>
      <c r="X4" s="1352"/>
      <c r="Y4" s="3711" t="s">
        <v>1672</v>
      </c>
      <c r="Z4" s="3712"/>
      <c r="AA4" s="3698" t="s">
        <v>1668</v>
      </c>
      <c r="AB4" s="3698" t="s">
        <v>1669</v>
      </c>
      <c r="AC4" s="3698" t="s">
        <v>1670</v>
      </c>
    </row>
    <row r="5" spans="1:29" ht="15">
      <c r="A5" s="358"/>
      <c r="B5" s="359"/>
      <c r="C5" s="3720" t="s">
        <v>1673</v>
      </c>
      <c r="D5" s="3721"/>
      <c r="E5" s="3727" t="s">
        <v>1674</v>
      </c>
      <c r="F5" s="3728"/>
      <c r="G5" s="3720" t="s">
        <v>1675</v>
      </c>
      <c r="H5" s="3721"/>
      <c r="I5" s="3720" t="s">
        <v>1676</v>
      </c>
      <c r="J5" s="3721"/>
      <c r="K5" s="1887"/>
      <c r="L5" s="2706"/>
      <c r="M5" s="2707"/>
      <c r="N5" s="2707"/>
      <c r="O5" s="2707"/>
      <c r="P5" s="3707"/>
      <c r="Q5" s="3708"/>
      <c r="R5" s="3713"/>
      <c r="S5" s="3714"/>
      <c r="T5" s="3713"/>
      <c r="U5" s="3714"/>
      <c r="V5" s="3717"/>
      <c r="W5" s="3717"/>
      <c r="X5" s="1352"/>
      <c r="Y5" s="3713"/>
      <c r="Z5" s="3714"/>
      <c r="AA5" s="3699"/>
      <c r="AB5" s="3699"/>
      <c r="AC5" s="3699"/>
    </row>
    <row r="6" spans="1:29" ht="15.75" thickBot="1">
      <c r="A6" s="360"/>
      <c r="B6" s="361"/>
      <c r="C6" s="3718" t="s">
        <v>1677</v>
      </c>
      <c r="D6" s="3719"/>
      <c r="E6" s="3725" t="s">
        <v>1677</v>
      </c>
      <c r="F6" s="3726"/>
      <c r="G6" s="3718" t="s">
        <v>1677</v>
      </c>
      <c r="H6" s="3719"/>
      <c r="I6" s="3718" t="s">
        <v>1677</v>
      </c>
      <c r="J6" s="3719"/>
      <c r="K6" s="1887" t="s">
        <v>1678</v>
      </c>
      <c r="L6" s="2706"/>
      <c r="M6" s="2707"/>
      <c r="N6" s="2707"/>
      <c r="O6" s="2707"/>
      <c r="P6" s="3709"/>
      <c r="Q6" s="3710"/>
      <c r="R6" s="3713"/>
      <c r="S6" s="3714"/>
      <c r="T6" s="3715"/>
      <c r="U6" s="3716"/>
      <c r="V6" s="3717"/>
      <c r="W6" s="3717"/>
      <c r="X6" s="1352"/>
      <c r="Y6" s="3715"/>
      <c r="Z6" s="3716"/>
      <c r="AA6" s="3700"/>
      <c r="AB6" s="3700"/>
      <c r="AC6" s="3700"/>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1888"/>
      <c r="L7" s="2708"/>
      <c r="M7" s="2709"/>
      <c r="N7" s="2709"/>
      <c r="O7" s="2709"/>
      <c r="P7" s="3722" t="s">
        <v>1680</v>
      </c>
      <c r="Q7" s="3724"/>
      <c r="R7" s="698" t="s">
        <v>20</v>
      </c>
      <c r="S7" s="699">
        <f t="shared" ref="S7:S15" si="0">F7</f>
        <v>100</v>
      </c>
      <c r="T7" s="698" t="s">
        <v>20</v>
      </c>
      <c r="U7" s="699">
        <f t="shared" ref="U7:U15" si="1">H7</f>
        <v>100</v>
      </c>
      <c r="V7" s="698" t="s">
        <v>20</v>
      </c>
      <c r="W7" s="699">
        <f t="shared" ref="W7:W15" si="2">J7</f>
        <v>100</v>
      </c>
      <c r="X7" s="700"/>
      <c r="Y7" s="3722" t="s">
        <v>1680</v>
      </c>
      <c r="Z7" s="3723"/>
      <c r="AA7" s="701">
        <f>D7/F7</f>
        <v>1</v>
      </c>
      <c r="AB7" s="701">
        <f>D7/H7</f>
        <v>1</v>
      </c>
      <c r="AC7" s="701">
        <f>D7/J7</f>
        <v>1</v>
      </c>
    </row>
    <row r="8" spans="1:29" s="108" customFormat="1" ht="15.75" thickBot="1">
      <c r="A8" s="362" t="s">
        <v>1681</v>
      </c>
      <c r="B8" s="363"/>
      <c r="C8" s="368" t="s">
        <v>3400</v>
      </c>
      <c r="D8" s="365">
        <v>100</v>
      </c>
      <c r="E8" s="1889" t="s">
        <v>3412</v>
      </c>
      <c r="F8" s="367">
        <f>SUMIF(61:61,E8,62:62)-SUMIF(61:61,C8,62:62)+100</f>
        <v>102</v>
      </c>
      <c r="G8" s="368" t="s">
        <v>3412</v>
      </c>
      <c r="H8" s="365">
        <f>SUMIF(61:61,G8,62:62)-SUMIF(61:61,C8,62:62)+100</f>
        <v>102</v>
      </c>
      <c r="I8" s="1889" t="s">
        <v>3412</v>
      </c>
      <c r="J8" s="365">
        <f>SUMIF(61:61,I8,62:62)-SUMIF(61:61,C8,62:62)+100</f>
        <v>102</v>
      </c>
      <c r="K8" s="1888"/>
      <c r="L8" s="2708"/>
      <c r="M8" s="2709"/>
      <c r="N8" s="2709"/>
      <c r="O8" s="2709"/>
      <c r="P8" s="3722" t="s">
        <v>1683</v>
      </c>
      <c r="Q8" s="3723"/>
      <c r="R8" s="698" t="s">
        <v>20</v>
      </c>
      <c r="S8" s="699">
        <f t="shared" si="0"/>
        <v>102</v>
      </c>
      <c r="T8" s="698" t="s">
        <v>20</v>
      </c>
      <c r="U8" s="699">
        <f t="shared" si="1"/>
        <v>102</v>
      </c>
      <c r="V8" s="698" t="s">
        <v>20</v>
      </c>
      <c r="W8" s="699">
        <f t="shared" si="2"/>
        <v>102</v>
      </c>
      <c r="X8" s="700"/>
      <c r="Y8" s="3722" t="s">
        <v>1683</v>
      </c>
      <c r="Z8" s="3723"/>
      <c r="AA8" s="701">
        <f t="shared" ref="AA8:AA19" si="3">D8/F8</f>
        <v>0.98039215686274506</v>
      </c>
      <c r="AB8" s="701">
        <f t="shared" ref="AB8:AB19" si="4">D8/H8</f>
        <v>0.98039215686274506</v>
      </c>
      <c r="AC8" s="701">
        <f t="shared" ref="AC8:AC19" si="5">D8/J8</f>
        <v>0.98039215686274506</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08"/>
      <c r="M9" s="2709"/>
      <c r="N9" s="2709"/>
      <c r="O9" s="2709"/>
      <c r="P9" s="3697" t="s">
        <v>1686</v>
      </c>
      <c r="Q9" s="1340" t="str">
        <f t="shared" ref="Q9:Q15" si="6">B9</f>
        <v>用途</v>
      </c>
      <c r="R9" s="698" t="s">
        <v>14</v>
      </c>
      <c r="S9" s="699">
        <f t="shared" si="0"/>
        <v>100</v>
      </c>
      <c r="T9" s="698" t="s">
        <v>14</v>
      </c>
      <c r="U9" s="699">
        <f t="shared" si="1"/>
        <v>100</v>
      </c>
      <c r="V9" s="698" t="s">
        <v>14</v>
      </c>
      <c r="W9" s="699">
        <f t="shared" si="2"/>
        <v>100</v>
      </c>
      <c r="X9" s="700"/>
      <c r="Y9" s="3561" t="s">
        <v>1687</v>
      </c>
      <c r="Z9" s="52" t="str">
        <f t="shared" ref="Z9:Z15" si="7">Q9</f>
        <v>用途</v>
      </c>
      <c r="AA9" s="701">
        <f t="shared" si="3"/>
        <v>1</v>
      </c>
      <c r="AB9" s="701">
        <f t="shared" si="4"/>
        <v>1</v>
      </c>
      <c r="AC9" s="701">
        <f t="shared" si="5"/>
        <v>1</v>
      </c>
    </row>
    <row r="10" spans="1:29" s="378" customFormat="1" ht="27">
      <c r="A10" s="374"/>
      <c r="B10" s="375" t="s">
        <v>1688</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697"/>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2"/>
      <c r="M11" s="2707"/>
      <c r="N11" s="2707"/>
      <c r="O11" s="2707"/>
      <c r="P11" s="3697"/>
      <c r="Q11" s="1340" t="str">
        <f t="shared" si="6"/>
        <v>容积率</v>
      </c>
      <c r="R11" s="698" t="s">
        <v>18</v>
      </c>
      <c r="S11" s="699">
        <f t="shared" si="0"/>
        <v>100</v>
      </c>
      <c r="T11" s="698" t="s">
        <v>18</v>
      </c>
      <c r="U11" s="699">
        <f t="shared" si="1"/>
        <v>100</v>
      </c>
      <c r="V11" s="698" t="s">
        <v>18</v>
      </c>
      <c r="W11" s="699">
        <f t="shared" si="2"/>
        <v>100</v>
      </c>
      <c r="X11" s="700"/>
      <c r="Y11" s="3561"/>
      <c r="Z11" s="52" t="str">
        <f t="shared" si="7"/>
        <v>容积率</v>
      </c>
      <c r="AA11" s="701">
        <f t="shared" si="3"/>
        <v>1</v>
      </c>
      <c r="AB11" s="701">
        <f t="shared" si="4"/>
        <v>1</v>
      </c>
      <c r="AC11" s="701">
        <f t="shared" si="5"/>
        <v>1</v>
      </c>
    </row>
    <row r="12" spans="1:29" s="108" customFormat="1" ht="15" hidden="1">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08"/>
      <c r="M12" s="2709"/>
      <c r="N12" s="2709"/>
      <c r="O12" s="2709"/>
      <c r="P12" s="3697"/>
      <c r="Q12" s="1340">
        <f t="shared" si="6"/>
        <v>111</v>
      </c>
      <c r="R12" s="698" t="s">
        <v>18</v>
      </c>
      <c r="S12" s="699">
        <f t="shared" si="0"/>
        <v>100</v>
      </c>
      <c r="T12" s="698" t="s">
        <v>18</v>
      </c>
      <c r="U12" s="699">
        <f t="shared" si="1"/>
        <v>100</v>
      </c>
      <c r="V12" s="698" t="s">
        <v>18</v>
      </c>
      <c r="W12" s="699">
        <f t="shared" si="2"/>
        <v>100</v>
      </c>
      <c r="X12" s="700"/>
      <c r="Y12" s="3561"/>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3"/>
      <c r="M13" s="2707"/>
      <c r="N13" s="2707"/>
      <c r="O13" s="2707"/>
      <c r="P13" s="3697"/>
      <c r="Q13" s="1340">
        <f t="shared" si="6"/>
        <v>111</v>
      </c>
      <c r="R13" s="698" t="s">
        <v>18</v>
      </c>
      <c r="S13" s="699">
        <f t="shared" si="0"/>
        <v>100</v>
      </c>
      <c r="T13" s="698" t="s">
        <v>18</v>
      </c>
      <c r="U13" s="699">
        <f t="shared" si="1"/>
        <v>100</v>
      </c>
      <c r="V13" s="698" t="s">
        <v>18</v>
      </c>
      <c r="W13" s="699">
        <f t="shared" si="2"/>
        <v>100</v>
      </c>
      <c r="X13" s="700"/>
      <c r="Y13" s="3561"/>
      <c r="Z13" s="52">
        <f t="shared" si="7"/>
        <v>111</v>
      </c>
      <c r="AA13" s="701">
        <f t="shared" si="3"/>
        <v>1</v>
      </c>
      <c r="AB13" s="701">
        <f t="shared" si="4"/>
        <v>1</v>
      </c>
      <c r="AC13" s="701">
        <f t="shared" si="5"/>
        <v>1</v>
      </c>
    </row>
    <row r="14" spans="1:29" ht="15.75" hidden="1"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3"/>
      <c r="M14" s="2707"/>
      <c r="N14" s="2707"/>
      <c r="O14" s="2707"/>
      <c r="P14" s="3697"/>
      <c r="Q14" s="1340">
        <f t="shared" si="6"/>
        <v>111</v>
      </c>
      <c r="R14" s="698" t="s">
        <v>18</v>
      </c>
      <c r="S14" s="699">
        <f t="shared" si="0"/>
        <v>100</v>
      </c>
      <c r="T14" s="698" t="s">
        <v>18</v>
      </c>
      <c r="U14" s="699">
        <f t="shared" si="1"/>
        <v>100</v>
      </c>
      <c r="V14" s="698" t="s">
        <v>18</v>
      </c>
      <c r="W14" s="699">
        <f t="shared" si="2"/>
        <v>100</v>
      </c>
      <c r="X14" s="700"/>
      <c r="Y14" s="3561"/>
      <c r="Z14" s="52">
        <f t="shared" si="7"/>
        <v>111</v>
      </c>
      <c r="AA14" s="701">
        <f t="shared" si="3"/>
        <v>1</v>
      </c>
      <c r="AB14" s="701">
        <f t="shared" si="4"/>
        <v>1</v>
      </c>
      <c r="AC14" s="701">
        <f t="shared" si="5"/>
        <v>1</v>
      </c>
    </row>
    <row r="15" spans="1:29" ht="15">
      <c r="A15" s="391" t="s">
        <v>1690</v>
      </c>
      <c r="B15" s="61" t="s">
        <v>1257</v>
      </c>
      <c r="C15" s="1893" t="str">
        <f>估价对象房地状况!C3</f>
        <v xml:space="preserve"> </v>
      </c>
      <c r="D15" s="392">
        <v>100</v>
      </c>
      <c r="E15" s="395"/>
      <c r="F15" s="392">
        <f>SUMIF(76:76,E16,77:77)-SUMIF(76:76,C16,77:77)+100</f>
        <v>2</v>
      </c>
      <c r="G15" s="393"/>
      <c r="H15" s="392">
        <f>SUMIF(76:76,G16,77:77)-SUMIF(76:76,C16,77:77)+100</f>
        <v>2</v>
      </c>
      <c r="I15" s="393"/>
      <c r="J15" s="392">
        <f>SUMIF(76:76,I16,77:77)-SUMIF(76:76,C16,77:77)+100</f>
        <v>2</v>
      </c>
      <c r="K15" s="396">
        <v>2</v>
      </c>
      <c r="L15" s="2713"/>
      <c r="M15" s="2707"/>
      <c r="N15" s="2707"/>
      <c r="O15" s="2707"/>
      <c r="P15" s="3695" t="s">
        <v>1691</v>
      </c>
      <c r="Q15" s="1349" t="str">
        <f t="shared" si="6"/>
        <v>居住社区成熟度</v>
      </c>
      <c r="R15" s="702" t="s">
        <v>18</v>
      </c>
      <c r="S15" s="703">
        <f t="shared" si="0"/>
        <v>2</v>
      </c>
      <c r="T15" s="702" t="s">
        <v>18</v>
      </c>
      <c r="U15" s="703">
        <f t="shared" si="1"/>
        <v>2</v>
      </c>
      <c r="V15" s="702" t="s">
        <v>18</v>
      </c>
      <c r="W15" s="703">
        <f t="shared" si="2"/>
        <v>2</v>
      </c>
      <c r="X15" s="1352"/>
      <c r="Y15" s="3688" t="s">
        <v>1691</v>
      </c>
      <c r="Z15" s="1353" t="str">
        <f t="shared" si="7"/>
        <v>居住社区成熟度</v>
      </c>
      <c r="AA15" s="1350">
        <f t="shared" si="3"/>
        <v>50</v>
      </c>
      <c r="AB15" s="1350">
        <f t="shared" si="4"/>
        <v>50</v>
      </c>
      <c r="AC15" s="1350">
        <f t="shared" si="5"/>
        <v>50</v>
      </c>
    </row>
    <row r="16" spans="1:29" ht="15">
      <c r="A16" s="379"/>
      <c r="B16" s="397"/>
      <c r="C16" s="398" t="s">
        <v>3386</v>
      </c>
      <c r="D16" s="399"/>
      <c r="E16" s="1894"/>
      <c r="F16" s="399"/>
      <c r="G16" s="1895"/>
      <c r="H16" s="401"/>
      <c r="I16" s="1895"/>
      <c r="J16" s="399"/>
      <c r="K16" s="1896"/>
      <c r="L16" s="2713"/>
      <c r="M16" s="2707"/>
      <c r="N16" s="2707"/>
      <c r="O16" s="2707"/>
      <c r="P16" s="3696"/>
      <c r="Q16" s="1349"/>
      <c r="R16" s="702"/>
      <c r="S16" s="703"/>
      <c r="T16" s="702"/>
      <c r="U16" s="703"/>
      <c r="V16" s="702"/>
      <c r="W16" s="703"/>
      <c r="X16" s="1352"/>
      <c r="Y16" s="3689"/>
      <c r="Z16" s="1353"/>
      <c r="AA16" s="1350">
        <v>1</v>
      </c>
      <c r="AB16" s="1350">
        <v>1</v>
      </c>
      <c r="AC16" s="1350">
        <v>1</v>
      </c>
    </row>
    <row r="17" spans="1:29" ht="15">
      <c r="A17" s="379"/>
      <c r="B17" s="402" t="s">
        <v>1259</v>
      </c>
      <c r="C17" s="1897"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713"/>
      <c r="M17" s="2707"/>
      <c r="N17" s="2707"/>
      <c r="O17" s="2707"/>
      <c r="P17" s="3696"/>
      <c r="Q17" s="1349" t="str">
        <f>B17</f>
        <v>交通便捷度</v>
      </c>
      <c r="R17" s="702" t="s">
        <v>18</v>
      </c>
      <c r="S17" s="703">
        <f>F17</f>
        <v>100</v>
      </c>
      <c r="T17" s="702" t="s">
        <v>18</v>
      </c>
      <c r="U17" s="703">
        <f>H17</f>
        <v>100</v>
      </c>
      <c r="V17" s="702" t="s">
        <v>18</v>
      </c>
      <c r="W17" s="703">
        <f>J17</f>
        <v>100</v>
      </c>
      <c r="X17" s="1352"/>
      <c r="Y17" s="3689"/>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3"/>
      <c r="M18" s="2707"/>
      <c r="N18" s="2707"/>
      <c r="O18" s="2707"/>
      <c r="P18" s="3696"/>
      <c r="Q18" s="1349"/>
      <c r="R18" s="702"/>
      <c r="S18" s="703"/>
      <c r="T18" s="702"/>
      <c r="U18" s="703"/>
      <c r="V18" s="702"/>
      <c r="W18" s="703"/>
      <c r="X18" s="1352"/>
      <c r="Y18" s="3689"/>
      <c r="Z18" s="1353"/>
      <c r="AA18" s="1350">
        <v>1</v>
      </c>
      <c r="AB18" s="1350">
        <v>1</v>
      </c>
      <c r="AC18" s="1350">
        <v>1</v>
      </c>
    </row>
    <row r="19" spans="1:29" ht="15">
      <c r="A19" s="379"/>
      <c r="B19" s="402" t="s">
        <v>1258</v>
      </c>
      <c r="C19" s="1897"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713"/>
      <c r="M19" s="2707"/>
      <c r="N19" s="2707"/>
      <c r="O19" s="2707"/>
      <c r="P19" s="3696"/>
      <c r="Q19" s="1349" t="str">
        <f>B19</f>
        <v>公共配套设施</v>
      </c>
      <c r="R19" s="702" t="s">
        <v>18</v>
      </c>
      <c r="S19" s="703">
        <f>F19</f>
        <v>100</v>
      </c>
      <c r="T19" s="702" t="s">
        <v>18</v>
      </c>
      <c r="U19" s="703">
        <f>H19</f>
        <v>100</v>
      </c>
      <c r="V19" s="702" t="s">
        <v>18</v>
      </c>
      <c r="W19" s="703">
        <f>J19</f>
        <v>100</v>
      </c>
      <c r="X19" s="1352"/>
      <c r="Y19" s="3689"/>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3"/>
      <c r="M20" s="2707"/>
      <c r="N20" s="2707"/>
      <c r="O20" s="2707"/>
      <c r="P20" s="3696"/>
      <c r="Q20" s="1349"/>
      <c r="R20" s="702"/>
      <c r="S20" s="703"/>
      <c r="T20" s="702"/>
      <c r="U20" s="703"/>
      <c r="V20" s="702"/>
      <c r="W20" s="703"/>
      <c r="X20" s="1352"/>
      <c r="Y20" s="3689"/>
      <c r="Z20" s="1353"/>
      <c r="AA20" s="1350">
        <v>1</v>
      </c>
      <c r="AB20" s="1350">
        <v>1</v>
      </c>
      <c r="AC20" s="1350">
        <v>1</v>
      </c>
    </row>
    <row r="21" spans="1:29" ht="15">
      <c r="A21" s="379"/>
      <c r="B21" s="1128" t="s">
        <v>1260</v>
      </c>
      <c r="C21" s="1897"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3"/>
      <c r="M21" s="2707"/>
      <c r="N21" s="2707"/>
      <c r="O21" s="2707"/>
      <c r="P21" s="3696"/>
      <c r="Q21" s="1349" t="str">
        <f>B21</f>
        <v>基础设施水平</v>
      </c>
      <c r="R21" s="702" t="s">
        <v>14</v>
      </c>
      <c r="S21" s="703">
        <f>F21</f>
        <v>100</v>
      </c>
      <c r="T21" s="702" t="s">
        <v>14</v>
      </c>
      <c r="U21" s="703">
        <f>H21</f>
        <v>100</v>
      </c>
      <c r="V21" s="702" t="s">
        <v>14</v>
      </c>
      <c r="W21" s="703">
        <f>J21</f>
        <v>100</v>
      </c>
      <c r="X21" s="1352"/>
      <c r="Y21" s="368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3"/>
      <c r="M22" s="2707"/>
      <c r="N22" s="2707"/>
      <c r="O22" s="2707"/>
      <c r="P22" s="3696"/>
      <c r="Q22" s="1349"/>
      <c r="R22" s="702"/>
      <c r="S22" s="703"/>
      <c r="T22" s="702"/>
      <c r="U22" s="703"/>
      <c r="V22" s="702"/>
      <c r="W22" s="703"/>
      <c r="X22" s="1352"/>
      <c r="Y22" s="3689"/>
      <c r="Z22" s="1353"/>
      <c r="AA22" s="1350">
        <v>1</v>
      </c>
      <c r="AB22" s="1350">
        <v>1</v>
      </c>
      <c r="AC22" s="1350">
        <v>1</v>
      </c>
    </row>
    <row r="23" spans="1:29" ht="15">
      <c r="A23" s="379"/>
      <c r="B23" s="402" t="s">
        <v>1261</v>
      </c>
      <c r="C23" s="1897"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713"/>
      <c r="M23" s="2707"/>
      <c r="N23" s="2707"/>
      <c r="O23" s="2707"/>
      <c r="P23" s="3696"/>
      <c r="Q23" s="1349" t="str">
        <f>B23</f>
        <v>自然及人文环境</v>
      </c>
      <c r="R23" s="702" t="s">
        <v>18</v>
      </c>
      <c r="S23" s="703">
        <f>F23</f>
        <v>100</v>
      </c>
      <c r="T23" s="702" t="s">
        <v>18</v>
      </c>
      <c r="U23" s="703">
        <f>H23</f>
        <v>100</v>
      </c>
      <c r="V23" s="702" t="s">
        <v>18</v>
      </c>
      <c r="W23" s="703">
        <f>J23</f>
        <v>100</v>
      </c>
      <c r="X23" s="1352"/>
      <c r="Y23" s="3689"/>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3"/>
      <c r="M24" s="2707"/>
      <c r="N24" s="2707"/>
      <c r="O24" s="2707"/>
      <c r="P24" s="3696"/>
      <c r="Q24" s="1349"/>
      <c r="R24" s="702"/>
      <c r="S24" s="703"/>
      <c r="T24" s="702"/>
      <c r="U24" s="703"/>
      <c r="V24" s="702"/>
      <c r="W24" s="703"/>
      <c r="X24" s="1352"/>
      <c r="Y24" s="3689"/>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v>2</v>
      </c>
      <c r="L25" s="2713"/>
      <c r="M25" s="2707"/>
      <c r="N25" s="2707"/>
      <c r="O25" s="2707"/>
      <c r="P25" s="3696"/>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689"/>
      <c r="Z25" s="1353" t="str">
        <f>Q25</f>
        <v>楼层-1</v>
      </c>
      <c r="AA25" s="1350">
        <f t="shared" ref="AA25:AA46" si="15">D25/F25</f>
        <v>1</v>
      </c>
      <c r="AB25" s="1350">
        <f t="shared" ref="AB25:AB46" si="16">D25/H25</f>
        <v>1</v>
      </c>
      <c r="AC25" s="1350">
        <f t="shared" ref="AC25:AC46" si="17">D25/J25</f>
        <v>1</v>
      </c>
    </row>
    <row r="26" spans="1:29" ht="15.75" thickBot="1">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v>2</v>
      </c>
      <c r="L26" s="2713"/>
      <c r="M26" s="2707"/>
      <c r="N26" s="2707"/>
      <c r="O26" s="2707"/>
      <c r="P26" s="3696"/>
      <c r="Q26" s="1349" t="str">
        <f t="shared" si="11"/>
        <v>朝向</v>
      </c>
      <c r="R26" s="702" t="s">
        <v>18</v>
      </c>
      <c r="S26" s="703">
        <f t="shared" si="12"/>
        <v>100</v>
      </c>
      <c r="T26" s="702" t="s">
        <v>18</v>
      </c>
      <c r="U26" s="703">
        <f t="shared" si="13"/>
        <v>100</v>
      </c>
      <c r="V26" s="702" t="s">
        <v>18</v>
      </c>
      <c r="W26" s="703">
        <f t="shared" si="14"/>
        <v>100</v>
      </c>
      <c r="X26" s="1352"/>
      <c r="Y26" s="3689"/>
      <c r="Z26" s="1353" t="str">
        <f>Q26</f>
        <v>朝向</v>
      </c>
      <c r="AA26" s="1350">
        <f t="shared" si="15"/>
        <v>1</v>
      </c>
      <c r="AB26" s="1350">
        <f t="shared" si="16"/>
        <v>1</v>
      </c>
      <c r="AC26" s="1350">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08"/>
      <c r="M27" s="2709"/>
      <c r="N27" s="2709"/>
      <c r="O27" s="2709"/>
      <c r="P27" s="3696"/>
      <c r="Q27" s="1340">
        <f t="shared" si="11"/>
        <v>111</v>
      </c>
      <c r="R27" s="698" t="s">
        <v>18</v>
      </c>
      <c r="S27" s="699">
        <f t="shared" si="12"/>
        <v>100</v>
      </c>
      <c r="T27" s="698" t="s">
        <v>18</v>
      </c>
      <c r="U27" s="699">
        <f t="shared" si="13"/>
        <v>100</v>
      </c>
      <c r="V27" s="698" t="s">
        <v>18</v>
      </c>
      <c r="W27" s="699">
        <f t="shared" si="14"/>
        <v>100</v>
      </c>
      <c r="X27" s="700"/>
      <c r="Y27" s="3689"/>
      <c r="Z27" s="52">
        <f>Q27</f>
        <v>111</v>
      </c>
      <c r="AA27" s="1350">
        <f t="shared" si="15"/>
        <v>1</v>
      </c>
      <c r="AB27" s="1350">
        <f t="shared" si="16"/>
        <v>1</v>
      </c>
      <c r="AC27" s="1350">
        <f t="shared" si="17"/>
        <v>1</v>
      </c>
    </row>
    <row r="28" spans="1:29" ht="15" hidden="1">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3"/>
      <c r="M28" s="2707"/>
      <c r="N28" s="2707"/>
      <c r="O28" s="2707"/>
      <c r="P28" s="3696"/>
      <c r="Q28" s="1349">
        <f t="shared" si="11"/>
        <v>111</v>
      </c>
      <c r="R28" s="702" t="s">
        <v>18</v>
      </c>
      <c r="S28" s="703">
        <f t="shared" si="12"/>
        <v>100</v>
      </c>
      <c r="T28" s="702" t="s">
        <v>18</v>
      </c>
      <c r="U28" s="703">
        <f t="shared" si="13"/>
        <v>100</v>
      </c>
      <c r="V28" s="702" t="s">
        <v>18</v>
      </c>
      <c r="W28" s="703">
        <f t="shared" si="14"/>
        <v>100</v>
      </c>
      <c r="X28" s="1352"/>
      <c r="Y28" s="3689"/>
      <c r="Z28" s="1353">
        <f t="shared" ref="Z28:Z46" si="18">Q28</f>
        <v>111</v>
      </c>
      <c r="AA28" s="1350">
        <f t="shared" si="15"/>
        <v>1</v>
      </c>
      <c r="AB28" s="1350">
        <f t="shared" si="16"/>
        <v>1</v>
      </c>
      <c r="AC28" s="1350">
        <f t="shared" si="17"/>
        <v>1</v>
      </c>
    </row>
    <row r="29" spans="1:29" ht="15" hidden="1">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3"/>
      <c r="M29" s="2707"/>
      <c r="N29" s="2707"/>
      <c r="O29" s="2707"/>
      <c r="P29" s="3696"/>
      <c r="Q29" s="1349">
        <f t="shared" si="11"/>
        <v>111</v>
      </c>
      <c r="R29" s="702" t="s">
        <v>18</v>
      </c>
      <c r="S29" s="703">
        <f t="shared" si="12"/>
        <v>100</v>
      </c>
      <c r="T29" s="702" t="s">
        <v>18</v>
      </c>
      <c r="U29" s="703">
        <f t="shared" si="13"/>
        <v>100</v>
      </c>
      <c r="V29" s="702" t="s">
        <v>18</v>
      </c>
      <c r="W29" s="703">
        <f t="shared" si="14"/>
        <v>100</v>
      </c>
      <c r="X29" s="1352"/>
      <c r="Y29" s="3689"/>
      <c r="Z29" s="1353">
        <f t="shared" si="18"/>
        <v>111</v>
      </c>
      <c r="AA29" s="1350">
        <f t="shared" si="15"/>
        <v>1</v>
      </c>
      <c r="AB29" s="1350">
        <f t="shared" si="16"/>
        <v>1</v>
      </c>
      <c r="AC29" s="1350">
        <f t="shared" si="17"/>
        <v>1</v>
      </c>
    </row>
    <row r="30" spans="1:29" ht="15" hidden="1">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3"/>
      <c r="M30" s="2707"/>
      <c r="N30" s="2707"/>
      <c r="O30" s="2707"/>
      <c r="P30" s="3696"/>
      <c r="Q30" s="1349">
        <f t="shared" si="11"/>
        <v>111</v>
      </c>
      <c r="R30" s="702" t="s">
        <v>18</v>
      </c>
      <c r="S30" s="703">
        <f t="shared" si="12"/>
        <v>100</v>
      </c>
      <c r="T30" s="702" t="s">
        <v>18</v>
      </c>
      <c r="U30" s="703">
        <f t="shared" si="13"/>
        <v>100</v>
      </c>
      <c r="V30" s="702" t="s">
        <v>18</v>
      </c>
      <c r="W30" s="703">
        <f t="shared" si="14"/>
        <v>100</v>
      </c>
      <c r="X30" s="1352"/>
      <c r="Y30" s="3689"/>
      <c r="Z30" s="1353">
        <f t="shared" si="18"/>
        <v>111</v>
      </c>
      <c r="AA30" s="1350">
        <f t="shared" si="15"/>
        <v>1</v>
      </c>
      <c r="AB30" s="1350">
        <f t="shared" si="16"/>
        <v>1</v>
      </c>
      <c r="AC30" s="1350">
        <f t="shared" si="17"/>
        <v>1</v>
      </c>
    </row>
    <row r="31" spans="1:29" ht="15.75" hidden="1"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3"/>
      <c r="M31" s="2707"/>
      <c r="N31" s="2707"/>
      <c r="O31" s="2707"/>
      <c r="P31" s="3696"/>
      <c r="Q31" s="1349">
        <f t="shared" si="11"/>
        <v>111</v>
      </c>
      <c r="R31" s="702" t="s">
        <v>18</v>
      </c>
      <c r="S31" s="703">
        <f t="shared" si="12"/>
        <v>100</v>
      </c>
      <c r="T31" s="702" t="s">
        <v>18</v>
      </c>
      <c r="U31" s="703">
        <f t="shared" si="13"/>
        <v>100</v>
      </c>
      <c r="V31" s="702" t="s">
        <v>18</v>
      </c>
      <c r="W31" s="703">
        <f t="shared" si="14"/>
        <v>100</v>
      </c>
      <c r="X31" s="1352"/>
      <c r="Y31" s="3689"/>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v>2</v>
      </c>
      <c r="L32" s="2713"/>
      <c r="M32" s="2707"/>
      <c r="N32" s="2707"/>
      <c r="O32" s="2707"/>
      <c r="P32" s="3690" t="s">
        <v>1696</v>
      </c>
      <c r="Q32" s="1349" t="str">
        <f t="shared" si="11"/>
        <v>建筑类型</v>
      </c>
      <c r="R32" s="702" t="s">
        <v>18</v>
      </c>
      <c r="S32" s="703">
        <f t="shared" si="12"/>
        <v>100</v>
      </c>
      <c r="T32" s="702" t="s">
        <v>18</v>
      </c>
      <c r="U32" s="703">
        <f t="shared" si="13"/>
        <v>100</v>
      </c>
      <c r="V32" s="702" t="s">
        <v>18</v>
      </c>
      <c r="W32" s="703">
        <f t="shared" si="14"/>
        <v>100</v>
      </c>
      <c r="X32" s="1352"/>
      <c r="Y32" s="3693"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1"/>
      <c r="L33" s="2712"/>
      <c r="M33" s="2714"/>
      <c r="N33" s="2714"/>
      <c r="O33" s="2714"/>
      <c r="P33" s="3691"/>
      <c r="Q33" s="704" t="str">
        <f t="shared" si="11"/>
        <v>项目建筑规模</v>
      </c>
      <c r="R33" s="705" t="s">
        <v>18</v>
      </c>
      <c r="S33" s="706">
        <f t="shared" si="12"/>
        <v>100</v>
      </c>
      <c r="T33" s="705" t="s">
        <v>18</v>
      </c>
      <c r="U33" s="706">
        <f t="shared" si="13"/>
        <v>100</v>
      </c>
      <c r="V33" s="705" t="s">
        <v>18</v>
      </c>
      <c r="W33" s="706">
        <f t="shared" si="14"/>
        <v>100</v>
      </c>
      <c r="X33" s="707"/>
      <c r="Y33" s="3693"/>
      <c r="Z33" s="708" t="str">
        <f t="shared" si="18"/>
        <v>项目建筑规模</v>
      </c>
      <c r="AA33" s="1350">
        <f t="shared" si="15"/>
        <v>1</v>
      </c>
      <c r="AB33" s="1350">
        <f t="shared" si="16"/>
        <v>1</v>
      </c>
      <c r="AC33" s="1350">
        <f t="shared" si="17"/>
        <v>1</v>
      </c>
    </row>
    <row r="34" spans="1:29" ht="15">
      <c r="A34" s="423"/>
      <c r="B34" s="375" t="s">
        <v>1698</v>
      </c>
      <c r="C34" s="1909" t="s">
        <v>3410</v>
      </c>
      <c r="D34" s="386">
        <v>100</v>
      </c>
      <c r="E34" s="1909" t="s">
        <v>3410</v>
      </c>
      <c r="F34" s="412">
        <f>SUMIF(105:105,E34,106:106)-SUMIF(105:105,C34,106:106)+100</f>
        <v>100</v>
      </c>
      <c r="G34" s="1909" t="s">
        <v>3410</v>
      </c>
      <c r="H34" s="386">
        <f>SUMIF(105:105,G34,106:106)-SUMIF(105:105,C34,106:106)+100</f>
        <v>100</v>
      </c>
      <c r="I34" s="1909" t="s">
        <v>3410</v>
      </c>
      <c r="J34" s="386">
        <f>SUMIF(105:105,I34,106:106)-SUMIF(105:105,C34,106:106)+100</f>
        <v>100</v>
      </c>
      <c r="K34" s="377">
        <v>2</v>
      </c>
      <c r="L34" s="2713"/>
      <c r="M34" s="2707"/>
      <c r="N34" s="2707"/>
      <c r="O34" s="2707"/>
      <c r="P34" s="3691"/>
      <c r="Q34" s="1349" t="str">
        <f t="shared" si="11"/>
        <v>建筑结构</v>
      </c>
      <c r="R34" s="702" t="s">
        <v>18</v>
      </c>
      <c r="S34" s="703">
        <f t="shared" si="12"/>
        <v>100</v>
      </c>
      <c r="T34" s="702" t="s">
        <v>18</v>
      </c>
      <c r="U34" s="703">
        <f t="shared" si="13"/>
        <v>100</v>
      </c>
      <c r="V34" s="702" t="s">
        <v>18</v>
      </c>
      <c r="W34" s="703">
        <f t="shared" si="14"/>
        <v>100</v>
      </c>
      <c r="X34" s="1352"/>
      <c r="Y34" s="3693"/>
      <c r="Z34" s="1353" t="str">
        <f t="shared" si="18"/>
        <v>建筑结构</v>
      </c>
      <c r="AA34" s="1350">
        <f t="shared" si="15"/>
        <v>1</v>
      </c>
      <c r="AB34" s="1350">
        <f t="shared" si="16"/>
        <v>1</v>
      </c>
      <c r="AC34" s="1350">
        <f t="shared" si="17"/>
        <v>1</v>
      </c>
    </row>
    <row r="35" spans="1:29" ht="15">
      <c r="A35" s="423"/>
      <c r="B35" s="375" t="s">
        <v>1699</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377">
        <v>2</v>
      </c>
      <c r="L35" s="2713"/>
      <c r="M35" s="2707"/>
      <c r="N35" s="2707"/>
      <c r="O35" s="2707"/>
      <c r="P35" s="3691"/>
      <c r="Q35" s="1349" t="str">
        <f t="shared" si="11"/>
        <v>建筑品质</v>
      </c>
      <c r="R35" s="702" t="s">
        <v>18</v>
      </c>
      <c r="S35" s="703">
        <f t="shared" si="12"/>
        <v>100</v>
      </c>
      <c r="T35" s="702" t="s">
        <v>18</v>
      </c>
      <c r="U35" s="703">
        <f t="shared" si="13"/>
        <v>100</v>
      </c>
      <c r="V35" s="702" t="s">
        <v>18</v>
      </c>
      <c r="W35" s="703">
        <f t="shared" si="14"/>
        <v>100</v>
      </c>
      <c r="X35" s="1352"/>
      <c r="Y35" s="3693"/>
      <c r="Z35" s="1353" t="str">
        <f t="shared" si="18"/>
        <v>建筑品质</v>
      </c>
      <c r="AA35" s="1350">
        <f t="shared" si="15"/>
        <v>1</v>
      </c>
      <c r="AB35" s="1350">
        <f t="shared" si="16"/>
        <v>1</v>
      </c>
      <c r="AC35" s="1350">
        <f t="shared" si="17"/>
        <v>1</v>
      </c>
    </row>
    <row r="36" spans="1:29" ht="15">
      <c r="A36" s="423"/>
      <c r="B36" s="375" t="s">
        <v>1700</v>
      </c>
      <c r="C36" s="1903" t="s">
        <v>3448</v>
      </c>
      <c r="D36" s="386">
        <v>100</v>
      </c>
      <c r="E36" s="1903" t="s">
        <v>3448</v>
      </c>
      <c r="F36" s="412">
        <f>SUMIF(109:109,E36,110:110)-SUMIF(109:109,C36,110:110)+100</f>
        <v>100</v>
      </c>
      <c r="G36" s="1903" t="s">
        <v>3448</v>
      </c>
      <c r="H36" s="386">
        <f>SUMIF(109:109,G36,110:110)-SUMIF(109:109,C36,110:110)+100</f>
        <v>100</v>
      </c>
      <c r="I36" s="1903" t="s">
        <v>3448</v>
      </c>
      <c r="J36" s="386">
        <f>SUMIF(109:109,I36,110:110)-SUMIF(109:109,C36,110:110)+100</f>
        <v>100</v>
      </c>
      <c r="K36" s="377">
        <v>2</v>
      </c>
      <c r="L36" s="2713"/>
      <c r="M36" s="2707"/>
      <c r="N36" s="2707"/>
      <c r="O36" s="2707"/>
      <c r="P36" s="3691"/>
      <c r="Q36" s="1349" t="str">
        <f t="shared" si="11"/>
        <v>公共部分装修</v>
      </c>
      <c r="R36" s="702" t="s">
        <v>18</v>
      </c>
      <c r="S36" s="703">
        <f t="shared" si="12"/>
        <v>100</v>
      </c>
      <c r="T36" s="702" t="s">
        <v>18</v>
      </c>
      <c r="U36" s="703">
        <f t="shared" si="13"/>
        <v>100</v>
      </c>
      <c r="V36" s="702" t="s">
        <v>18</v>
      </c>
      <c r="W36" s="703">
        <f t="shared" si="14"/>
        <v>100</v>
      </c>
      <c r="X36" s="1352"/>
      <c r="Y36" s="3693"/>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8"/>
      <c r="M37" s="2709"/>
      <c r="N37" s="2709"/>
      <c r="O37" s="2709"/>
      <c r="P37" s="3691"/>
      <c r="Q37" s="1340" t="str">
        <f t="shared" si="11"/>
        <v>成新度</v>
      </c>
      <c r="R37" s="698" t="s">
        <v>18</v>
      </c>
      <c r="S37" s="699" t="e">
        <f t="shared" si="12"/>
        <v>#N/A</v>
      </c>
      <c r="T37" s="698" t="s">
        <v>18</v>
      </c>
      <c r="U37" s="699" t="e">
        <f t="shared" si="13"/>
        <v>#N/A</v>
      </c>
      <c r="V37" s="698" t="s">
        <v>18</v>
      </c>
      <c r="W37" s="699" t="e">
        <f t="shared" si="14"/>
        <v>#N/A</v>
      </c>
      <c r="X37" s="700"/>
      <c r="Y37" s="3693"/>
      <c r="Z37" s="52" t="str">
        <f t="shared" si="18"/>
        <v>成新度</v>
      </c>
      <c r="AA37" s="701" t="e">
        <f t="shared" si="15"/>
        <v>#N/A</v>
      </c>
      <c r="AB37" s="701" t="e">
        <f t="shared" si="16"/>
        <v>#N/A</v>
      </c>
      <c r="AC37" s="701" t="e">
        <f t="shared" si="17"/>
        <v>#N/A</v>
      </c>
    </row>
    <row r="38" spans="1:29" ht="15">
      <c r="A38" s="423"/>
      <c r="B38" s="375" t="s">
        <v>1702</v>
      </c>
      <c r="C38" s="1903" t="s">
        <v>3453</v>
      </c>
      <c r="D38" s="386">
        <v>100</v>
      </c>
      <c r="E38" s="1903" t="s">
        <v>3453</v>
      </c>
      <c r="F38" s="412">
        <f>SUMIF(114:114,E38,115:115)-SUMIF(114:114,C38,115:115)+100</f>
        <v>100</v>
      </c>
      <c r="G38" s="1903" t="s">
        <v>3453</v>
      </c>
      <c r="H38" s="386">
        <f>SUMIF(114:114,G38,115:115)-SUMIF(114:114,C38,115:115)+100</f>
        <v>100</v>
      </c>
      <c r="I38" s="1903" t="s">
        <v>3453</v>
      </c>
      <c r="J38" s="386">
        <f>SUMIF(114:114,I38,115:115)-SUMIF(114:114,C38,115:115)+100</f>
        <v>100</v>
      </c>
      <c r="K38" s="377">
        <v>2</v>
      </c>
      <c r="L38" s="2713"/>
      <c r="M38" s="2707"/>
      <c r="N38" s="2707"/>
      <c r="O38" s="2707"/>
      <c r="P38" s="3691" t="s">
        <v>1696</v>
      </c>
      <c r="Q38" s="1349" t="str">
        <f t="shared" si="11"/>
        <v>物业管理</v>
      </c>
      <c r="R38" s="702" t="s">
        <v>18</v>
      </c>
      <c r="S38" s="703">
        <f t="shared" si="12"/>
        <v>100</v>
      </c>
      <c r="T38" s="702" t="s">
        <v>18</v>
      </c>
      <c r="U38" s="703">
        <f t="shared" si="13"/>
        <v>100</v>
      </c>
      <c r="V38" s="702" t="s">
        <v>18</v>
      </c>
      <c r="W38" s="703">
        <f t="shared" si="14"/>
        <v>100</v>
      </c>
      <c r="X38" s="1352"/>
      <c r="Y38" s="3693" t="s">
        <v>1696</v>
      </c>
      <c r="Z38" s="1353" t="str">
        <f t="shared" si="18"/>
        <v>物业管理</v>
      </c>
      <c r="AA38" s="1350">
        <f t="shared" si="15"/>
        <v>1</v>
      </c>
      <c r="AB38" s="1350">
        <f t="shared" si="16"/>
        <v>1</v>
      </c>
      <c r="AC38" s="1350">
        <f t="shared" si="17"/>
        <v>1</v>
      </c>
    </row>
    <row r="39" spans="1:29" ht="15">
      <c r="A39" s="423"/>
      <c r="B39" s="375" t="s">
        <v>1703</v>
      </c>
      <c r="C39" s="1903" t="s">
        <v>3390</v>
      </c>
      <c r="D39" s="386">
        <v>100</v>
      </c>
      <c r="E39" s="1903" t="s">
        <v>3390</v>
      </c>
      <c r="F39" s="412">
        <f>SUMIF(116:116,E39,117:117)-SUMIF(116:116,C39,117:117)+100</f>
        <v>100</v>
      </c>
      <c r="G39" s="1903" t="s">
        <v>3390</v>
      </c>
      <c r="H39" s="386">
        <f>SUMIF(116:116,G39,117:117)-SUMIF(116:116,C39,117:117)+100</f>
        <v>100</v>
      </c>
      <c r="I39" s="1903" t="s">
        <v>3390</v>
      </c>
      <c r="J39" s="386">
        <f>SUMIF(116:116,I39,117:117)-SUMIF(116:116,C39,117:117)+100</f>
        <v>100</v>
      </c>
      <c r="K39" s="377">
        <v>1</v>
      </c>
      <c r="L39" s="2713"/>
      <c r="M39" s="2707"/>
      <c r="N39" s="2707"/>
      <c r="O39" s="2707"/>
      <c r="P39" s="3691"/>
      <c r="Q39" s="1349" t="str">
        <f t="shared" si="11"/>
        <v>市政基础设施</v>
      </c>
      <c r="R39" s="702" t="s">
        <v>18</v>
      </c>
      <c r="S39" s="703">
        <f t="shared" si="12"/>
        <v>100</v>
      </c>
      <c r="T39" s="702" t="s">
        <v>18</v>
      </c>
      <c r="U39" s="703">
        <f t="shared" si="13"/>
        <v>100</v>
      </c>
      <c r="V39" s="702" t="s">
        <v>18</v>
      </c>
      <c r="W39" s="703">
        <f t="shared" si="14"/>
        <v>100</v>
      </c>
      <c r="X39" s="1352"/>
      <c r="Y39" s="3693"/>
      <c r="Z39" s="1353" t="str">
        <f t="shared" si="18"/>
        <v>市政基础设施</v>
      </c>
      <c r="AA39" s="1350">
        <f t="shared" si="15"/>
        <v>1</v>
      </c>
      <c r="AB39" s="1350">
        <f t="shared" si="16"/>
        <v>1</v>
      </c>
      <c r="AC39" s="1350">
        <f t="shared" si="17"/>
        <v>1</v>
      </c>
    </row>
    <row r="40" spans="1:29" ht="15">
      <c r="A40" s="423"/>
      <c r="B40" s="375" t="s">
        <v>1704</v>
      </c>
      <c r="C40" s="1903"/>
      <c r="D40" s="386">
        <v>100</v>
      </c>
      <c r="E40" s="1903"/>
      <c r="F40" s="412">
        <f>SUMIF(118:118,E40,119:119)-SUMIF(118:118,C40,119:119)+100</f>
        <v>100</v>
      </c>
      <c r="G40" s="1903"/>
      <c r="H40" s="386">
        <f>SUMIF(118:118,G40,119:119)-SUMIF(118:118,C40,119:119)+100</f>
        <v>100</v>
      </c>
      <c r="I40" s="1903"/>
      <c r="J40" s="386">
        <f>SUMIF(118:118,I40,119:119)-SUMIF(118:118,C40,119:119)+100</f>
        <v>100</v>
      </c>
      <c r="K40" s="377">
        <v>2</v>
      </c>
      <c r="L40" s="2713"/>
      <c r="M40" s="2707"/>
      <c r="N40" s="2707"/>
      <c r="O40" s="2707"/>
      <c r="P40" s="3691"/>
      <c r="Q40" s="1349" t="str">
        <f t="shared" si="11"/>
        <v>房型</v>
      </c>
      <c r="R40" s="702" t="s">
        <v>18</v>
      </c>
      <c r="S40" s="703">
        <f t="shared" si="12"/>
        <v>100</v>
      </c>
      <c r="T40" s="702" t="s">
        <v>18</v>
      </c>
      <c r="U40" s="703">
        <f t="shared" si="13"/>
        <v>100</v>
      </c>
      <c r="V40" s="702" t="s">
        <v>18</v>
      </c>
      <c r="W40" s="703">
        <f t="shared" si="14"/>
        <v>100</v>
      </c>
      <c r="X40" s="1352"/>
      <c r="Y40" s="3693"/>
      <c r="Z40" s="1353" t="str">
        <f t="shared" si="18"/>
        <v>房型</v>
      </c>
      <c r="AA40" s="1350">
        <f t="shared" si="15"/>
        <v>1</v>
      </c>
      <c r="AB40" s="1350">
        <f t="shared" si="16"/>
        <v>1</v>
      </c>
      <c r="AC40" s="1350">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1"/>
      <c r="L41" s="2712"/>
      <c r="M41" s="2714"/>
      <c r="N41" s="2714"/>
      <c r="O41" s="2714"/>
      <c r="P41" s="3691"/>
      <c r="Q41" s="704" t="str">
        <f t="shared" si="11"/>
        <v>单套/主力户型建筑面积</v>
      </c>
      <c r="R41" s="705" t="s">
        <v>18</v>
      </c>
      <c r="S41" s="706">
        <f t="shared" si="12"/>
        <v>100</v>
      </c>
      <c r="T41" s="705" t="s">
        <v>18</v>
      </c>
      <c r="U41" s="706">
        <f t="shared" si="13"/>
        <v>100</v>
      </c>
      <c r="V41" s="705" t="s">
        <v>18</v>
      </c>
      <c r="W41" s="706">
        <f t="shared" si="14"/>
        <v>100</v>
      </c>
      <c r="X41" s="707"/>
      <c r="Y41" s="3693"/>
      <c r="Z41" s="708" t="str">
        <f t="shared" si="18"/>
        <v>单套/主力户型建筑面积</v>
      </c>
      <c r="AA41" s="1350">
        <f t="shared" si="15"/>
        <v>1</v>
      </c>
      <c r="AB41" s="1350">
        <f t="shared" si="16"/>
        <v>1</v>
      </c>
      <c r="AC41" s="1350">
        <f t="shared" si="17"/>
        <v>1</v>
      </c>
    </row>
    <row r="42" spans="1:29" ht="15">
      <c r="A42" s="423"/>
      <c r="B42" s="375" t="s">
        <v>1706</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377">
        <v>2</v>
      </c>
      <c r="L42" s="2713"/>
      <c r="M42" s="2707"/>
      <c r="N42" s="2707"/>
      <c r="O42" s="2707"/>
      <c r="P42" s="3691"/>
      <c r="Q42" s="1349" t="str">
        <f t="shared" si="11"/>
        <v>内部装修</v>
      </c>
      <c r="R42" s="702" t="s">
        <v>18</v>
      </c>
      <c r="S42" s="703">
        <f t="shared" si="12"/>
        <v>100</v>
      </c>
      <c r="T42" s="702" t="s">
        <v>18</v>
      </c>
      <c r="U42" s="703">
        <f t="shared" si="13"/>
        <v>100</v>
      </c>
      <c r="V42" s="702" t="s">
        <v>18</v>
      </c>
      <c r="W42" s="703">
        <f t="shared" si="14"/>
        <v>100</v>
      </c>
      <c r="X42" s="1352"/>
      <c r="Y42" s="3693"/>
      <c r="Z42" s="1353" t="str">
        <f t="shared" si="18"/>
        <v>内部装修</v>
      </c>
      <c r="AA42" s="1350">
        <f t="shared" si="15"/>
        <v>1</v>
      </c>
      <c r="AB42" s="1350">
        <f t="shared" si="16"/>
        <v>1</v>
      </c>
      <c r="AC42" s="1350">
        <f t="shared" si="17"/>
        <v>1</v>
      </c>
    </row>
    <row r="43" spans="1:29" ht="15">
      <c r="A43" s="423"/>
      <c r="B43" s="375" t="s">
        <v>1707</v>
      </c>
      <c r="C43" s="1903" t="s">
        <v>3386</v>
      </c>
      <c r="D43" s="386">
        <v>100</v>
      </c>
      <c r="E43" s="1903" t="s">
        <v>3386</v>
      </c>
      <c r="F43" s="412">
        <f>SUMIF(124:124,E43,125:125)-SUMIF(124:124,C43,125:125)+100</f>
        <v>100</v>
      </c>
      <c r="G43" s="1903" t="s">
        <v>3386</v>
      </c>
      <c r="H43" s="386">
        <f>SUMIF(124:124,G43,125:125)-SUMIF(124:124,C43,125:125)+100</f>
        <v>100</v>
      </c>
      <c r="I43" s="1903" t="s">
        <v>3386</v>
      </c>
      <c r="J43" s="386">
        <f>SUMIF(124:124,I43,125:125)-SUMIF(124:124,C43,125:125)+100</f>
        <v>100</v>
      </c>
      <c r="K43" s="377">
        <v>2</v>
      </c>
      <c r="L43" s="2713"/>
      <c r="M43" s="2707"/>
      <c r="N43" s="2707"/>
      <c r="O43" s="2707"/>
      <c r="P43" s="3691"/>
      <c r="Q43" s="1349" t="str">
        <f t="shared" si="11"/>
        <v>内部装修维护情况</v>
      </c>
      <c r="R43" s="702" t="s">
        <v>18</v>
      </c>
      <c r="S43" s="703">
        <f t="shared" si="12"/>
        <v>100</v>
      </c>
      <c r="T43" s="702" t="s">
        <v>18</v>
      </c>
      <c r="U43" s="703">
        <f t="shared" si="13"/>
        <v>100</v>
      </c>
      <c r="V43" s="702" t="s">
        <v>18</v>
      </c>
      <c r="W43" s="703">
        <f t="shared" si="14"/>
        <v>100</v>
      </c>
      <c r="X43" s="1352"/>
      <c r="Y43" s="3693"/>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08"/>
      <c r="M44" s="2709"/>
      <c r="N44" s="2709"/>
      <c r="O44" s="2709"/>
      <c r="P44" s="3691"/>
      <c r="Q44" s="1340">
        <f t="shared" si="11"/>
        <v>111</v>
      </c>
      <c r="R44" s="698" t="s">
        <v>18</v>
      </c>
      <c r="S44" s="699">
        <f t="shared" si="12"/>
        <v>100</v>
      </c>
      <c r="T44" s="698" t="s">
        <v>18</v>
      </c>
      <c r="U44" s="699">
        <f t="shared" si="13"/>
        <v>100</v>
      </c>
      <c r="V44" s="698" t="s">
        <v>18</v>
      </c>
      <c r="W44" s="699">
        <f t="shared" si="14"/>
        <v>100</v>
      </c>
      <c r="X44" s="700"/>
      <c r="Y44" s="3693"/>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3"/>
      <c r="M45" s="2707"/>
      <c r="N45" s="2707"/>
      <c r="O45" s="2707"/>
      <c r="P45" s="3691"/>
      <c r="Q45" s="1349">
        <f t="shared" si="11"/>
        <v>111</v>
      </c>
      <c r="R45" s="702" t="s">
        <v>18</v>
      </c>
      <c r="S45" s="703">
        <f t="shared" si="12"/>
        <v>100</v>
      </c>
      <c r="T45" s="702" t="s">
        <v>18</v>
      </c>
      <c r="U45" s="703">
        <f t="shared" si="13"/>
        <v>100</v>
      </c>
      <c r="V45" s="702" t="s">
        <v>18</v>
      </c>
      <c r="W45" s="703">
        <f t="shared" si="14"/>
        <v>100</v>
      </c>
      <c r="X45" s="1352"/>
      <c r="Y45" s="3693"/>
      <c r="Z45" s="1353">
        <f t="shared" si="18"/>
        <v>111</v>
      </c>
      <c r="AA45" s="1350">
        <f t="shared" si="15"/>
        <v>1</v>
      </c>
      <c r="AB45" s="1350">
        <f t="shared" si="16"/>
        <v>1</v>
      </c>
      <c r="AC45" s="1350">
        <f t="shared" si="17"/>
        <v>1</v>
      </c>
    </row>
    <row r="46" spans="1:29" ht="15.75" thickBot="1">
      <c r="A46" s="427"/>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3"/>
      <c r="M46" s="2707"/>
      <c r="N46" s="2707"/>
      <c r="O46" s="2707"/>
      <c r="P46" s="3692"/>
      <c r="Q46" s="1349">
        <f t="shared" si="11"/>
        <v>111</v>
      </c>
      <c r="R46" s="702" t="s">
        <v>17</v>
      </c>
      <c r="S46" s="703">
        <f t="shared" si="12"/>
        <v>100</v>
      </c>
      <c r="T46" s="702" t="s">
        <v>17</v>
      </c>
      <c r="U46" s="703">
        <f t="shared" si="13"/>
        <v>100</v>
      </c>
      <c r="V46" s="702" t="s">
        <v>17</v>
      </c>
      <c r="W46" s="703">
        <f t="shared" si="14"/>
        <v>100</v>
      </c>
      <c r="X46" s="1352"/>
      <c r="Y46" s="3694"/>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0"/>
      <c r="L47" s="2715"/>
      <c r="M47" s="2716"/>
      <c r="N47" s="2707"/>
      <c r="O47" s="2716"/>
      <c r="P47" s="3686" t="str">
        <f>A47</f>
        <v>成交单价（元/平方米）</v>
      </c>
      <c r="Q47" s="3686"/>
      <c r="R47" s="3687">
        <f>E47</f>
        <v>0</v>
      </c>
      <c r="S47" s="3687"/>
      <c r="T47" s="3687">
        <f>G47</f>
        <v>0</v>
      </c>
      <c r="U47" s="3687"/>
      <c r="V47" s="3687">
        <f>I47</f>
        <v>0</v>
      </c>
      <c r="W47" s="3687"/>
      <c r="X47" s="687"/>
      <c r="Y47" s="709"/>
      <c r="Z47" s="687"/>
      <c r="AA47" s="687"/>
      <c r="AB47" s="687"/>
      <c r="AC47" s="687"/>
    </row>
    <row r="48" spans="1:29" ht="15.75" thickBot="1">
      <c r="A48" s="435" t="s">
        <v>1709</v>
      </c>
      <c r="B48" s="436"/>
      <c r="C48" s="1157" t="e">
        <f>R49</f>
        <v>#N/A</v>
      </c>
      <c r="D48" s="2313" t="s">
        <v>2138</v>
      </c>
      <c r="E48" s="1158" t="e">
        <f>R48</f>
        <v>#N/A</v>
      </c>
      <c r="F48" s="2314"/>
      <c r="G48" s="1157" t="e">
        <f>T48</f>
        <v>#N/A</v>
      </c>
      <c r="H48" s="2314"/>
      <c r="I48" s="1158" t="e">
        <f>V48</f>
        <v>#N/A</v>
      </c>
      <c r="J48" s="2314"/>
      <c r="K48" s="2315">
        <f>F48+H48+J48</f>
        <v>0</v>
      </c>
      <c r="L48" s="2715"/>
      <c r="M48" s="2716"/>
      <c r="N48" s="2716"/>
      <c r="O48" s="2716"/>
      <c r="P48" s="3686" t="str">
        <f>A48</f>
        <v>比较价值（元/平方米）</v>
      </c>
      <c r="Q48" s="3686"/>
      <c r="R48" s="3687" t="e">
        <f>IF(F1="售价",ROUND(PRODUCT(R47,AA7:AA46),0),ROUND(PRODUCT(R47,AA7:AA46),1))</f>
        <v>#N/A</v>
      </c>
      <c r="S48" s="3687"/>
      <c r="T48" s="3687" t="e">
        <f>IF(F1="售价",ROUND(PRODUCT(T47,AB7:AB46),0),ROUND(PRODUCT(T47,AB7:AB46),1))</f>
        <v>#N/A</v>
      </c>
      <c r="U48" s="3687"/>
      <c r="V48" s="3687" t="e">
        <f>IF(F1="售价",ROUND(PRODUCT(V47,AC7:AC46),0),ROUND(PRODUCT(V47,AC7:AC46),1))</f>
        <v>#N/A</v>
      </c>
      <c r="W48" s="3687"/>
      <c r="X48" s="687"/>
      <c r="Y48" s="687"/>
      <c r="Z48" s="687"/>
      <c r="AA48" s="687"/>
      <c r="AB48" s="687"/>
      <c r="AC48" s="687"/>
    </row>
    <row r="49" spans="1:29" ht="15.75" thickBot="1">
      <c r="A49" s="439" t="s">
        <v>1710</v>
      </c>
      <c r="B49" s="440"/>
      <c r="C49" s="1159" t="e">
        <f>R49</f>
        <v>#N/A</v>
      </c>
      <c r="D49" s="1160"/>
      <c r="E49" s="1160"/>
      <c r="F49" s="1160"/>
      <c r="G49" s="1160"/>
      <c r="H49" s="1160"/>
      <c r="I49" s="1160"/>
      <c r="J49" s="1160"/>
      <c r="K49" s="1911"/>
      <c r="L49" s="2715"/>
      <c r="M49" s="2716"/>
      <c r="N49" s="2716"/>
      <c r="O49" s="2716"/>
      <c r="P49" s="3683" t="str">
        <f>A49</f>
        <v>估价对象XX用房的比较价值（楼面单价，元/平方米）</v>
      </c>
      <c r="Q49" s="3684"/>
      <c r="R49" s="3685" t="e">
        <f>IF(F1="售价",ROUND(IF(D48="简单平均",AVERAGE(R48:V48),R48*F48+T48*H48+V48*J48),0),ROUND(IF(D48="简单平均",AVERAGE(R48:V48),R48*F48+T48*H48+V48*J48),1))</f>
        <v>#N/A</v>
      </c>
      <c r="S49" s="3685"/>
      <c r="T49" s="3685"/>
      <c r="U49" s="3685"/>
      <c r="V49" s="3685"/>
      <c r="W49" s="3685"/>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1711</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row>
    <row r="53" spans="1:29" ht="13.5" customHeight="1">
      <c r="A53" s="2716"/>
      <c r="B53" s="2716"/>
      <c r="C53" s="444" t="s">
        <v>1712</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row>
    <row r="54" spans="1:29" s="449" customFormat="1" ht="13.5" customHeight="1">
      <c r="A54" s="2719"/>
      <c r="B54" s="2719"/>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1913"/>
    </row>
    <row r="55" spans="1:29" s="449"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1" t="s">
        <v>1714</v>
      </c>
      <c r="B57" s="687"/>
      <c r="C57" s="692"/>
      <c r="D57" s="692"/>
      <c r="E57" s="692"/>
      <c r="F57" s="693"/>
      <c r="G57" s="693"/>
      <c r="H57" s="692"/>
      <c r="I57" s="692"/>
      <c r="J57" s="692"/>
      <c r="K57" s="938"/>
      <c r="L57" s="939"/>
      <c r="M57" s="937"/>
      <c r="N57" s="937"/>
      <c r="O57" s="937"/>
      <c r="P57" s="1914"/>
      <c r="Q57" s="451"/>
    </row>
    <row r="58" spans="1:29" s="455" customFormat="1" ht="15">
      <c r="A58" s="452" t="s">
        <v>1715</v>
      </c>
      <c r="B58" s="453"/>
      <c r="C58" s="1183" t="str">
        <f>YEAR(C7)&amp;"-"&amp;MONTH(C7)</f>
        <v>2023-5</v>
      </c>
      <c r="D58" s="1182">
        <f>EDATE(C58,-1)</f>
        <v>45017</v>
      </c>
      <c r="E58" s="1182">
        <f>EDATE(D58,-1)</f>
        <v>44986</v>
      </c>
      <c r="F58" s="1182">
        <f t="shared" ref="F58:O58" si="19">EDATE(E58,-1)</f>
        <v>44958</v>
      </c>
      <c r="G58" s="1182">
        <f t="shared" si="19"/>
        <v>44927</v>
      </c>
      <c r="H58" s="1182">
        <f t="shared" si="19"/>
        <v>44896</v>
      </c>
      <c r="I58" s="1182">
        <f t="shared" si="19"/>
        <v>44866</v>
      </c>
      <c r="J58" s="1182">
        <f t="shared" si="19"/>
        <v>44835</v>
      </c>
      <c r="K58" s="1182">
        <f t="shared" si="19"/>
        <v>44805</v>
      </c>
      <c r="L58" s="1182">
        <f t="shared" si="19"/>
        <v>44774</v>
      </c>
      <c r="M58" s="1182">
        <f t="shared" si="19"/>
        <v>44743</v>
      </c>
      <c r="N58" s="1182">
        <f t="shared" si="19"/>
        <v>44713</v>
      </c>
      <c r="O58" s="1182">
        <f t="shared" si="19"/>
        <v>44682</v>
      </c>
      <c r="P58" s="1178"/>
    </row>
    <row r="59" spans="1:29" s="108" customFormat="1" ht="15">
      <c r="A59" s="456"/>
      <c r="B59" s="1915"/>
      <c r="C59" s="1180">
        <v>100</v>
      </c>
      <c r="D59" s="458">
        <v>100</v>
      </c>
      <c r="E59" s="459">
        <v>100</v>
      </c>
      <c r="F59" s="459">
        <v>100</v>
      </c>
      <c r="G59" s="459">
        <v>100</v>
      </c>
      <c r="H59" s="459">
        <v>100</v>
      </c>
      <c r="I59" s="459">
        <v>100</v>
      </c>
      <c r="J59" s="459">
        <v>100</v>
      </c>
      <c r="K59" s="459">
        <v>100</v>
      </c>
      <c r="L59" s="459">
        <v>100</v>
      </c>
      <c r="M59" s="460"/>
      <c r="N59" s="459"/>
      <c r="O59" s="460"/>
      <c r="P59" s="1916"/>
    </row>
    <row r="60" spans="1:29" s="108" customFormat="1" ht="15.75" thickBot="1">
      <c r="A60" s="462" t="s">
        <v>1716</v>
      </c>
      <c r="B60" s="463"/>
      <c r="C60" s="464"/>
      <c r="D60" s="465"/>
      <c r="E60" s="465"/>
      <c r="F60" s="465"/>
      <c r="G60" s="465"/>
      <c r="H60" s="465"/>
      <c r="I60" s="465"/>
      <c r="J60" s="465"/>
      <c r="K60" s="465"/>
      <c r="L60" s="465"/>
      <c r="M60" s="466"/>
      <c r="N60" s="465"/>
      <c r="O60" s="466"/>
      <c r="P60" s="1916"/>
      <c r="Q60" s="451"/>
    </row>
    <row r="61" spans="1:29" s="108" customFormat="1" ht="15">
      <c r="A61" s="468" t="s">
        <v>1717</v>
      </c>
      <c r="B61" s="457"/>
      <c r="C61" s="469" t="s">
        <v>1718</v>
      </c>
      <c r="D61" s="3449" t="s">
        <v>3413</v>
      </c>
      <c r="E61" s="470"/>
      <c r="F61" s="470"/>
      <c r="G61" s="470"/>
      <c r="H61" s="470"/>
      <c r="I61" s="470"/>
      <c r="J61" s="470"/>
      <c r="K61" s="470"/>
      <c r="L61" s="471"/>
      <c r="M61" s="472"/>
      <c r="N61" s="929"/>
      <c r="O61" s="929"/>
      <c r="P61" s="1917"/>
      <c r="Q61" s="451"/>
    </row>
    <row r="62" spans="1:29" s="108" customFormat="1" ht="15.75" thickBot="1">
      <c r="A62" s="468"/>
      <c r="B62" s="457"/>
      <c r="C62" s="458">
        <v>100</v>
      </c>
      <c r="D62" s="459">
        <v>102</v>
      </c>
      <c r="E62" s="459"/>
      <c r="F62" s="459"/>
      <c r="G62" s="459"/>
      <c r="H62" s="459"/>
      <c r="I62" s="459"/>
      <c r="J62" s="459"/>
      <c r="K62" s="459"/>
      <c r="L62" s="459"/>
      <c r="M62" s="461"/>
      <c r="N62" s="929"/>
      <c r="O62" s="929"/>
      <c r="P62" s="1916"/>
      <c r="Q62" s="451"/>
    </row>
    <row r="63" spans="1:29">
      <c r="A63" s="474" t="s">
        <v>1719</v>
      </c>
      <c r="B63" s="475" t="s">
        <v>1685</v>
      </c>
      <c r="C63" s="476">
        <f>C9</f>
        <v>0</v>
      </c>
      <c r="D63" s="477"/>
      <c r="E63" s="477"/>
      <c r="F63" s="477"/>
      <c r="G63" s="477"/>
      <c r="H63" s="477"/>
      <c r="I63" s="477"/>
      <c r="J63" s="477"/>
      <c r="K63" s="478"/>
      <c r="L63" s="479"/>
      <c r="M63" s="480"/>
      <c r="N63" s="930"/>
      <c r="O63" s="930"/>
      <c r="P63" s="1918"/>
      <c r="Q63" s="451"/>
    </row>
    <row r="64" spans="1:29" ht="15.75" thickBot="1">
      <c r="A64" s="481"/>
      <c r="B64" s="482"/>
      <c r="C64" s="483">
        <v>100</v>
      </c>
      <c r="D64" s="483"/>
      <c r="E64" s="483"/>
      <c r="F64" s="483"/>
      <c r="G64" s="483"/>
      <c r="H64" s="483"/>
      <c r="I64" s="483"/>
      <c r="J64" s="483"/>
      <c r="K64" s="483"/>
      <c r="L64" s="483"/>
      <c r="M64" s="484"/>
      <c r="N64" s="931"/>
      <c r="O64" s="931"/>
      <c r="P64" s="1918"/>
      <c r="Q64" s="451"/>
    </row>
    <row r="65" spans="1:17" ht="27.75" thickTop="1">
      <c r="A65" s="481"/>
      <c r="B65" s="485" t="s">
        <v>1688</v>
      </c>
      <c r="C65" s="530" t="s">
        <v>3414</v>
      </c>
      <c r="D65" s="530" t="s">
        <v>3415</v>
      </c>
      <c r="E65" s="530" t="s">
        <v>3416</v>
      </c>
      <c r="F65" s="530" t="s">
        <v>3417</v>
      </c>
      <c r="G65" s="530" t="s">
        <v>3418</v>
      </c>
      <c r="H65" s="3450" t="s">
        <v>3420</v>
      </c>
      <c r="I65" s="530" t="s">
        <v>3419</v>
      </c>
      <c r="J65" s="530"/>
      <c r="K65" s="530"/>
      <c r="L65" s="530"/>
      <c r="M65" s="530"/>
      <c r="N65" s="931"/>
      <c r="O65" s="931"/>
      <c r="P65" s="1918"/>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8"/>
      <c r="Q66" s="451"/>
    </row>
    <row r="67" spans="1:17" ht="15.75" thickTop="1">
      <c r="A67" s="481"/>
      <c r="B67" s="493" t="s">
        <v>1689</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8"/>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8"/>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8"/>
      <c r="Q69" s="451"/>
    </row>
    <row r="70" spans="1:17" s="422" customFormat="1" ht="15.75" thickTop="1">
      <c r="A70" s="500"/>
      <c r="B70" s="485">
        <f>B12</f>
        <v>111</v>
      </c>
      <c r="C70" s="3451" t="s">
        <v>3421</v>
      </c>
      <c r="D70" s="3451" t="s">
        <v>3422</v>
      </c>
      <c r="E70" s="501"/>
      <c r="F70" s="501"/>
      <c r="G70" s="501"/>
      <c r="H70" s="502"/>
      <c r="I70" s="502"/>
      <c r="J70" s="502"/>
      <c r="K70" s="502"/>
      <c r="L70" s="503"/>
      <c r="M70" s="504"/>
      <c r="N70" s="932"/>
      <c r="O70" s="932"/>
      <c r="P70" s="1919"/>
      <c r="Q70" s="506"/>
    </row>
    <row r="71" spans="1:17" s="422" customFormat="1" ht="15.75" thickBot="1">
      <c r="A71" s="500"/>
      <c r="B71" s="490"/>
      <c r="C71" s="507">
        <v>95</v>
      </c>
      <c r="D71" s="483">
        <v>100</v>
      </c>
      <c r="E71" s="483"/>
      <c r="F71" s="483"/>
      <c r="G71" s="483"/>
      <c r="H71" s="483"/>
      <c r="I71" s="483"/>
      <c r="J71" s="483"/>
      <c r="K71" s="483"/>
      <c r="L71" s="483"/>
      <c r="M71" s="484"/>
      <c r="N71" s="931"/>
      <c r="O71" s="931"/>
      <c r="P71" s="1919"/>
      <c r="Q71" s="506"/>
    </row>
    <row r="72" spans="1:17" s="422" customFormat="1" ht="15.75" thickTop="1">
      <c r="A72" s="500"/>
      <c r="B72" s="485">
        <f>B13</f>
        <v>111</v>
      </c>
      <c r="C72" s="501"/>
      <c r="D72" s="501"/>
      <c r="E72" s="501"/>
      <c r="F72" s="501"/>
      <c r="G72" s="501"/>
      <c r="H72" s="502"/>
      <c r="I72" s="502"/>
      <c r="J72" s="502"/>
      <c r="K72" s="502"/>
      <c r="L72" s="503"/>
      <c r="M72" s="504"/>
      <c r="N72" s="932"/>
      <c r="O72" s="932"/>
      <c r="P72" s="1920"/>
      <c r="Q72" s="508"/>
    </row>
    <row r="73" spans="1:17" s="422" customFormat="1" ht="15.75" thickBot="1">
      <c r="A73" s="500"/>
      <c r="B73" s="490"/>
      <c r="C73" s="507"/>
      <c r="D73" s="507"/>
      <c r="E73" s="507"/>
      <c r="F73" s="507"/>
      <c r="G73" s="507"/>
      <c r="H73" s="509"/>
      <c r="I73" s="509"/>
      <c r="J73" s="509"/>
      <c r="K73" s="509"/>
      <c r="L73" s="509"/>
      <c r="M73" s="510"/>
      <c r="N73" s="932"/>
      <c r="O73" s="932"/>
      <c r="P73" s="1919"/>
      <c r="Q73" s="506"/>
    </row>
    <row r="74" spans="1:17" s="422" customFormat="1" ht="15.75" thickTop="1">
      <c r="A74" s="500"/>
      <c r="B74" s="493">
        <f>B14</f>
        <v>111</v>
      </c>
      <c r="C74" s="501"/>
      <c r="D74" s="501"/>
      <c r="E74" s="501"/>
      <c r="F74" s="501"/>
      <c r="G74" s="470"/>
      <c r="H74" s="511"/>
      <c r="I74" s="511"/>
      <c r="J74" s="511"/>
      <c r="K74" s="511"/>
      <c r="L74" s="512"/>
      <c r="M74" s="513"/>
      <c r="N74" s="932"/>
      <c r="O74" s="932"/>
      <c r="P74" s="1921"/>
      <c r="Q74" s="506"/>
    </row>
    <row r="75" spans="1:17" s="422" customFormat="1" ht="15.75" thickBot="1">
      <c r="A75" s="515"/>
      <c r="B75" s="516"/>
      <c r="C75" s="517"/>
      <c r="D75" s="517"/>
      <c r="E75" s="517"/>
      <c r="F75" s="517"/>
      <c r="G75" s="517"/>
      <c r="H75" s="518"/>
      <c r="I75" s="518"/>
      <c r="J75" s="518"/>
      <c r="K75" s="518"/>
      <c r="L75" s="518"/>
      <c r="M75" s="519"/>
      <c r="N75" s="932"/>
      <c r="O75" s="932"/>
      <c r="P75" s="1919"/>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2"/>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8"/>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8"/>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8"/>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8"/>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8"/>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8"/>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8"/>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8"/>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8"/>
      <c r="Q85" s="451"/>
    </row>
    <row r="86" spans="1:17" s="108" customFormat="1" ht="15.75" thickTop="1">
      <c r="A86" s="526"/>
      <c r="B86" s="485" t="s">
        <v>1734</v>
      </c>
      <c r="C86" s="3451" t="s">
        <v>3423</v>
      </c>
      <c r="D86" s="3451" t="s">
        <v>3424</v>
      </c>
      <c r="E86" s="3451" t="s">
        <v>3425</v>
      </c>
      <c r="F86" s="501"/>
      <c r="G86" s="501"/>
      <c r="H86" s="501"/>
      <c r="I86" s="501"/>
      <c r="J86" s="501"/>
      <c r="K86" s="501"/>
      <c r="L86" s="527"/>
      <c r="M86" s="528"/>
      <c r="N86" s="929"/>
      <c r="O86" s="929"/>
      <c r="P86" s="1918"/>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8"/>
      <c r="Q87" s="451"/>
    </row>
    <row r="88" spans="1:17" s="108" customFormat="1" ht="15.75" thickTop="1">
      <c r="A88" s="526"/>
      <c r="B88" s="485" t="s">
        <v>1735</v>
      </c>
      <c r="C88" s="3451" t="s">
        <v>3426</v>
      </c>
      <c r="D88" s="3451" t="s">
        <v>3427</v>
      </c>
      <c r="E88" s="3451" t="s">
        <v>3428</v>
      </c>
      <c r="F88" s="3452" t="s">
        <v>3429</v>
      </c>
      <c r="G88" s="3451" t="s">
        <v>3430</v>
      </c>
      <c r="H88" s="3451" t="s">
        <v>3431</v>
      </c>
      <c r="I88" s="3451" t="s">
        <v>3432</v>
      </c>
      <c r="J88" s="3451" t="s">
        <v>3433</v>
      </c>
      <c r="K88" s="3451" t="s">
        <v>3434</v>
      </c>
      <c r="L88" s="3451" t="s">
        <v>3435</v>
      </c>
      <c r="M88" s="528"/>
      <c r="N88" s="929"/>
      <c r="O88" s="929"/>
      <c r="P88" s="1918"/>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8"/>
      <c r="Q89" s="451"/>
    </row>
    <row r="90" spans="1:17" s="422" customFormat="1" ht="15.75" thickTop="1">
      <c r="A90" s="500"/>
      <c r="B90" s="485">
        <f>B27</f>
        <v>111</v>
      </c>
      <c r="C90" s="501"/>
      <c r="D90" s="501"/>
      <c r="E90" s="501"/>
      <c r="F90" s="501"/>
      <c r="G90" s="501"/>
      <c r="H90" s="502"/>
      <c r="I90" s="502"/>
      <c r="J90" s="502"/>
      <c r="K90" s="502"/>
      <c r="L90" s="503"/>
      <c r="M90" s="504"/>
      <c r="N90" s="932"/>
      <c r="O90" s="932"/>
      <c r="P90" s="1919"/>
      <c r="Q90" s="506"/>
    </row>
    <row r="91" spans="1:17" s="422" customFormat="1" ht="15.75" thickBot="1">
      <c r="A91" s="500"/>
      <c r="B91" s="490"/>
      <c r="C91" s="507"/>
      <c r="D91" s="507"/>
      <c r="E91" s="507"/>
      <c r="F91" s="507"/>
      <c r="G91" s="507"/>
      <c r="H91" s="509"/>
      <c r="I91" s="509"/>
      <c r="J91" s="509"/>
      <c r="K91" s="509"/>
      <c r="L91" s="509"/>
      <c r="M91" s="510"/>
      <c r="N91" s="932"/>
      <c r="O91" s="932"/>
      <c r="P91" s="1919"/>
      <c r="Q91" s="506"/>
    </row>
    <row r="92" spans="1:17" ht="15.75" thickTop="1">
      <c r="A92" s="481"/>
      <c r="B92" s="485">
        <f>B28</f>
        <v>111</v>
      </c>
      <c r="C92" s="501"/>
      <c r="D92" s="501"/>
      <c r="E92" s="501"/>
      <c r="F92" s="501"/>
      <c r="G92" s="530"/>
      <c r="H92" s="530"/>
      <c r="I92" s="530"/>
      <c r="J92" s="530"/>
      <c r="K92" s="531"/>
      <c r="L92" s="532"/>
      <c r="M92" s="533"/>
      <c r="N92" s="930"/>
      <c r="O92" s="930"/>
      <c r="P92" s="1918"/>
      <c r="Q92" s="451"/>
    </row>
    <row r="93" spans="1:17" ht="15.75" thickBot="1">
      <c r="A93" s="481"/>
      <c r="B93" s="490"/>
      <c r="C93" s="507"/>
      <c r="D93" s="483"/>
      <c r="E93" s="483"/>
      <c r="F93" s="483"/>
      <c r="G93" s="483"/>
      <c r="H93" s="483"/>
      <c r="I93" s="483"/>
      <c r="J93" s="483"/>
      <c r="K93" s="483"/>
      <c r="L93" s="483"/>
      <c r="M93" s="484"/>
      <c r="N93" s="931"/>
      <c r="O93" s="931"/>
      <c r="P93" s="1918"/>
      <c r="Q93" s="451"/>
    </row>
    <row r="94" spans="1:17" ht="15.75" thickTop="1">
      <c r="A94" s="481"/>
      <c r="B94" s="485">
        <f>B29</f>
        <v>111</v>
      </c>
      <c r="C94" s="501"/>
      <c r="D94" s="501"/>
      <c r="E94" s="501"/>
      <c r="F94" s="501"/>
      <c r="G94" s="530"/>
      <c r="H94" s="530"/>
      <c r="I94" s="530"/>
      <c r="J94" s="530"/>
      <c r="K94" s="531"/>
      <c r="L94" s="532"/>
      <c r="M94" s="533"/>
      <c r="N94" s="930"/>
      <c r="O94" s="930"/>
      <c r="P94" s="1918"/>
      <c r="Q94" s="451"/>
    </row>
    <row r="95" spans="1:17" ht="15.75" thickBot="1">
      <c r="A95" s="481"/>
      <c r="B95" s="490"/>
      <c r="C95" s="507"/>
      <c r="D95" s="507"/>
      <c r="E95" s="507"/>
      <c r="F95" s="507"/>
      <c r="G95" s="483"/>
      <c r="H95" s="483"/>
      <c r="I95" s="483"/>
      <c r="J95" s="483"/>
      <c r="K95" s="483"/>
      <c r="L95" s="483"/>
      <c r="M95" s="484"/>
      <c r="N95" s="931"/>
      <c r="O95" s="931"/>
      <c r="P95" s="1918"/>
      <c r="Q95" s="451"/>
    </row>
    <row r="96" spans="1:17" ht="15.75" thickTop="1">
      <c r="A96" s="481"/>
      <c r="B96" s="485">
        <f>B30</f>
        <v>111</v>
      </c>
      <c r="C96" s="501"/>
      <c r="D96" s="501"/>
      <c r="E96" s="501"/>
      <c r="F96" s="501"/>
      <c r="G96" s="530"/>
      <c r="H96" s="530"/>
      <c r="I96" s="530"/>
      <c r="J96" s="530"/>
      <c r="K96" s="531"/>
      <c r="L96" s="532"/>
      <c r="M96" s="533"/>
      <c r="N96" s="930"/>
      <c r="O96" s="930"/>
      <c r="P96" s="1918"/>
      <c r="Q96" s="451"/>
    </row>
    <row r="97" spans="1:17" ht="15.75" thickBot="1">
      <c r="A97" s="481"/>
      <c r="B97" s="490"/>
      <c r="C97" s="517"/>
      <c r="D97" s="517"/>
      <c r="E97" s="517"/>
      <c r="F97" s="517"/>
      <c r="G97" s="483"/>
      <c r="H97" s="483"/>
      <c r="I97" s="483"/>
      <c r="J97" s="483"/>
      <c r="K97" s="483"/>
      <c r="L97" s="483"/>
      <c r="M97" s="484"/>
      <c r="N97" s="931"/>
      <c r="O97" s="931"/>
      <c r="P97" s="1918"/>
      <c r="Q97" s="451"/>
    </row>
    <row r="98" spans="1:17" ht="15.75" thickTop="1">
      <c r="A98" s="481"/>
      <c r="B98" s="493">
        <f>B31</f>
        <v>111</v>
      </c>
      <c r="C98" s="534"/>
      <c r="D98" s="534"/>
      <c r="E98" s="534"/>
      <c r="F98" s="534"/>
      <c r="G98" s="534"/>
      <c r="H98" s="534"/>
      <c r="I98" s="534"/>
      <c r="J98" s="534"/>
      <c r="K98" s="535"/>
      <c r="L98" s="536"/>
      <c r="M98" s="537"/>
      <c r="N98" s="930"/>
      <c r="O98" s="930"/>
      <c r="P98" s="1918"/>
      <c r="Q98" s="451"/>
    </row>
    <row r="99" spans="1:17" ht="15.75" thickBot="1">
      <c r="A99" s="1924"/>
      <c r="B99" s="516"/>
      <c r="C99" s="538"/>
      <c r="D99" s="538"/>
      <c r="E99" s="538"/>
      <c r="F99" s="538"/>
      <c r="G99" s="538"/>
      <c r="H99" s="538"/>
      <c r="I99" s="538"/>
      <c r="J99" s="538"/>
      <c r="K99" s="538"/>
      <c r="L99" s="538"/>
      <c r="M99" s="539"/>
      <c r="N99" s="931"/>
      <c r="O99" s="931"/>
      <c r="P99" s="1918"/>
      <c r="Q99" s="451"/>
    </row>
    <row r="100" spans="1:17">
      <c r="A100" s="474" t="s">
        <v>1694</v>
      </c>
      <c r="B100" s="475" t="s">
        <v>1736</v>
      </c>
      <c r="C100" s="3453" t="s">
        <v>3436</v>
      </c>
      <c r="D100" s="3453" t="s">
        <v>3437</v>
      </c>
      <c r="E100" s="3453" t="s">
        <v>3438</v>
      </c>
      <c r="F100" s="3453" t="s">
        <v>3439</v>
      </c>
      <c r="G100" s="3453" t="s">
        <v>3440</v>
      </c>
      <c r="H100" s="3453" t="s">
        <v>3441</v>
      </c>
      <c r="I100" s="3453" t="s">
        <v>3442</v>
      </c>
      <c r="J100" s="477"/>
      <c r="K100" s="478"/>
      <c r="L100" s="479"/>
      <c r="M100" s="480"/>
      <c r="N100" s="930"/>
      <c r="O100" s="930"/>
      <c r="P100" s="1918"/>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8"/>
      <c r="Q101" s="451"/>
    </row>
    <row r="102" spans="1:17" ht="29.25" thickTop="1">
      <c r="A102" s="481"/>
      <c r="B102" s="485" t="s">
        <v>1737</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8"/>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9"/>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9"/>
      <c r="Q104" s="506"/>
    </row>
    <row r="105" spans="1:17" ht="15" thickTop="1">
      <c r="A105" s="546"/>
      <c r="B105" s="485" t="s">
        <v>1738</v>
      </c>
      <c r="C105" s="3451" t="s">
        <v>3443</v>
      </c>
      <c r="D105" s="501"/>
      <c r="E105" s="530"/>
      <c r="F105" s="530"/>
      <c r="G105" s="530"/>
      <c r="H105" s="530"/>
      <c r="I105" s="530"/>
      <c r="J105" s="530"/>
      <c r="K105" s="531"/>
      <c r="L105" s="532"/>
      <c r="M105" s="533"/>
      <c r="N105" s="930"/>
      <c r="O105" s="930"/>
      <c r="P105" s="1918"/>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8"/>
      <c r="Q106" s="451"/>
    </row>
    <row r="107" spans="1:17" ht="15" thickTop="1">
      <c r="A107" s="546"/>
      <c r="B107" s="485" t="s">
        <v>1739</v>
      </c>
      <c r="C107" s="3454" t="s">
        <v>3444</v>
      </c>
      <c r="D107" s="3454" t="s">
        <v>3445</v>
      </c>
      <c r="E107" s="3454" t="s">
        <v>3446</v>
      </c>
      <c r="F107" s="530"/>
      <c r="G107" s="530"/>
      <c r="H107" s="530"/>
      <c r="I107" s="530"/>
      <c r="J107" s="530"/>
      <c r="K107" s="531"/>
      <c r="L107" s="532"/>
      <c r="M107" s="533"/>
      <c r="N107" s="930"/>
      <c r="O107" s="930"/>
      <c r="P107" s="1918"/>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8"/>
      <c r="Q108" s="451"/>
    </row>
    <row r="109" spans="1:17" ht="15" thickTop="1">
      <c r="A109" s="546"/>
      <c r="B109" s="485" t="s">
        <v>1740</v>
      </c>
      <c r="C109" s="3451" t="s">
        <v>3447</v>
      </c>
      <c r="D109" s="3451" t="s">
        <v>3449</v>
      </c>
      <c r="E109" s="3451" t="s">
        <v>3450</v>
      </c>
      <c r="F109" s="3454" t="s">
        <v>3451</v>
      </c>
      <c r="G109" s="530"/>
      <c r="H109" s="530"/>
      <c r="I109" s="530"/>
      <c r="J109" s="530"/>
      <c r="K109" s="531"/>
      <c r="L109" s="532"/>
      <c r="M109" s="533"/>
      <c r="N109" s="930"/>
      <c r="O109" s="930"/>
      <c r="P109" s="1918"/>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8"/>
      <c r="Q110" s="451"/>
    </row>
    <row r="111" spans="1:17" s="422"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9"/>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9"/>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9"/>
      <c r="Q113" s="506"/>
    </row>
    <row r="114" spans="1:17" ht="15" thickTop="1">
      <c r="A114" s="546"/>
      <c r="B114" s="485" t="s">
        <v>1741</v>
      </c>
      <c r="C114" s="3451" t="s">
        <v>3454</v>
      </c>
      <c r="D114" s="3451" t="s">
        <v>3452</v>
      </c>
      <c r="E114" s="530"/>
      <c r="F114" s="530"/>
      <c r="G114" s="530"/>
      <c r="H114" s="530"/>
      <c r="I114" s="530"/>
      <c r="J114" s="530"/>
      <c r="K114" s="531"/>
      <c r="L114" s="532"/>
      <c r="M114" s="533"/>
      <c r="N114" s="930"/>
      <c r="O114" s="930"/>
      <c r="P114" s="1918"/>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8"/>
      <c r="Q115" s="451"/>
    </row>
    <row r="116" spans="1:17" ht="15" thickTop="1">
      <c r="A116" s="546"/>
      <c r="B116" s="485" t="s">
        <v>1742</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8"/>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8"/>
      <c r="Q117" s="451"/>
    </row>
    <row r="118" spans="1:17" ht="15" thickTop="1">
      <c r="A118" s="546"/>
      <c r="B118" s="485" t="s">
        <v>1743</v>
      </c>
      <c r="C118" s="3454" t="s">
        <v>3455</v>
      </c>
      <c r="D118" s="3454" t="s">
        <v>3456</v>
      </c>
      <c r="E118" s="3454" t="s">
        <v>3457</v>
      </c>
      <c r="F118" s="3454" t="s">
        <v>3458</v>
      </c>
      <c r="G118" s="3454" t="s">
        <v>3459</v>
      </c>
      <c r="H118" s="3454" t="s">
        <v>3460</v>
      </c>
      <c r="I118" s="530"/>
      <c r="J118" s="530"/>
      <c r="K118" s="531"/>
      <c r="L118" s="532"/>
      <c r="M118" s="533"/>
      <c r="N118" s="930"/>
      <c r="O118" s="930"/>
      <c r="P118" s="1918"/>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8"/>
      <c r="Q119" s="451"/>
    </row>
    <row r="120" spans="1:17" s="422" customFormat="1" ht="28.5" thickTop="1">
      <c r="A120" s="540"/>
      <c r="B120" s="485" t="s">
        <v>1705</v>
      </c>
      <c r="C120" s="501"/>
      <c r="D120" s="501"/>
      <c r="E120" s="501"/>
      <c r="F120" s="501"/>
      <c r="G120" s="501"/>
      <c r="H120" s="501"/>
      <c r="I120" s="501"/>
      <c r="J120" s="501"/>
      <c r="K120" s="501"/>
      <c r="L120" s="527"/>
      <c r="M120" s="528"/>
      <c r="N120" s="932"/>
      <c r="O120" s="932"/>
      <c r="P120" s="1919"/>
      <c r="Q120" s="506"/>
    </row>
    <row r="121" spans="1:17" s="422" customFormat="1" ht="15.75" thickBot="1">
      <c r="A121" s="500"/>
      <c r="B121" s="482"/>
      <c r="C121" s="507"/>
      <c r="D121" s="483"/>
      <c r="E121" s="483"/>
      <c r="F121" s="483"/>
      <c r="G121" s="483"/>
      <c r="H121" s="483"/>
      <c r="I121" s="483"/>
      <c r="J121" s="483"/>
      <c r="K121" s="483"/>
      <c r="L121" s="483"/>
      <c r="M121" s="483"/>
      <c r="N121" s="932"/>
      <c r="O121" s="932"/>
      <c r="P121" s="1919"/>
      <c r="Q121" s="506"/>
    </row>
    <row r="122" spans="1:17" ht="15" thickTop="1">
      <c r="A122" s="546"/>
      <c r="B122" s="485" t="s">
        <v>1744</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8"/>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8"/>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19"/>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8"/>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9"/>
      <c r="Q126" s="506"/>
    </row>
    <row r="127" spans="1:17" s="422" customFormat="1" ht="15.75" thickBot="1">
      <c r="A127" s="500"/>
      <c r="B127" s="490"/>
      <c r="C127" s="507"/>
      <c r="D127" s="483"/>
      <c r="E127" s="483"/>
      <c r="F127" s="483"/>
      <c r="G127" s="507"/>
      <c r="H127" s="509"/>
      <c r="I127" s="509"/>
      <c r="J127" s="509"/>
      <c r="K127" s="509"/>
      <c r="L127" s="509"/>
      <c r="M127" s="510"/>
      <c r="N127" s="932"/>
      <c r="O127" s="932"/>
      <c r="P127" s="1919"/>
      <c r="Q127" s="506"/>
    </row>
    <row r="128" spans="1:17" ht="15" thickTop="1">
      <c r="A128" s="546"/>
      <c r="B128" s="485">
        <f>B45</f>
        <v>111</v>
      </c>
      <c r="C128" s="501"/>
      <c r="D128" s="501"/>
      <c r="E128" s="501"/>
      <c r="F128" s="501"/>
      <c r="G128" s="530"/>
      <c r="H128" s="530"/>
      <c r="I128" s="530"/>
      <c r="J128" s="530"/>
      <c r="K128" s="531"/>
      <c r="L128" s="532"/>
      <c r="M128" s="533"/>
      <c r="N128" s="930"/>
      <c r="O128" s="930"/>
      <c r="P128" s="1918"/>
      <c r="Q128" s="451"/>
    </row>
    <row r="129" spans="1:17" ht="15.75" thickBot="1">
      <c r="A129" s="481"/>
      <c r="B129" s="490"/>
      <c r="C129" s="507"/>
      <c r="D129" s="507"/>
      <c r="E129" s="507"/>
      <c r="F129" s="507"/>
      <c r="G129" s="483"/>
      <c r="H129" s="483"/>
      <c r="I129" s="483"/>
      <c r="J129" s="483"/>
      <c r="K129" s="483"/>
      <c r="L129" s="483"/>
      <c r="M129" s="484"/>
      <c r="N129" s="931"/>
      <c r="O129" s="931"/>
      <c r="P129" s="1918"/>
      <c r="Q129" s="451"/>
    </row>
    <row r="130" spans="1:17" ht="15" thickTop="1">
      <c r="A130" s="546"/>
      <c r="B130" s="493">
        <f>B46</f>
        <v>111</v>
      </c>
      <c r="C130" s="501"/>
      <c r="D130" s="501"/>
      <c r="E130" s="501"/>
      <c r="F130" s="501"/>
      <c r="G130" s="534"/>
      <c r="H130" s="534"/>
      <c r="I130" s="534"/>
      <c r="J130" s="534"/>
      <c r="K130" s="470"/>
      <c r="L130" s="471"/>
      <c r="M130" s="537"/>
      <c r="N130" s="930"/>
      <c r="O130" s="930"/>
      <c r="P130" s="1918"/>
      <c r="Q130" s="451"/>
    </row>
    <row r="131" spans="1:17" ht="15.75" thickBot="1">
      <c r="A131" s="1924"/>
      <c r="B131" s="516"/>
      <c r="C131" s="517"/>
      <c r="D131" s="517"/>
      <c r="E131" s="517"/>
      <c r="F131" s="517"/>
      <c r="G131" s="538"/>
      <c r="H131" s="538"/>
      <c r="I131" s="538"/>
      <c r="J131" s="538"/>
      <c r="K131" s="538"/>
      <c r="L131" s="538"/>
      <c r="M131" s="539"/>
      <c r="N131" s="931"/>
      <c r="O131" s="931"/>
      <c r="P131" s="1918"/>
      <c r="Q131" s="451"/>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4">
        <v>6</v>
      </c>
      <c r="C139" s="865">
        <v>96</v>
      </c>
      <c r="D139" s="1936" t="s">
        <v>1755</v>
      </c>
      <c r="E139" s="866">
        <v>100</v>
      </c>
      <c r="F139" s="867">
        <v>102.5</v>
      </c>
      <c r="G139" s="1936" t="s">
        <v>1755</v>
      </c>
      <c r="H139" s="868">
        <v>105</v>
      </c>
      <c r="I139" s="1937" t="s">
        <v>1756</v>
      </c>
      <c r="J139" s="865">
        <v>20</v>
      </c>
      <c r="K139" s="869">
        <f>C145/(J139-2)</f>
        <v>4.0555555555555553E-3</v>
      </c>
    </row>
    <row r="140" spans="1:17" ht="15">
      <c r="B140" s="870">
        <v>5</v>
      </c>
      <c r="C140" s="871">
        <v>100</v>
      </c>
      <c r="D140" s="871"/>
      <c r="E140" s="872"/>
      <c r="F140" s="873">
        <v>102</v>
      </c>
      <c r="G140" s="871"/>
      <c r="H140" s="874"/>
      <c r="I140" s="1938" t="s">
        <v>1757</v>
      </c>
      <c r="J140" s="271">
        <f>ROUNDUP((J139-1)/2,0)</f>
        <v>10</v>
      </c>
      <c r="K140" s="875">
        <v>100</v>
      </c>
    </row>
    <row r="141" spans="1:17" ht="15">
      <c r="B141" s="870">
        <v>4</v>
      </c>
      <c r="C141" s="871">
        <v>102</v>
      </c>
      <c r="D141" s="871"/>
      <c r="E141" s="872"/>
      <c r="F141" s="873">
        <v>101.5</v>
      </c>
      <c r="G141" s="871"/>
      <c r="H141" s="874"/>
      <c r="I141" s="1938" t="s">
        <v>1758</v>
      </c>
      <c r="J141" s="271">
        <v>1</v>
      </c>
      <c r="K141" s="876">
        <f>ROUND(100+(J141-J140)*K139*100,1)</f>
        <v>96.4</v>
      </c>
    </row>
    <row r="142" spans="1:17" ht="15">
      <c r="B142" s="870">
        <v>3</v>
      </c>
      <c r="C142" s="871">
        <v>103</v>
      </c>
      <c r="D142" s="871"/>
      <c r="E142" s="872"/>
      <c r="F142" s="873">
        <v>101</v>
      </c>
      <c r="G142" s="871"/>
      <c r="H142" s="874"/>
      <c r="I142" s="1938" t="s">
        <v>1759</v>
      </c>
      <c r="J142" s="271">
        <f>J139</f>
        <v>20</v>
      </c>
      <c r="K142" s="877">
        <v>95</v>
      </c>
    </row>
    <row r="143" spans="1:17" ht="15">
      <c r="B143" s="870">
        <v>2</v>
      </c>
      <c r="C143" s="871">
        <v>100</v>
      </c>
      <c r="D143" s="871"/>
      <c r="E143" s="872"/>
      <c r="F143" s="873">
        <v>100.5</v>
      </c>
      <c r="G143" s="871"/>
      <c r="H143" s="874"/>
      <c r="I143" s="1938" t="s">
        <v>1760</v>
      </c>
      <c r="J143" s="871">
        <v>15</v>
      </c>
      <c r="K143" s="876">
        <f>ROUND(100+(J143-J140)*K139*100,1)</f>
        <v>102</v>
      </c>
    </row>
    <row r="144" spans="1:17" ht="15">
      <c r="B144" s="870">
        <v>1</v>
      </c>
      <c r="C144" s="871">
        <v>98</v>
      </c>
      <c r="D144" s="1939" t="s">
        <v>1761</v>
      </c>
      <c r="E144" s="872">
        <v>102</v>
      </c>
      <c r="F144" s="878">
        <v>100</v>
      </c>
      <c r="G144" s="1939" t="s">
        <v>1761</v>
      </c>
      <c r="H144" s="874">
        <v>105</v>
      </c>
      <c r="I144" s="1938" t="s">
        <v>1760</v>
      </c>
      <c r="J144" s="871">
        <v>18</v>
      </c>
      <c r="K144" s="876">
        <f>ROUND(100+(J144-J140)*K139*100,1)</f>
        <v>103.2</v>
      </c>
    </row>
    <row r="145" spans="2:11" ht="15.75" thickBot="1">
      <c r="B145" s="1940" t="s">
        <v>1762</v>
      </c>
      <c r="C145" s="879">
        <f>ROUND(MAX(C139:C144)/MIN(C139:C144)-1,3)</f>
        <v>7.2999999999999995E-2</v>
      </c>
      <c r="D145" s="880"/>
      <c r="E145" s="880"/>
      <c r="F145" s="1941" t="s">
        <v>1763</v>
      </c>
      <c r="G145" s="1942"/>
      <c r="H145" s="1943"/>
      <c r="I145" s="1944" t="s">
        <v>1760</v>
      </c>
      <c r="J145" s="881">
        <v>8</v>
      </c>
      <c r="K145" s="882">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17" t="s">
        <v>3461</v>
      </c>
      <c r="F1" s="1876" t="s">
        <v>3462</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e">
        <f>IF(E1="项目模式",IF(C2="——",ROUND(C49*D3/10000,0),ROUND(C49*D3/10000,0)-D2),IF(E1="单套模式",IF(C2="——",ROUND(C49*D3/10000,4),ROUND(C49*D3/10000,4)-D2)))</f>
        <v>#N/A</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5"/>
      <c r="M2" s="2726"/>
      <c r="N2" s="2726"/>
      <c r="O2" s="2726"/>
      <c r="P2" s="1948"/>
      <c r="Q2" s="909"/>
      <c r="R2" s="909"/>
      <c r="S2" s="909"/>
      <c r="T2" s="909"/>
      <c r="U2" s="909"/>
      <c r="V2" s="909"/>
      <c r="W2" s="909"/>
      <c r="X2" s="909"/>
      <c r="Y2" s="909"/>
      <c r="Z2" s="909"/>
      <c r="AA2" s="909"/>
      <c r="AB2" s="909"/>
      <c r="AC2" s="1949"/>
    </row>
    <row r="3" spans="1:29" s="352" customFormat="1" ht="28.5" customHeight="1" thickBot="1">
      <c r="A3" s="203" t="s">
        <v>1464</v>
      </c>
      <c r="B3" s="556" t="e">
        <f>IF(C2="——",C49,ROUND(B2*10000/D3,0))</f>
        <v>#N/A</v>
      </c>
      <c r="C3" s="354" t="s">
        <v>1768</v>
      </c>
      <c r="D3" s="353">
        <f>IF(D1="",'数据-汇总表'!E3,SUMIF('数据-汇总表'!$C19:$C33,D1,'数据-汇总表'!$E19:$E33))</f>
        <v>0</v>
      </c>
      <c r="E3" s="1950"/>
      <c r="F3" s="906"/>
      <c r="G3" s="905"/>
      <c r="H3" s="905"/>
      <c r="I3" s="905"/>
      <c r="J3" s="905"/>
      <c r="K3" s="907"/>
      <c r="L3" s="2725"/>
      <c r="M3" s="2726"/>
      <c r="N3" s="2726"/>
      <c r="O3" s="2726"/>
      <c r="P3" s="1948"/>
      <c r="Q3" s="909"/>
      <c r="R3" s="909"/>
      <c r="S3" s="909"/>
      <c r="T3" s="909"/>
      <c r="U3" s="909"/>
      <c r="V3" s="909"/>
      <c r="W3" s="909"/>
      <c r="X3" s="909"/>
      <c r="Y3" s="909"/>
      <c r="Z3" s="909"/>
      <c r="AA3" s="909"/>
      <c r="AB3" s="909"/>
      <c r="AC3" s="1950"/>
    </row>
    <row r="4" spans="1:29" ht="15">
      <c r="A4" s="355" t="s">
        <v>1769</v>
      </c>
      <c r="B4" s="356"/>
      <c r="C4" s="3701" t="s">
        <v>1770</v>
      </c>
      <c r="D4" s="3702"/>
      <c r="E4" s="3703" t="s">
        <v>1771</v>
      </c>
      <c r="F4" s="3704"/>
      <c r="G4" s="3701" t="s">
        <v>1772</v>
      </c>
      <c r="H4" s="3702"/>
      <c r="I4" s="3701" t="s">
        <v>1773</v>
      </c>
      <c r="J4" s="3702"/>
      <c r="K4" s="557" t="s">
        <v>1774</v>
      </c>
      <c r="L4" s="2706"/>
      <c r="M4" s="2707"/>
      <c r="N4" s="2707"/>
      <c r="O4" s="2707"/>
      <c r="P4" s="3705" t="s">
        <v>1775</v>
      </c>
      <c r="Q4" s="3706"/>
      <c r="R4" s="3711" t="s">
        <v>1771</v>
      </c>
      <c r="S4" s="3712"/>
      <c r="T4" s="3711" t="s">
        <v>1772</v>
      </c>
      <c r="U4" s="3712"/>
      <c r="V4" s="3717" t="s">
        <v>1773</v>
      </c>
      <c r="W4" s="3717"/>
      <c r="X4" s="1352"/>
      <c r="Y4" s="3711" t="s">
        <v>1775</v>
      </c>
      <c r="Z4" s="3712"/>
      <c r="AA4" s="3698" t="s">
        <v>1771</v>
      </c>
      <c r="AB4" s="3717" t="s">
        <v>1772</v>
      </c>
      <c r="AC4" s="3698" t="s">
        <v>1773</v>
      </c>
    </row>
    <row r="5" spans="1:29" ht="15">
      <c r="A5" s="358"/>
      <c r="B5" s="359"/>
      <c r="C5" s="3720" t="s">
        <v>1673</v>
      </c>
      <c r="D5" s="3721"/>
      <c r="E5" s="3727" t="s">
        <v>1674</v>
      </c>
      <c r="F5" s="3728"/>
      <c r="G5" s="3720" t="s">
        <v>1675</v>
      </c>
      <c r="H5" s="3721"/>
      <c r="I5" s="3720" t="s">
        <v>1676</v>
      </c>
      <c r="J5" s="3721"/>
      <c r="K5" s="557"/>
      <c r="L5" s="2706"/>
      <c r="M5" s="2707"/>
      <c r="N5" s="2707"/>
      <c r="O5" s="2707"/>
      <c r="P5" s="3707"/>
      <c r="Q5" s="3708"/>
      <c r="R5" s="3713"/>
      <c r="S5" s="3714"/>
      <c r="T5" s="3713"/>
      <c r="U5" s="3714"/>
      <c r="V5" s="3717"/>
      <c r="W5" s="3717"/>
      <c r="X5" s="1352"/>
      <c r="Y5" s="3713"/>
      <c r="Z5" s="3714"/>
      <c r="AA5" s="3699"/>
      <c r="AB5" s="3717"/>
      <c r="AC5" s="3699"/>
    </row>
    <row r="6" spans="1:29" ht="15.75" thickBot="1">
      <c r="A6" s="360"/>
      <c r="B6" s="361"/>
      <c r="C6" s="3718" t="s">
        <v>1677</v>
      </c>
      <c r="D6" s="3719"/>
      <c r="E6" s="3725" t="s">
        <v>1677</v>
      </c>
      <c r="F6" s="3726"/>
      <c r="G6" s="3718" t="s">
        <v>1677</v>
      </c>
      <c r="H6" s="3719"/>
      <c r="I6" s="3718" t="s">
        <v>1677</v>
      </c>
      <c r="J6" s="3719"/>
      <c r="K6" s="557" t="s">
        <v>1678</v>
      </c>
      <c r="L6" s="2706"/>
      <c r="M6" s="2707"/>
      <c r="N6" s="2707"/>
      <c r="O6" s="2707"/>
      <c r="P6" s="3709"/>
      <c r="Q6" s="3710"/>
      <c r="R6" s="3713"/>
      <c r="S6" s="3714"/>
      <c r="T6" s="3715"/>
      <c r="U6" s="3716"/>
      <c r="V6" s="3717"/>
      <c r="W6" s="3717"/>
      <c r="X6" s="1352"/>
      <c r="Y6" s="3715"/>
      <c r="Z6" s="3716"/>
      <c r="AA6" s="3700"/>
      <c r="AB6" s="3717"/>
      <c r="AC6" s="3700"/>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58"/>
      <c r="L7" s="2708"/>
      <c r="M7" s="2709"/>
      <c r="N7" s="2709"/>
      <c r="O7" s="2709"/>
      <c r="P7" s="3722" t="s">
        <v>1680</v>
      </c>
      <c r="Q7" s="3724"/>
      <c r="R7" s="698" t="s">
        <v>14</v>
      </c>
      <c r="S7" s="699">
        <f t="shared" ref="S7:S15" si="0">F7</f>
        <v>100</v>
      </c>
      <c r="T7" s="698" t="s">
        <v>14</v>
      </c>
      <c r="U7" s="699">
        <f t="shared" ref="U7:U15" si="1">H7</f>
        <v>100</v>
      </c>
      <c r="V7" s="698" t="s">
        <v>14</v>
      </c>
      <c r="W7" s="699">
        <f t="shared" ref="W7:W15" si="2">J7</f>
        <v>100</v>
      </c>
      <c r="X7" s="700"/>
      <c r="Y7" s="3722" t="s">
        <v>1680</v>
      </c>
      <c r="Z7" s="3723"/>
      <c r="AA7" s="701">
        <f>D7/F7</f>
        <v>1</v>
      </c>
      <c r="AB7" s="701">
        <f>D7/H7</f>
        <v>1</v>
      </c>
      <c r="AC7" s="701">
        <f>D7/J7</f>
        <v>1</v>
      </c>
    </row>
    <row r="8" spans="1:29" s="108" customFormat="1" ht="15.75" thickBot="1">
      <c r="A8" s="362" t="s">
        <v>1681</v>
      </c>
      <c r="B8" s="363"/>
      <c r="C8" s="368" t="s">
        <v>3400</v>
      </c>
      <c r="D8" s="365">
        <v>100</v>
      </c>
      <c r="E8" s="368" t="s">
        <v>3412</v>
      </c>
      <c r="F8" s="367">
        <f>SUMIF(61:61,E8,62:62)-SUMIF(61:61,C8,62:62)+100</f>
        <v>102</v>
      </c>
      <c r="G8" s="368" t="s">
        <v>3412</v>
      </c>
      <c r="H8" s="365">
        <f>SUMIF(61:61,G8,62:62)-SUMIF(61:61,C8,62:62)+100</f>
        <v>102</v>
      </c>
      <c r="I8" s="368" t="s">
        <v>3412</v>
      </c>
      <c r="J8" s="365">
        <f>SUMIF(61:61,I8,62:62)-SUMIF(61:61,C8,62:62)+100</f>
        <v>102</v>
      </c>
      <c r="K8" s="558"/>
      <c r="L8" s="2708"/>
      <c r="M8" s="2709"/>
      <c r="N8" s="2709"/>
      <c r="O8" s="2709"/>
      <c r="P8" s="3722" t="s">
        <v>1683</v>
      </c>
      <c r="Q8" s="3723"/>
      <c r="R8" s="698" t="s">
        <v>14</v>
      </c>
      <c r="S8" s="699">
        <f t="shared" si="0"/>
        <v>102</v>
      </c>
      <c r="T8" s="698" t="s">
        <v>14</v>
      </c>
      <c r="U8" s="699">
        <f t="shared" si="1"/>
        <v>102</v>
      </c>
      <c r="V8" s="698" t="s">
        <v>14</v>
      </c>
      <c r="W8" s="699">
        <f t="shared" si="2"/>
        <v>102</v>
      </c>
      <c r="X8" s="700"/>
      <c r="Y8" s="3722" t="s">
        <v>1683</v>
      </c>
      <c r="Z8" s="3723"/>
      <c r="AA8" s="701">
        <f t="shared" ref="AA8:AA46" si="3">D8/F8</f>
        <v>0.98039215686274506</v>
      </c>
      <c r="AB8" s="701">
        <f t="shared" ref="AB8:AB46" si="4">D8/H8</f>
        <v>0.98039215686274506</v>
      </c>
      <c r="AC8" s="701">
        <f t="shared" ref="AC8:AC46" si="5">D8/J8</f>
        <v>0.98039215686274506</v>
      </c>
    </row>
    <row r="9" spans="1:29" s="108" customFormat="1">
      <c r="A9" s="369" t="s">
        <v>1684</v>
      </c>
      <c r="B9" s="63" t="s">
        <v>1685</v>
      </c>
      <c r="C9" s="3456" t="s">
        <v>3498</v>
      </c>
      <c r="D9" s="126">
        <v>100</v>
      </c>
      <c r="E9" s="371" t="s">
        <v>673</v>
      </c>
      <c r="F9" s="372">
        <f>SUMIF(63:63,E9,64:64)-SUMIF(63:63,C9,64:64)+100</f>
        <v>100</v>
      </c>
      <c r="G9" s="371" t="s">
        <v>673</v>
      </c>
      <c r="H9" s="126">
        <f>SUMIF(63:63,G9,64:64)-SUMIF(63:63,C9,64:64)+100</f>
        <v>100</v>
      </c>
      <c r="I9" s="371" t="s">
        <v>673</v>
      </c>
      <c r="J9" s="126">
        <f>SUMIF(63:63,I9,64:64)-SUMIF(63:63,C9,64:64)+100</f>
        <v>100</v>
      </c>
      <c r="K9" s="558"/>
      <c r="L9" s="2708"/>
      <c r="M9" s="2709"/>
      <c r="N9" s="2709"/>
      <c r="O9" s="2709"/>
      <c r="P9" s="3697" t="s">
        <v>1686</v>
      </c>
      <c r="Q9" s="1340" t="str">
        <f t="shared" ref="Q9:Q15" si="6">B9</f>
        <v>用途</v>
      </c>
      <c r="R9" s="698" t="s">
        <v>14</v>
      </c>
      <c r="S9" s="699">
        <f t="shared" si="0"/>
        <v>100</v>
      </c>
      <c r="T9" s="698" t="s">
        <v>14</v>
      </c>
      <c r="U9" s="699">
        <f t="shared" si="1"/>
        <v>100</v>
      </c>
      <c r="V9" s="698" t="s">
        <v>14</v>
      </c>
      <c r="W9" s="699">
        <f t="shared" si="2"/>
        <v>100</v>
      </c>
      <c r="X9" s="700"/>
      <c r="Y9" s="3561" t="s">
        <v>1687</v>
      </c>
      <c r="Z9" s="52" t="str">
        <f t="shared" ref="Z9:Z15" si="7">Q9</f>
        <v>用途</v>
      </c>
      <c r="AA9" s="701">
        <f t="shared" si="3"/>
        <v>1</v>
      </c>
      <c r="AB9" s="701">
        <f t="shared" si="4"/>
        <v>1</v>
      </c>
      <c r="AC9" s="701">
        <f t="shared" si="5"/>
        <v>1</v>
      </c>
    </row>
    <row r="10" spans="1:29" s="378" customFormat="1" ht="27">
      <c r="A10" s="374"/>
      <c r="B10" s="375" t="s">
        <v>1688</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697"/>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59"/>
      <c r="L11" s="2712"/>
      <c r="M11" s="2707"/>
      <c r="N11" s="2707"/>
      <c r="O11" s="2707"/>
      <c r="P11" s="3697"/>
      <c r="Q11" s="1340" t="str">
        <f t="shared" si="6"/>
        <v>容积率</v>
      </c>
      <c r="R11" s="698" t="s">
        <v>14</v>
      </c>
      <c r="S11" s="699">
        <f t="shared" si="0"/>
        <v>100</v>
      </c>
      <c r="T11" s="698" t="s">
        <v>14</v>
      </c>
      <c r="U11" s="699">
        <f t="shared" si="1"/>
        <v>100</v>
      </c>
      <c r="V11" s="698" t="s">
        <v>14</v>
      </c>
      <c r="W11" s="699">
        <f t="shared" si="2"/>
        <v>100</v>
      </c>
      <c r="X11" s="700"/>
      <c r="Y11" s="3561"/>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697"/>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697"/>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697"/>
      <c r="Q14" s="1340">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701">
        <f t="shared" si="5"/>
        <v>1</v>
      </c>
    </row>
    <row r="15" spans="1:29" ht="15">
      <c r="A15" s="391" t="s">
        <v>1690</v>
      </c>
      <c r="B15" s="61" t="s">
        <v>1777</v>
      </c>
      <c r="C15" s="1893"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1">
        <v>2</v>
      </c>
      <c r="L15" s="2713"/>
      <c r="M15" s="2707"/>
      <c r="N15" s="2707"/>
      <c r="O15" s="2707"/>
      <c r="P15" s="3695" t="s">
        <v>1691</v>
      </c>
      <c r="Q15" s="1349" t="str">
        <f t="shared" si="6"/>
        <v>商业繁华度</v>
      </c>
      <c r="R15" s="702" t="s">
        <v>14</v>
      </c>
      <c r="S15" s="703">
        <f t="shared" si="0"/>
        <v>100</v>
      </c>
      <c r="T15" s="702" t="s">
        <v>14</v>
      </c>
      <c r="U15" s="703">
        <f t="shared" si="1"/>
        <v>100</v>
      </c>
      <c r="V15" s="702" t="s">
        <v>14</v>
      </c>
      <c r="W15" s="703">
        <f t="shared" si="2"/>
        <v>100</v>
      </c>
      <c r="X15" s="1352"/>
      <c r="Y15" s="3688"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696"/>
      <c r="Q16" s="1349"/>
      <c r="R16" s="702"/>
      <c r="S16" s="703"/>
      <c r="T16" s="702"/>
      <c r="U16" s="703"/>
      <c r="V16" s="702"/>
      <c r="W16" s="703"/>
      <c r="X16" s="1352"/>
      <c r="Y16" s="3689"/>
      <c r="Z16" s="1353"/>
      <c r="AA16" s="1350">
        <v>1</v>
      </c>
      <c r="AB16" s="1350">
        <v>1</v>
      </c>
      <c r="AC16" s="1350">
        <v>1</v>
      </c>
    </row>
    <row r="17" spans="1:29" ht="15">
      <c r="A17" s="379"/>
      <c r="B17" s="402" t="s">
        <v>1259</v>
      </c>
      <c r="C17" s="1897"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713"/>
      <c r="M17" s="2707"/>
      <c r="N17" s="2707"/>
      <c r="O17" s="2707"/>
      <c r="P17" s="3696"/>
      <c r="Q17" s="1349" t="str">
        <f>B17</f>
        <v>交通便捷度</v>
      </c>
      <c r="R17" s="702" t="s">
        <v>14</v>
      </c>
      <c r="S17" s="703">
        <f>F17</f>
        <v>100</v>
      </c>
      <c r="T17" s="702" t="s">
        <v>14</v>
      </c>
      <c r="U17" s="703">
        <f>H17</f>
        <v>100</v>
      </c>
      <c r="V17" s="702" t="s">
        <v>14</v>
      </c>
      <c r="W17" s="703">
        <f>J17</f>
        <v>100</v>
      </c>
      <c r="X17" s="1352"/>
      <c r="Y17" s="368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2"/>
      <c r="L18" s="2713"/>
      <c r="M18" s="2707"/>
      <c r="N18" s="2707"/>
      <c r="O18" s="2707"/>
      <c r="P18" s="3696"/>
      <c r="Q18" s="1349"/>
      <c r="R18" s="702"/>
      <c r="S18" s="703"/>
      <c r="T18" s="702"/>
      <c r="U18" s="703"/>
      <c r="V18" s="702"/>
      <c r="W18" s="703"/>
      <c r="X18" s="1352"/>
      <c r="Y18" s="3689"/>
      <c r="Z18" s="1353"/>
      <c r="AA18" s="1350">
        <v>1</v>
      </c>
      <c r="AB18" s="1350">
        <v>1</v>
      </c>
      <c r="AC18" s="1350">
        <v>1</v>
      </c>
    </row>
    <row r="19" spans="1:29" ht="15">
      <c r="A19" s="379"/>
      <c r="B19" s="402" t="s">
        <v>1778</v>
      </c>
      <c r="C19" s="1897"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713"/>
      <c r="M19" s="2707"/>
      <c r="N19" s="2707"/>
      <c r="O19" s="2707"/>
      <c r="P19" s="3696"/>
      <c r="Q19" s="1349" t="str">
        <f>B19</f>
        <v>公共配套设施</v>
      </c>
      <c r="R19" s="702" t="s">
        <v>14</v>
      </c>
      <c r="S19" s="703">
        <f>F19</f>
        <v>100</v>
      </c>
      <c r="T19" s="702" t="s">
        <v>14</v>
      </c>
      <c r="U19" s="703">
        <f>H19</f>
        <v>100</v>
      </c>
      <c r="V19" s="702" t="s">
        <v>14</v>
      </c>
      <c r="W19" s="703">
        <f>J19</f>
        <v>100</v>
      </c>
      <c r="X19" s="1352"/>
      <c r="Y19" s="368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2"/>
      <c r="L20" s="2713"/>
      <c r="M20" s="2707"/>
      <c r="N20" s="2707"/>
      <c r="O20" s="2707"/>
      <c r="P20" s="3696"/>
      <c r="Q20" s="1349"/>
      <c r="R20" s="702"/>
      <c r="S20" s="703"/>
      <c r="T20" s="702"/>
      <c r="U20" s="703"/>
      <c r="V20" s="702"/>
      <c r="W20" s="703"/>
      <c r="X20" s="1352"/>
      <c r="Y20" s="3689"/>
      <c r="Z20" s="1353"/>
      <c r="AA20" s="1350">
        <v>1</v>
      </c>
      <c r="AB20" s="1350">
        <v>1</v>
      </c>
      <c r="AC20" s="1350">
        <v>1</v>
      </c>
    </row>
    <row r="21" spans="1:29" ht="15">
      <c r="A21" s="379"/>
      <c r="B21" s="1128" t="s">
        <v>1779</v>
      </c>
      <c r="C21" s="1897"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713"/>
      <c r="M21" s="2707"/>
      <c r="N21" s="2707"/>
      <c r="O21" s="2707"/>
      <c r="P21" s="3696"/>
      <c r="Q21" s="1349" t="str">
        <f>B21</f>
        <v>基础设施水平</v>
      </c>
      <c r="R21" s="702" t="s">
        <v>14</v>
      </c>
      <c r="S21" s="703">
        <f>F21</f>
        <v>100</v>
      </c>
      <c r="T21" s="702" t="s">
        <v>14</v>
      </c>
      <c r="U21" s="703">
        <f>H21</f>
        <v>100</v>
      </c>
      <c r="V21" s="702" t="s">
        <v>14</v>
      </c>
      <c r="W21" s="703">
        <f>J21</f>
        <v>100</v>
      </c>
      <c r="X21" s="1352"/>
      <c r="Y21" s="368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3"/>
      <c r="M22" s="2707"/>
      <c r="N22" s="2707"/>
      <c r="O22" s="2707"/>
      <c r="P22" s="3696"/>
      <c r="Q22" s="1349"/>
      <c r="R22" s="702"/>
      <c r="S22" s="703"/>
      <c r="T22" s="702"/>
      <c r="U22" s="703"/>
      <c r="V22" s="702"/>
      <c r="W22" s="703"/>
      <c r="X22" s="1352"/>
      <c r="Y22" s="3689"/>
      <c r="Z22" s="1353"/>
      <c r="AA22" s="1350">
        <v>1</v>
      </c>
      <c r="AB22" s="1350">
        <v>1</v>
      </c>
      <c r="AC22" s="1350">
        <v>1</v>
      </c>
    </row>
    <row r="23" spans="1:29" ht="15">
      <c r="A23" s="379"/>
      <c r="B23" s="402" t="s">
        <v>1261</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713"/>
      <c r="M23" s="2707"/>
      <c r="N23" s="2707"/>
      <c r="O23" s="2707"/>
      <c r="P23" s="3696"/>
      <c r="Q23" s="1349" t="str">
        <f>B23</f>
        <v>自然及人文环境</v>
      </c>
      <c r="R23" s="702" t="s">
        <v>14</v>
      </c>
      <c r="S23" s="703">
        <f>F23</f>
        <v>100</v>
      </c>
      <c r="T23" s="702" t="s">
        <v>14</v>
      </c>
      <c r="U23" s="703">
        <f>H23</f>
        <v>100</v>
      </c>
      <c r="V23" s="702" t="s">
        <v>14</v>
      </c>
      <c r="W23" s="703">
        <f>J23</f>
        <v>100</v>
      </c>
      <c r="X23" s="1352"/>
      <c r="Y23" s="3689"/>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2"/>
      <c r="L24" s="2713"/>
      <c r="M24" s="2707"/>
      <c r="N24" s="2707"/>
      <c r="O24" s="2707"/>
      <c r="P24" s="3696"/>
      <c r="Q24" s="1349"/>
      <c r="R24" s="702"/>
      <c r="S24" s="703"/>
      <c r="T24" s="702"/>
      <c r="U24" s="703"/>
      <c r="V24" s="702"/>
      <c r="W24" s="703"/>
      <c r="X24" s="1352"/>
      <c r="Y24" s="3689"/>
      <c r="Z24" s="1353"/>
      <c r="AA24" s="1350">
        <v>1</v>
      </c>
      <c r="AB24" s="1350">
        <v>1</v>
      </c>
      <c r="AC24" s="1350">
        <v>1</v>
      </c>
    </row>
    <row r="25" spans="1:29" ht="15">
      <c r="A25" s="379"/>
      <c r="B25" s="375" t="s">
        <v>1780</v>
      </c>
      <c r="C25" s="563"/>
      <c r="D25" s="386">
        <v>100</v>
      </c>
      <c r="E25" s="563"/>
      <c r="F25" s="412">
        <f>SUMIF(86:86,E25,87:87)-SUMIF(86:86,C25,87:87)+100</f>
        <v>100</v>
      </c>
      <c r="G25" s="563"/>
      <c r="H25" s="386">
        <f>SUMIF(86:86,G25,87:87)-SUMIF(86:86,C25,87:87)+100</f>
        <v>100</v>
      </c>
      <c r="I25" s="563"/>
      <c r="J25" s="386">
        <f>SUMIF(86:86,I25,87:87)-SUMIF(86:86,C25,87:87)+100</f>
        <v>100</v>
      </c>
      <c r="K25" s="559">
        <v>2</v>
      </c>
      <c r="L25" s="2713"/>
      <c r="M25" s="2707"/>
      <c r="N25" s="2707"/>
      <c r="O25" s="2707"/>
      <c r="P25" s="3696"/>
      <c r="Q25" s="1349" t="str">
        <f t="shared" ref="Q25:Q46" si="11">B25</f>
        <v>临街状况</v>
      </c>
      <c r="R25" s="702" t="s">
        <v>14</v>
      </c>
      <c r="S25" s="703">
        <f>F25</f>
        <v>100</v>
      </c>
      <c r="T25" s="702" t="s">
        <v>14</v>
      </c>
      <c r="U25" s="703">
        <f>H25</f>
        <v>100</v>
      </c>
      <c r="V25" s="702" t="s">
        <v>14</v>
      </c>
      <c r="W25" s="703">
        <f>J25</f>
        <v>100</v>
      </c>
      <c r="X25" s="1352"/>
      <c r="Y25" s="3689"/>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696"/>
      <c r="Q26" s="1349" t="str">
        <f t="shared" si="11"/>
        <v>平面位置/可视性</v>
      </c>
      <c r="R26" s="702" t="s">
        <v>14</v>
      </c>
      <c r="S26" s="703">
        <f>F26</f>
        <v>100</v>
      </c>
      <c r="T26" s="702" t="s">
        <v>14</v>
      </c>
      <c r="U26" s="703">
        <f>H26</f>
        <v>100</v>
      </c>
      <c r="V26" s="702" t="s">
        <v>14</v>
      </c>
      <c r="W26" s="703">
        <f>J26</f>
        <v>100</v>
      </c>
      <c r="X26" s="1352"/>
      <c r="Y26" s="3689"/>
      <c r="Z26" s="1353" t="str">
        <f>Q26</f>
        <v>平面位置/可视性</v>
      </c>
      <c r="AA26" s="1350">
        <f t="shared" si="3"/>
        <v>1</v>
      </c>
      <c r="AB26" s="1350">
        <f t="shared" si="4"/>
        <v>1</v>
      </c>
      <c r="AC26" s="1350">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59">
        <v>2</v>
      </c>
      <c r="L27" s="2708"/>
      <c r="M27" s="2709"/>
      <c r="N27" s="2709"/>
      <c r="O27" s="2709"/>
      <c r="P27" s="3696"/>
      <c r="Q27" s="1340" t="str">
        <f t="shared" si="11"/>
        <v>人流量</v>
      </c>
      <c r="R27" s="698" t="s">
        <v>14</v>
      </c>
      <c r="S27" s="699">
        <f>F27</f>
        <v>100</v>
      </c>
      <c r="T27" s="698" t="s">
        <v>14</v>
      </c>
      <c r="U27" s="699">
        <f>H27</f>
        <v>100</v>
      </c>
      <c r="V27" s="698" t="s">
        <v>14</v>
      </c>
      <c r="W27" s="699">
        <f>J27</f>
        <v>100</v>
      </c>
      <c r="X27" s="700"/>
      <c r="Y27" s="3689"/>
      <c r="Z27" s="52" t="str">
        <f>Q27</f>
        <v>人流量</v>
      </c>
      <c r="AA27" s="1350">
        <f>D27/F27</f>
        <v>1</v>
      </c>
      <c r="AB27" s="1350">
        <f>D27/H27</f>
        <v>1</v>
      </c>
      <c r="AC27" s="1350">
        <f>D27/J27</f>
        <v>1</v>
      </c>
    </row>
    <row r="28" spans="1:29" ht="15.75" thickBot="1">
      <c r="A28" s="379"/>
      <c r="B28" s="375" t="s">
        <v>1783</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696"/>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689"/>
      <c r="Z28" s="1353" t="str">
        <f t="shared" ref="Z28:Z46" si="15">Q28</f>
        <v>楼层</v>
      </c>
      <c r="AA28" s="1350">
        <f t="shared" si="3"/>
        <v>1</v>
      </c>
      <c r="AB28" s="1350">
        <f t="shared" si="4"/>
        <v>1</v>
      </c>
      <c r="AC28" s="1350">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696"/>
      <c r="Q29" s="1349">
        <f t="shared" si="11"/>
        <v>111</v>
      </c>
      <c r="R29" s="702" t="s">
        <v>14</v>
      </c>
      <c r="S29" s="703">
        <f t="shared" si="12"/>
        <v>100</v>
      </c>
      <c r="T29" s="702" t="s">
        <v>14</v>
      </c>
      <c r="U29" s="703">
        <f t="shared" si="13"/>
        <v>100</v>
      </c>
      <c r="V29" s="702" t="s">
        <v>14</v>
      </c>
      <c r="W29" s="703">
        <f t="shared" si="14"/>
        <v>100</v>
      </c>
      <c r="X29" s="1352"/>
      <c r="Y29" s="3689"/>
      <c r="Z29" s="1353">
        <f t="shared" si="15"/>
        <v>111</v>
      </c>
      <c r="AA29" s="1350">
        <f t="shared" si="3"/>
        <v>1</v>
      </c>
      <c r="AB29" s="1350">
        <f t="shared" si="4"/>
        <v>1</v>
      </c>
      <c r="AC29" s="1350">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696"/>
      <c r="Q30" s="1349">
        <f t="shared" si="11"/>
        <v>111</v>
      </c>
      <c r="R30" s="702" t="s">
        <v>14</v>
      </c>
      <c r="S30" s="703">
        <f t="shared" si="12"/>
        <v>100</v>
      </c>
      <c r="T30" s="702" t="s">
        <v>14</v>
      </c>
      <c r="U30" s="703">
        <f t="shared" si="13"/>
        <v>100</v>
      </c>
      <c r="V30" s="702" t="s">
        <v>14</v>
      </c>
      <c r="W30" s="703">
        <f t="shared" si="14"/>
        <v>100</v>
      </c>
      <c r="X30" s="1352"/>
      <c r="Y30" s="3689"/>
      <c r="Z30" s="1353">
        <f t="shared" si="15"/>
        <v>111</v>
      </c>
      <c r="AA30" s="1350">
        <f t="shared" si="3"/>
        <v>1</v>
      </c>
      <c r="AB30" s="1350">
        <f t="shared" si="4"/>
        <v>1</v>
      </c>
      <c r="AC30" s="1350">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696"/>
      <c r="Q31" s="1349">
        <f t="shared" si="11"/>
        <v>111</v>
      </c>
      <c r="R31" s="702" t="s">
        <v>14</v>
      </c>
      <c r="S31" s="703">
        <f t="shared" si="12"/>
        <v>100</v>
      </c>
      <c r="T31" s="702" t="s">
        <v>14</v>
      </c>
      <c r="U31" s="703">
        <f t="shared" si="13"/>
        <v>100</v>
      </c>
      <c r="V31" s="702" t="s">
        <v>14</v>
      </c>
      <c r="W31" s="703">
        <f t="shared" si="14"/>
        <v>100</v>
      </c>
      <c r="X31" s="1352"/>
      <c r="Y31" s="3689"/>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59">
        <v>2</v>
      </c>
      <c r="L32" s="2713"/>
      <c r="M32" s="2707"/>
      <c r="N32" s="2707"/>
      <c r="O32" s="2707"/>
      <c r="P32" s="3690" t="s">
        <v>1696</v>
      </c>
      <c r="Q32" s="1349" t="str">
        <f t="shared" si="11"/>
        <v>商业类型</v>
      </c>
      <c r="R32" s="702" t="s">
        <v>14</v>
      </c>
      <c r="S32" s="703">
        <f t="shared" si="12"/>
        <v>100</v>
      </c>
      <c r="T32" s="702" t="s">
        <v>14</v>
      </c>
      <c r="U32" s="703">
        <f t="shared" si="13"/>
        <v>100</v>
      </c>
      <c r="V32" s="702" t="s">
        <v>14</v>
      </c>
      <c r="W32" s="703">
        <f t="shared" si="14"/>
        <v>100</v>
      </c>
      <c r="X32" s="1352"/>
      <c r="Y32" s="3693"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712"/>
      <c r="M33" s="2714"/>
      <c r="N33" s="2714"/>
      <c r="O33" s="2714"/>
      <c r="P33" s="3691"/>
      <c r="Q33" s="704" t="str">
        <f t="shared" si="11"/>
        <v>项目建筑规模</v>
      </c>
      <c r="R33" s="705" t="s">
        <v>14</v>
      </c>
      <c r="S33" s="706">
        <f t="shared" si="12"/>
        <v>100</v>
      </c>
      <c r="T33" s="705" t="s">
        <v>14</v>
      </c>
      <c r="U33" s="706">
        <f t="shared" si="13"/>
        <v>100</v>
      </c>
      <c r="V33" s="705" t="s">
        <v>14</v>
      </c>
      <c r="W33" s="706">
        <f t="shared" si="14"/>
        <v>100</v>
      </c>
      <c r="X33" s="707"/>
      <c r="Y33" s="3693"/>
      <c r="Z33" s="708" t="str">
        <f t="shared" si="15"/>
        <v>项目建筑规模</v>
      </c>
      <c r="AA33" s="1350">
        <f t="shared" si="3"/>
        <v>1</v>
      </c>
      <c r="AB33" s="1350">
        <f t="shared" si="4"/>
        <v>1</v>
      </c>
      <c r="AC33" s="1350">
        <f t="shared" si="5"/>
        <v>1</v>
      </c>
    </row>
    <row r="34" spans="1:29" ht="15">
      <c r="A34" s="423"/>
      <c r="B34" s="375" t="s">
        <v>1698</v>
      </c>
      <c r="C34" s="1909" t="s">
        <v>3410</v>
      </c>
      <c r="D34" s="386">
        <v>100</v>
      </c>
      <c r="E34" s="1909" t="s">
        <v>3410</v>
      </c>
      <c r="F34" s="412">
        <f>SUMIF(105:105,E34,106:106)-SUMIF(105:105,C34,106:106)+100</f>
        <v>100</v>
      </c>
      <c r="G34" s="1909" t="s">
        <v>3410</v>
      </c>
      <c r="H34" s="386">
        <f>SUMIF(105:105,G34,106:106)-SUMIF(105:105,C34,106:106)+100</f>
        <v>100</v>
      </c>
      <c r="I34" s="1909" t="s">
        <v>3410</v>
      </c>
      <c r="J34" s="386">
        <f>SUMIF(105:105,I34,106:106)-SUMIF(105:105,C34,106:106)+100</f>
        <v>100</v>
      </c>
      <c r="K34" s="559">
        <v>2</v>
      </c>
      <c r="L34" s="2713"/>
      <c r="M34" s="2707"/>
      <c r="N34" s="2707"/>
      <c r="O34" s="2707"/>
      <c r="P34" s="3691"/>
      <c r="Q34" s="1349" t="str">
        <f t="shared" si="11"/>
        <v>建筑结构</v>
      </c>
      <c r="R34" s="702" t="s">
        <v>14</v>
      </c>
      <c r="S34" s="703">
        <f t="shared" si="12"/>
        <v>100</v>
      </c>
      <c r="T34" s="702" t="s">
        <v>14</v>
      </c>
      <c r="U34" s="703">
        <f t="shared" si="13"/>
        <v>100</v>
      </c>
      <c r="V34" s="702" t="s">
        <v>14</v>
      </c>
      <c r="W34" s="703">
        <f t="shared" si="14"/>
        <v>100</v>
      </c>
      <c r="X34" s="1352"/>
      <c r="Y34" s="3693"/>
      <c r="Z34" s="1353" t="str">
        <f t="shared" si="15"/>
        <v>建筑结构</v>
      </c>
      <c r="AA34" s="1350">
        <f t="shared" si="3"/>
        <v>1</v>
      </c>
      <c r="AB34" s="1350">
        <f t="shared" si="4"/>
        <v>1</v>
      </c>
      <c r="AC34" s="1350">
        <f t="shared" si="5"/>
        <v>1</v>
      </c>
    </row>
    <row r="35" spans="1:29" ht="15">
      <c r="A35" s="423"/>
      <c r="B35" s="375" t="s">
        <v>1785</v>
      </c>
      <c r="C35" s="1903" t="s">
        <v>3448</v>
      </c>
      <c r="D35" s="386">
        <v>100</v>
      </c>
      <c r="E35" s="1903" t="s">
        <v>3448</v>
      </c>
      <c r="F35" s="412">
        <f>SUMIF(107:107,E35,108:108)-SUMIF(107:107,C35,108:108)+100</f>
        <v>100</v>
      </c>
      <c r="G35" s="1903" t="s">
        <v>3448</v>
      </c>
      <c r="H35" s="386">
        <f>SUMIF(107:107,G35,108:108)-SUMIF(107:107,C35,108:108)+100</f>
        <v>100</v>
      </c>
      <c r="I35" s="1903" t="s">
        <v>3448</v>
      </c>
      <c r="J35" s="386">
        <f>SUMIF(107:107,I35,108:108)-SUMIF(107:107,C35,108:108)+100</f>
        <v>100</v>
      </c>
      <c r="K35" s="559">
        <v>2</v>
      </c>
      <c r="L35" s="2713"/>
      <c r="M35" s="2707"/>
      <c r="N35" s="2707"/>
      <c r="O35" s="2707"/>
      <c r="P35" s="3691"/>
      <c r="Q35" s="1349" t="str">
        <f t="shared" si="11"/>
        <v>公共部分装修</v>
      </c>
      <c r="R35" s="702" t="s">
        <v>14</v>
      </c>
      <c r="S35" s="703">
        <f t="shared" si="12"/>
        <v>100</v>
      </c>
      <c r="T35" s="702" t="s">
        <v>14</v>
      </c>
      <c r="U35" s="703">
        <f t="shared" si="13"/>
        <v>100</v>
      </c>
      <c r="V35" s="702" t="s">
        <v>14</v>
      </c>
      <c r="W35" s="703">
        <f t="shared" si="14"/>
        <v>100</v>
      </c>
      <c r="X35" s="1352"/>
      <c r="Y35" s="3693"/>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713"/>
      <c r="M36" s="2707"/>
      <c r="N36" s="2707"/>
      <c r="O36" s="2707"/>
      <c r="P36" s="3691"/>
      <c r="Q36" s="1349" t="str">
        <f t="shared" si="11"/>
        <v>成新度</v>
      </c>
      <c r="R36" s="702" t="s">
        <v>14</v>
      </c>
      <c r="S36" s="703" t="e">
        <f t="shared" si="12"/>
        <v>#N/A</v>
      </c>
      <c r="T36" s="702" t="s">
        <v>14</v>
      </c>
      <c r="U36" s="703" t="e">
        <f t="shared" si="13"/>
        <v>#N/A</v>
      </c>
      <c r="V36" s="702" t="s">
        <v>14</v>
      </c>
      <c r="W36" s="703" t="e">
        <f t="shared" si="14"/>
        <v>#N/A</v>
      </c>
      <c r="X36" s="1352"/>
      <c r="Y36" s="3693"/>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59">
        <v>1</v>
      </c>
      <c r="L37" s="2708"/>
      <c r="M37" s="2709"/>
      <c r="N37" s="2709"/>
      <c r="O37" s="2709"/>
      <c r="P37" s="3691"/>
      <c r="Q37" s="1340" t="str">
        <f t="shared" si="11"/>
        <v>市政基础设施</v>
      </c>
      <c r="R37" s="698" t="s">
        <v>14</v>
      </c>
      <c r="S37" s="699">
        <f t="shared" si="12"/>
        <v>100</v>
      </c>
      <c r="T37" s="698" t="s">
        <v>14</v>
      </c>
      <c r="U37" s="699">
        <f t="shared" si="13"/>
        <v>100</v>
      </c>
      <c r="V37" s="698" t="s">
        <v>14</v>
      </c>
      <c r="W37" s="699">
        <f t="shared" si="14"/>
        <v>100</v>
      </c>
      <c r="X37" s="700"/>
      <c r="Y37" s="3693"/>
      <c r="Z37" s="52" t="str">
        <f t="shared" si="15"/>
        <v>市政基础设施</v>
      </c>
      <c r="AA37" s="701">
        <f t="shared" si="3"/>
        <v>1</v>
      </c>
      <c r="AB37" s="701">
        <f t="shared" si="4"/>
        <v>1</v>
      </c>
      <c r="AC37" s="701">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59">
        <v>2</v>
      </c>
      <c r="L38" s="2713"/>
      <c r="M38" s="2707"/>
      <c r="N38" s="2707"/>
      <c r="O38" s="2707"/>
      <c r="P38" s="3691" t="s">
        <v>1696</v>
      </c>
      <c r="Q38" s="1349" t="str">
        <f t="shared" si="11"/>
        <v>业态</v>
      </c>
      <c r="R38" s="702" t="s">
        <v>14</v>
      </c>
      <c r="S38" s="703">
        <f t="shared" si="12"/>
        <v>100</v>
      </c>
      <c r="T38" s="702" t="s">
        <v>14</v>
      </c>
      <c r="U38" s="703">
        <f t="shared" si="13"/>
        <v>100</v>
      </c>
      <c r="V38" s="702" t="s">
        <v>14</v>
      </c>
      <c r="W38" s="703">
        <f t="shared" si="14"/>
        <v>100</v>
      </c>
      <c r="X38" s="1352"/>
      <c r="Y38" s="3693"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59">
        <v>2</v>
      </c>
      <c r="L39" s="2713"/>
      <c r="M39" s="2707"/>
      <c r="N39" s="2707"/>
      <c r="O39" s="2707"/>
      <c r="P39" s="3691"/>
      <c r="Q39" s="1349" t="str">
        <f t="shared" si="11"/>
        <v>层高</v>
      </c>
      <c r="R39" s="702" t="s">
        <v>14</v>
      </c>
      <c r="S39" s="703">
        <f t="shared" si="12"/>
        <v>100</v>
      </c>
      <c r="T39" s="702" t="s">
        <v>14</v>
      </c>
      <c r="U39" s="703">
        <f t="shared" si="13"/>
        <v>100</v>
      </c>
      <c r="V39" s="702" t="s">
        <v>14</v>
      </c>
      <c r="W39" s="703">
        <f t="shared" si="14"/>
        <v>100</v>
      </c>
      <c r="X39" s="1352"/>
      <c r="Y39" s="3693"/>
      <c r="Z39" s="1353" t="str">
        <f t="shared" si="15"/>
        <v>层高</v>
      </c>
      <c r="AA39" s="1350">
        <f t="shared" si="3"/>
        <v>1</v>
      </c>
      <c r="AB39" s="1350">
        <f t="shared" si="4"/>
        <v>1</v>
      </c>
      <c r="AC39" s="1350">
        <f t="shared" si="5"/>
        <v>1</v>
      </c>
    </row>
    <row r="40" spans="1:29" ht="15">
      <c r="A40" s="423"/>
      <c r="B40" s="375" t="s">
        <v>1790</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713"/>
      <c r="M40" s="2707"/>
      <c r="N40" s="2707"/>
      <c r="O40" s="2707"/>
      <c r="P40" s="3691"/>
      <c r="Q40" s="1349" t="str">
        <f t="shared" si="11"/>
        <v>单套建筑面积</v>
      </c>
      <c r="R40" s="702" t="s">
        <v>14</v>
      </c>
      <c r="S40" s="703">
        <f t="shared" si="12"/>
        <v>100</v>
      </c>
      <c r="T40" s="702" t="s">
        <v>14</v>
      </c>
      <c r="U40" s="703">
        <f t="shared" si="13"/>
        <v>100</v>
      </c>
      <c r="V40" s="702" t="s">
        <v>14</v>
      </c>
      <c r="W40" s="703">
        <f t="shared" si="14"/>
        <v>100</v>
      </c>
      <c r="X40" s="1352"/>
      <c r="Y40" s="3693"/>
      <c r="Z40" s="1353" t="str">
        <f t="shared" si="15"/>
        <v>单套建筑面积</v>
      </c>
      <c r="AA40" s="1350">
        <f t="shared" si="3"/>
        <v>1</v>
      </c>
      <c r="AB40" s="1350">
        <f t="shared" si="4"/>
        <v>1</v>
      </c>
      <c r="AC40" s="1350">
        <f t="shared" si="5"/>
        <v>1</v>
      </c>
    </row>
    <row r="41" spans="1:29" s="422" customFormat="1" ht="15">
      <c r="A41" s="419"/>
      <c r="B41" s="1351" t="s">
        <v>1791</v>
      </c>
      <c r="C41" s="563" t="s">
        <v>3493</v>
      </c>
      <c r="D41" s="386">
        <v>100</v>
      </c>
      <c r="E41" s="563" t="s">
        <v>3493</v>
      </c>
      <c r="F41" s="412">
        <f>SUMIF(120:120,E41,121:121)-SUMIF(120:120,C41,121:121)+100</f>
        <v>100</v>
      </c>
      <c r="G41" s="563" t="s">
        <v>3493</v>
      </c>
      <c r="H41" s="386">
        <f>SUMIF(120:120,G41,121:121)-SUMIF(120:120,C41,121:121)+100</f>
        <v>100</v>
      </c>
      <c r="I41" s="563" t="s">
        <v>3493</v>
      </c>
      <c r="J41" s="386">
        <f>SUMIF(120:120,I41,121:121)-SUMIF(120:120,C41,121:121)+100</f>
        <v>100</v>
      </c>
      <c r="K41" s="559">
        <v>2</v>
      </c>
      <c r="L41" s="2712"/>
      <c r="M41" s="2714"/>
      <c r="N41" s="2714"/>
      <c r="O41" s="2714"/>
      <c r="P41" s="3691"/>
      <c r="Q41" s="704" t="str">
        <f t="shared" si="11"/>
        <v>进深比</v>
      </c>
      <c r="R41" s="705" t="s">
        <v>14</v>
      </c>
      <c r="S41" s="706">
        <f t="shared" si="12"/>
        <v>100</v>
      </c>
      <c r="T41" s="705" t="s">
        <v>14</v>
      </c>
      <c r="U41" s="706">
        <f t="shared" si="13"/>
        <v>100</v>
      </c>
      <c r="V41" s="705" t="s">
        <v>14</v>
      </c>
      <c r="W41" s="706">
        <f t="shared" si="14"/>
        <v>100</v>
      </c>
      <c r="X41" s="707"/>
      <c r="Y41" s="3693"/>
      <c r="Z41" s="708"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59">
        <v>2</v>
      </c>
      <c r="L42" s="2713"/>
      <c r="M42" s="2707"/>
      <c r="N42" s="2707"/>
      <c r="O42" s="2707"/>
      <c r="P42" s="3691"/>
      <c r="Q42" s="1349" t="str">
        <f t="shared" si="11"/>
        <v>内部装修</v>
      </c>
      <c r="R42" s="702" t="s">
        <v>14</v>
      </c>
      <c r="S42" s="703">
        <f t="shared" si="12"/>
        <v>100</v>
      </c>
      <c r="T42" s="702" t="s">
        <v>14</v>
      </c>
      <c r="U42" s="703">
        <f t="shared" si="13"/>
        <v>100</v>
      </c>
      <c r="V42" s="702" t="s">
        <v>14</v>
      </c>
      <c r="W42" s="703">
        <f t="shared" si="14"/>
        <v>100</v>
      </c>
      <c r="X42" s="1352"/>
      <c r="Y42" s="3693"/>
      <c r="Z42" s="1353" t="str">
        <f t="shared" si="15"/>
        <v>内部装修</v>
      </c>
      <c r="AA42" s="1350">
        <f t="shared" si="3"/>
        <v>1</v>
      </c>
      <c r="AB42" s="1350">
        <f t="shared" si="4"/>
        <v>1</v>
      </c>
      <c r="AC42" s="1350">
        <f t="shared" si="5"/>
        <v>1</v>
      </c>
    </row>
    <row r="43" spans="1:29" ht="15.75" thickBot="1">
      <c r="A43" s="423"/>
      <c r="B43" s="375" t="s">
        <v>1707</v>
      </c>
      <c r="C43" s="1903" t="s">
        <v>3386</v>
      </c>
      <c r="D43" s="386">
        <v>100</v>
      </c>
      <c r="E43" s="1903" t="s">
        <v>3386</v>
      </c>
      <c r="F43" s="412">
        <f>SUMIF(124:124,E43,125:125)-SUMIF(124:124,C43,125:125)+100</f>
        <v>100</v>
      </c>
      <c r="G43" s="1903" t="s">
        <v>3386</v>
      </c>
      <c r="H43" s="386">
        <f>SUMIF(124:124,G43,125:125)-SUMIF(124:124,C43,125:125)+100</f>
        <v>100</v>
      </c>
      <c r="I43" s="1903" t="s">
        <v>3386</v>
      </c>
      <c r="J43" s="386">
        <f>SUMIF(124:124,I43,125:125)-SUMIF(124:124,C43,125:125)+100</f>
        <v>100</v>
      </c>
      <c r="K43" s="559">
        <v>2</v>
      </c>
      <c r="L43" s="2713"/>
      <c r="M43" s="2707"/>
      <c r="N43" s="2707"/>
      <c r="O43" s="2707"/>
      <c r="P43" s="3691"/>
      <c r="Q43" s="1349" t="str">
        <f t="shared" si="11"/>
        <v>内部装修维护情况</v>
      </c>
      <c r="R43" s="702" t="s">
        <v>14</v>
      </c>
      <c r="S43" s="703">
        <f t="shared" si="12"/>
        <v>100</v>
      </c>
      <c r="T43" s="702" t="s">
        <v>14</v>
      </c>
      <c r="U43" s="703">
        <f t="shared" si="13"/>
        <v>100</v>
      </c>
      <c r="V43" s="702" t="s">
        <v>14</v>
      </c>
      <c r="W43" s="703">
        <f t="shared" si="14"/>
        <v>100</v>
      </c>
      <c r="X43" s="1352"/>
      <c r="Y43" s="3693"/>
      <c r="Z43" s="1353" t="str">
        <f t="shared" si="15"/>
        <v>内部装修维护情况</v>
      </c>
      <c r="AA43" s="1350">
        <f t="shared" si="3"/>
        <v>1</v>
      </c>
      <c r="AB43" s="1350">
        <f t="shared" si="4"/>
        <v>1</v>
      </c>
      <c r="AC43" s="1350">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691"/>
      <c r="Q44" s="1340">
        <f t="shared" si="11"/>
        <v>111</v>
      </c>
      <c r="R44" s="698" t="s">
        <v>14</v>
      </c>
      <c r="S44" s="699">
        <f t="shared" si="12"/>
        <v>100</v>
      </c>
      <c r="T44" s="698" t="s">
        <v>14</v>
      </c>
      <c r="U44" s="699">
        <f t="shared" si="13"/>
        <v>100</v>
      </c>
      <c r="V44" s="698" t="s">
        <v>14</v>
      </c>
      <c r="W44" s="699">
        <f t="shared" si="14"/>
        <v>100</v>
      </c>
      <c r="X44" s="700"/>
      <c r="Y44" s="3693"/>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691"/>
      <c r="Q45" s="1349">
        <f t="shared" si="11"/>
        <v>111</v>
      </c>
      <c r="R45" s="702" t="s">
        <v>14</v>
      </c>
      <c r="S45" s="703">
        <f t="shared" si="12"/>
        <v>100</v>
      </c>
      <c r="T45" s="702" t="s">
        <v>14</v>
      </c>
      <c r="U45" s="703">
        <f t="shared" si="13"/>
        <v>100</v>
      </c>
      <c r="V45" s="702" t="s">
        <v>14</v>
      </c>
      <c r="W45" s="703">
        <f t="shared" si="14"/>
        <v>100</v>
      </c>
      <c r="X45" s="1352"/>
      <c r="Y45" s="3693"/>
      <c r="Z45" s="1353">
        <f t="shared" si="15"/>
        <v>111</v>
      </c>
      <c r="AA45" s="1350">
        <f t="shared" si="3"/>
        <v>1</v>
      </c>
      <c r="AB45" s="1350">
        <f t="shared" si="4"/>
        <v>1</v>
      </c>
      <c r="AC45" s="1350">
        <f t="shared" si="5"/>
        <v>1</v>
      </c>
    </row>
    <row r="46" spans="1:29" ht="15.75" hidden="1" thickBot="1">
      <c r="A46" s="427"/>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692"/>
      <c r="Q46" s="1349">
        <f t="shared" si="11"/>
        <v>111</v>
      </c>
      <c r="R46" s="702" t="s">
        <v>14</v>
      </c>
      <c r="S46" s="703">
        <f t="shared" si="12"/>
        <v>100</v>
      </c>
      <c r="T46" s="702" t="s">
        <v>14</v>
      </c>
      <c r="U46" s="703">
        <f t="shared" si="13"/>
        <v>100</v>
      </c>
      <c r="V46" s="702" t="s">
        <v>14</v>
      </c>
      <c r="W46" s="703">
        <f t="shared" si="14"/>
        <v>100</v>
      </c>
      <c r="X46" s="1352"/>
      <c r="Y46" s="3694"/>
      <c r="Z46" s="1353">
        <f t="shared" si="15"/>
        <v>111</v>
      </c>
      <c r="AA46" s="1350">
        <f t="shared" si="3"/>
        <v>1</v>
      </c>
      <c r="AB46" s="1350">
        <f t="shared" si="4"/>
        <v>1</v>
      </c>
      <c r="AC46" s="1350">
        <f t="shared" si="5"/>
        <v>1</v>
      </c>
    </row>
    <row r="47" spans="1:29" ht="15">
      <c r="A47" s="428" t="s">
        <v>1708</v>
      </c>
      <c r="B47" s="429"/>
      <c r="C47" s="1151" t="s">
        <v>0</v>
      </c>
      <c r="D47" s="1152"/>
      <c r="E47" s="1153"/>
      <c r="F47" s="1154"/>
      <c r="G47" s="1155"/>
      <c r="H47" s="1156"/>
      <c r="I47" s="1153"/>
      <c r="J47" s="1156"/>
      <c r="K47" s="711"/>
      <c r="L47" s="2715"/>
      <c r="M47" s="2716"/>
      <c r="N47" s="2707"/>
      <c r="O47" s="2716"/>
      <c r="P47" s="3686" t="str">
        <f>A47</f>
        <v>成交单价（元/平方米）</v>
      </c>
      <c r="Q47" s="3686"/>
      <c r="R47" s="3717">
        <f>E47</f>
        <v>0</v>
      </c>
      <c r="S47" s="3717"/>
      <c r="T47" s="3717">
        <f>G47</f>
        <v>0</v>
      </c>
      <c r="U47" s="3717"/>
      <c r="V47" s="3717">
        <f>I47</f>
        <v>0</v>
      </c>
      <c r="W47" s="3717"/>
      <c r="X47" s="687"/>
      <c r="Y47" s="709"/>
      <c r="Z47" s="687"/>
      <c r="AA47" s="687"/>
      <c r="AB47" s="687"/>
      <c r="AC47" s="687"/>
    </row>
    <row r="48" spans="1:29" ht="15.75" thickBot="1">
      <c r="A48" s="435" t="s">
        <v>1793</v>
      </c>
      <c r="B48" s="436"/>
      <c r="C48" s="1157" t="e">
        <f>R49</f>
        <v>#N/A</v>
      </c>
      <c r="D48" s="2313" t="s">
        <v>2138</v>
      </c>
      <c r="E48" s="1158" t="e">
        <f>R48</f>
        <v>#N/A</v>
      </c>
      <c r="F48" s="2314"/>
      <c r="G48" s="1157" t="e">
        <f>T48</f>
        <v>#N/A</v>
      </c>
      <c r="H48" s="2314"/>
      <c r="I48" s="1158" t="e">
        <f>V48</f>
        <v>#N/A</v>
      </c>
      <c r="J48" s="2314"/>
      <c r="K48" s="2316">
        <f>F48+H48+J48</f>
        <v>0</v>
      </c>
      <c r="L48" s="2715"/>
      <c r="M48" s="2716"/>
      <c r="N48" s="2707"/>
      <c r="O48" s="2716"/>
      <c r="P48" s="3686" t="str">
        <f>A48</f>
        <v>比较价值（元/平方米）</v>
      </c>
      <c r="Q48" s="3686"/>
      <c r="R48" s="3687" t="e">
        <f>IF(F1="售价",ROUND(PRODUCT(R47,AA7:AA46),0),ROUND(PRODUCT(R47,AA7:AA46),1))</f>
        <v>#N/A</v>
      </c>
      <c r="S48" s="3687"/>
      <c r="T48" s="3687" t="e">
        <f>IF(F1="售价",ROUND(PRODUCT(T47,AB7:AB46),0),ROUND(PRODUCT(T47,AB7:AB46),1))</f>
        <v>#N/A</v>
      </c>
      <c r="U48" s="3687"/>
      <c r="V48" s="3687" t="e">
        <f>IF(F1="售价",ROUND(PRODUCT(V47,AC7:AC46),0),ROUND(PRODUCT(V47,AC7:AC46),1))</f>
        <v>#N/A</v>
      </c>
      <c r="W48" s="3687"/>
      <c r="X48" s="687"/>
      <c r="Y48" s="687"/>
      <c r="Z48" s="687"/>
      <c r="AA48" s="687"/>
      <c r="AB48" s="687"/>
      <c r="AC48" s="687"/>
    </row>
    <row r="49" spans="1:29" ht="15.75" thickBot="1">
      <c r="A49" s="439" t="s">
        <v>1794</v>
      </c>
      <c r="B49" s="440"/>
      <c r="C49" s="1160" t="e">
        <f>R49</f>
        <v>#N/A</v>
      </c>
      <c r="D49" s="1160"/>
      <c r="E49" s="1160"/>
      <c r="F49" s="1160"/>
      <c r="G49" s="1160"/>
      <c r="H49" s="1160"/>
      <c r="I49" s="1160"/>
      <c r="J49" s="1160"/>
      <c r="K49" s="712"/>
      <c r="L49" s="2715"/>
      <c r="M49" s="2716"/>
      <c r="N49" s="2707"/>
      <c r="O49" s="2716"/>
      <c r="P49" s="3683" t="str">
        <f>A49</f>
        <v>估价对象XX用房的比较价值（楼面单价，元/平方米）</v>
      </c>
      <c r="Q49" s="3684"/>
      <c r="R49" s="3685" t="e">
        <f>IF(F1="售价",ROUND(IF(D48="简单平均",AVERAGE(R48:V48),R48*F48+T48*H48+V48*J48),0),ROUND(IF(D48="简单平均",AVERAGE(R48:V48),R48*F48+T48*H48+V48*J48),1))</f>
        <v>#N/A</v>
      </c>
      <c r="S49" s="3685"/>
      <c r="T49" s="3685"/>
      <c r="U49" s="3685"/>
      <c r="V49" s="3685"/>
      <c r="W49" s="3685"/>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1795</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1796</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1" t="s">
        <v>1798</v>
      </c>
      <c r="B57" s="687"/>
      <c r="C57" s="692"/>
      <c r="D57" s="692"/>
      <c r="E57" s="692"/>
      <c r="F57" s="693"/>
      <c r="G57" s="693"/>
      <c r="H57" s="692"/>
      <c r="I57" s="692"/>
      <c r="J57" s="692"/>
      <c r="K57" s="694"/>
      <c r="L57" s="939"/>
      <c r="M57" s="937"/>
      <c r="N57" s="937"/>
      <c r="O57" s="937"/>
      <c r="P57" s="2729"/>
      <c r="Q57" s="2730"/>
      <c r="R57" s="2716"/>
      <c r="S57" s="2716"/>
      <c r="T57" s="2716"/>
      <c r="U57" s="2716"/>
      <c r="V57" s="2716"/>
      <c r="W57" s="2716"/>
      <c r="X57" s="2716"/>
      <c r="Y57" s="2716"/>
      <c r="Z57" s="2716"/>
      <c r="AA57" s="2716"/>
      <c r="AB57" s="2716"/>
      <c r="AC57" s="2716"/>
    </row>
    <row r="58" spans="1:29" s="455" customFormat="1" ht="15">
      <c r="A58" s="452" t="s">
        <v>1679</v>
      </c>
      <c r="B58" s="453"/>
      <c r="C58" s="1181" t="str">
        <f>YEAR(C7)&amp;"-"&amp;MONTH(C7)</f>
        <v>2023-5</v>
      </c>
      <c r="D58" s="1182">
        <f>EDATE(C58,-1)</f>
        <v>45017</v>
      </c>
      <c r="E58" s="1182">
        <f t="shared" ref="E58:N58" si="16">EDATE(D58,-1)</f>
        <v>44986</v>
      </c>
      <c r="F58" s="1182">
        <f t="shared" si="16"/>
        <v>44958</v>
      </c>
      <c r="G58" s="1182">
        <f t="shared" si="16"/>
        <v>44927</v>
      </c>
      <c r="H58" s="1182">
        <f t="shared" si="16"/>
        <v>44896</v>
      </c>
      <c r="I58" s="1182">
        <f t="shared" si="16"/>
        <v>44866</v>
      </c>
      <c r="J58" s="1182">
        <f t="shared" si="16"/>
        <v>44835</v>
      </c>
      <c r="K58" s="1182">
        <f t="shared" si="16"/>
        <v>44805</v>
      </c>
      <c r="L58" s="1182">
        <f t="shared" si="16"/>
        <v>44774</v>
      </c>
      <c r="M58" s="1182">
        <f t="shared" si="16"/>
        <v>44743</v>
      </c>
      <c r="N58" s="1182">
        <f t="shared" si="16"/>
        <v>44713</v>
      </c>
      <c r="O58" s="1182">
        <f>EDATE(N58,-1)</f>
        <v>44682</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1716</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1681</v>
      </c>
      <c r="B61" s="457"/>
      <c r="C61" s="469" t="s">
        <v>1776</v>
      </c>
      <c r="D61" s="3449" t="s">
        <v>3463</v>
      </c>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v>102</v>
      </c>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1719</v>
      </c>
      <c r="B63" s="475" t="s">
        <v>1685</v>
      </c>
      <c r="C63" s="476" t="str">
        <f>C9</f>
        <v>商业</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1688</v>
      </c>
      <c r="C65" s="530" t="s">
        <v>3417</v>
      </c>
      <c r="D65" s="530" t="s">
        <v>3418</v>
      </c>
      <c r="E65" s="3450" t="s">
        <v>3420</v>
      </c>
      <c r="F65" s="530" t="s">
        <v>3419</v>
      </c>
      <c r="G65" s="530"/>
      <c r="H65" s="345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1689</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v>0</v>
      </c>
      <c r="D68" s="496">
        <v>0.5</v>
      </c>
      <c r="E68" s="496">
        <v>1</v>
      </c>
      <c r="F68" s="496">
        <v>1.5</v>
      </c>
      <c r="G68" s="496">
        <v>2</v>
      </c>
      <c r="H68" s="496">
        <v>2.5</v>
      </c>
      <c r="I68" s="496">
        <v>3</v>
      </c>
      <c r="J68" s="496">
        <v>3.5</v>
      </c>
      <c r="K68" s="497">
        <v>4</v>
      </c>
      <c r="L68" s="498">
        <v>4.5</v>
      </c>
      <c r="M68" s="499">
        <v>5</v>
      </c>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1690</v>
      </c>
      <c r="B76" s="475" t="s">
        <v>1720</v>
      </c>
      <c r="C76" s="520" t="s">
        <v>1721</v>
      </c>
      <c r="D76" s="520" t="s">
        <v>1722</v>
      </c>
      <c r="E76" s="520" t="s">
        <v>1723</v>
      </c>
      <c r="F76" s="520" t="s">
        <v>1724</v>
      </c>
      <c r="G76" s="520" t="s">
        <v>1725</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98</v>
      </c>
      <c r="E77" s="491">
        <f>D77-$K15</f>
        <v>96</v>
      </c>
      <c r="F77" s="491">
        <f>E77-$K15</f>
        <v>94</v>
      </c>
      <c r="G77" s="491">
        <f>F77-$K15</f>
        <v>92</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1726</v>
      </c>
      <c r="C78" s="525" t="s">
        <v>1721</v>
      </c>
      <c r="D78" s="525" t="s">
        <v>1722</v>
      </c>
      <c r="E78" s="525" t="s">
        <v>1723</v>
      </c>
      <c r="F78" s="525" t="s">
        <v>1724</v>
      </c>
      <c r="G78" s="525" t="s">
        <v>1725</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98</v>
      </c>
      <c r="E79" s="491">
        <f>D79-$K17</f>
        <v>96</v>
      </c>
      <c r="F79" s="491">
        <f>E79-$K17</f>
        <v>94</v>
      </c>
      <c r="G79" s="491">
        <f>F79-$K17</f>
        <v>92</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1727</v>
      </c>
      <c r="C80" s="525" t="s">
        <v>1721</v>
      </c>
      <c r="D80" s="525" t="s">
        <v>1722</v>
      </c>
      <c r="E80" s="525" t="s">
        <v>1723</v>
      </c>
      <c r="F80" s="525" t="s">
        <v>1724</v>
      </c>
      <c r="G80" s="525" t="s">
        <v>1725</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98</v>
      </c>
      <c r="E81" s="491">
        <f>D81-$K19</f>
        <v>96</v>
      </c>
      <c r="F81" s="491">
        <f>E81-$K19</f>
        <v>94</v>
      </c>
      <c r="G81" s="491">
        <f>F81-$K19</f>
        <v>92</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1779</v>
      </c>
      <c r="C82" s="605" t="s">
        <v>1799</v>
      </c>
      <c r="D82" s="605" t="s">
        <v>1800</v>
      </c>
      <c r="E82" s="605" t="s">
        <v>1801</v>
      </c>
      <c r="F82" s="605" t="s">
        <v>1802</v>
      </c>
      <c r="G82" s="605" t="s">
        <v>1803</v>
      </c>
      <c r="H82" s="486"/>
      <c r="I82" s="486"/>
      <c r="J82" s="486"/>
      <c r="K82" s="486"/>
      <c r="L82" s="486"/>
      <c r="M82" s="1126"/>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1733</v>
      </c>
      <c r="C84" s="525" t="s">
        <v>1721</v>
      </c>
      <c r="D84" s="525" t="s">
        <v>1722</v>
      </c>
      <c r="E84" s="525" t="s">
        <v>1723</v>
      </c>
      <c r="F84" s="525" t="s">
        <v>1724</v>
      </c>
      <c r="G84" s="525" t="s">
        <v>1725</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98</v>
      </c>
      <c r="E85" s="491">
        <f>D85-$K23</f>
        <v>96</v>
      </c>
      <c r="F85" s="491">
        <f>E85-$K23</f>
        <v>94</v>
      </c>
      <c r="G85" s="491">
        <f>F85-$K23</f>
        <v>92</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1804</v>
      </c>
      <c r="C86" s="3451" t="s">
        <v>3464</v>
      </c>
      <c r="D86" s="3451" t="s">
        <v>3465</v>
      </c>
      <c r="E86" s="3451" t="s">
        <v>3466</v>
      </c>
      <c r="F86" s="3451" t="s">
        <v>3467</v>
      </c>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3451" t="s">
        <v>3468</v>
      </c>
      <c r="D88" s="3451" t="s">
        <v>3469</v>
      </c>
      <c r="E88" s="3451" t="s">
        <v>3470</v>
      </c>
      <c r="F88" s="3452" t="s">
        <v>3471</v>
      </c>
      <c r="G88" s="3451" t="s">
        <v>3472</v>
      </c>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3451" t="s">
        <v>3473</v>
      </c>
      <c r="D90" s="3451" t="s">
        <v>3474</v>
      </c>
      <c r="E90" s="3451" t="s">
        <v>3475</v>
      </c>
      <c r="F90" s="3451" t="s">
        <v>3476</v>
      </c>
      <c r="G90" s="3451" t="s">
        <v>3477</v>
      </c>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t="s">
        <v>3478</v>
      </c>
      <c r="D92" s="501" t="s">
        <v>3480</v>
      </c>
      <c r="E92" s="501" t="s">
        <v>3479</v>
      </c>
      <c r="F92" s="501" t="s">
        <v>3481</v>
      </c>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v>100</v>
      </c>
      <c r="D93" s="483">
        <v>85</v>
      </c>
      <c r="E93" s="483">
        <v>70</v>
      </c>
      <c r="F93" s="483">
        <v>60</v>
      </c>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4"/>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1694</v>
      </c>
      <c r="B100" s="475" t="s">
        <v>1805</v>
      </c>
      <c r="C100" s="3453" t="s">
        <v>3482</v>
      </c>
      <c r="D100" s="3453" t="s">
        <v>3483</v>
      </c>
      <c r="E100" s="3453" t="s">
        <v>3484</v>
      </c>
      <c r="F100" s="3453" t="s">
        <v>3485</v>
      </c>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1737</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v>0</v>
      </c>
      <c r="D103" s="542">
        <v>20</v>
      </c>
      <c r="E103" s="542">
        <v>50</v>
      </c>
      <c r="F103" s="542">
        <v>100</v>
      </c>
      <c r="G103" s="542">
        <v>500</v>
      </c>
      <c r="H103" s="542">
        <v>10000</v>
      </c>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1738</v>
      </c>
      <c r="C105" s="3451" t="s">
        <v>3486</v>
      </c>
      <c r="D105" s="3451" t="s">
        <v>3487</v>
      </c>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1740</v>
      </c>
      <c r="C107" s="3451" t="s">
        <v>3447</v>
      </c>
      <c r="D107" s="3451" t="s">
        <v>3449</v>
      </c>
      <c r="E107" s="3451" t="s">
        <v>3450</v>
      </c>
      <c r="F107" s="3454" t="s">
        <v>3451</v>
      </c>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8"/>
      <c r="J110" s="568"/>
      <c r="K110" s="569"/>
      <c r="L110" s="570"/>
      <c r="M110" s="571"/>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1742</v>
      </c>
      <c r="C112" s="501" t="str">
        <f>C82</f>
        <v>七通</v>
      </c>
      <c r="D112" s="501" t="str">
        <f>D82</f>
        <v>六通</v>
      </c>
      <c r="E112" s="501" t="str">
        <f>E82</f>
        <v>五通</v>
      </c>
      <c r="F112" s="501" t="str">
        <f>F82</f>
        <v>四通</v>
      </c>
      <c r="G112" s="501" t="str">
        <f>G82</f>
        <v>三通</v>
      </c>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1806</v>
      </c>
      <c r="C114" s="3451" t="s">
        <v>3488</v>
      </c>
      <c r="D114" s="3451" t="s">
        <v>3489</v>
      </c>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1807</v>
      </c>
      <c r="C116" s="3451" t="s">
        <v>3490</v>
      </c>
      <c r="D116" s="3451" t="s">
        <v>3491</v>
      </c>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1808</v>
      </c>
      <c r="C118" s="572"/>
      <c r="D118" s="572"/>
      <c r="E118" s="572"/>
      <c r="F118" s="572"/>
      <c r="G118" s="572"/>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1809</v>
      </c>
      <c r="C120" s="3454" t="s">
        <v>3492</v>
      </c>
      <c r="D120" s="3454" t="s">
        <v>3494</v>
      </c>
      <c r="E120" s="3454" t="s">
        <v>3495</v>
      </c>
      <c r="F120" s="3454" t="s">
        <v>3496</v>
      </c>
      <c r="G120" s="3455" t="s">
        <v>3497</v>
      </c>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1744</v>
      </c>
      <c r="C122" s="3451" t="s">
        <v>3447</v>
      </c>
      <c r="D122" s="3451" t="s">
        <v>3449</v>
      </c>
      <c r="E122" s="3451" t="s">
        <v>3450</v>
      </c>
      <c r="F122" s="3454" t="s">
        <v>3451</v>
      </c>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1" zoomScale="90" zoomScaleNormal="70" zoomScaleSheetLayoutView="90" workbookViewId="0">
      <selection activeCell="C121" sqref="C12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c r="E1" s="3424" t="s">
        <v>3513</v>
      </c>
      <c r="F1" s="1876" t="s">
        <v>3550</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1464</v>
      </c>
      <c r="B3" s="556">
        <f>IF(C2="——",C50,ROUND(B2*10000/D3,0))</f>
        <v>4.3</v>
      </c>
      <c r="C3" s="354" t="s">
        <v>1768</v>
      </c>
      <c r="D3" s="353">
        <f>IF(D1="",'数据-汇总表'!E3,SUMIF('数据-汇总表'!$C19:$C33,D1,'数据-汇总表'!$E19:$E33))</f>
        <v>0</v>
      </c>
      <c r="E3" s="1950"/>
      <c r="F3" s="906"/>
      <c r="G3" s="905"/>
      <c r="H3" s="905"/>
      <c r="I3" s="905"/>
      <c r="J3" s="905"/>
      <c r="K3" s="907"/>
      <c r="L3" s="2725"/>
      <c r="M3" s="2726"/>
      <c r="N3" s="2726"/>
      <c r="O3" s="2726"/>
      <c r="P3" s="696"/>
      <c r="Q3" s="696"/>
      <c r="R3" s="696"/>
      <c r="S3" s="696"/>
      <c r="T3" s="696"/>
      <c r="U3" s="696"/>
      <c r="V3" s="696"/>
      <c r="W3" s="696"/>
      <c r="X3" s="696"/>
      <c r="Y3" s="696"/>
      <c r="Z3" s="696"/>
      <c r="AA3" s="696"/>
      <c r="AB3" s="696"/>
      <c r="AC3" s="697"/>
    </row>
    <row r="4" spans="1:29" ht="15">
      <c r="A4" s="355" t="s">
        <v>1769</v>
      </c>
      <c r="B4" s="356"/>
      <c r="C4" s="3701" t="s">
        <v>1770</v>
      </c>
      <c r="D4" s="3702"/>
      <c r="E4" s="3703" t="s">
        <v>1771</v>
      </c>
      <c r="F4" s="3704"/>
      <c r="G4" s="3701" t="s">
        <v>1772</v>
      </c>
      <c r="H4" s="3702"/>
      <c r="I4" s="3701" t="s">
        <v>1773</v>
      </c>
      <c r="J4" s="3702"/>
      <c r="K4" s="557" t="s">
        <v>1774</v>
      </c>
      <c r="L4" s="2706"/>
      <c r="M4" s="2707"/>
      <c r="N4" s="2707"/>
      <c r="O4" s="2707"/>
      <c r="P4" s="3735" t="s">
        <v>1775</v>
      </c>
      <c r="Q4" s="3736"/>
      <c r="R4" s="3739" t="s">
        <v>1771</v>
      </c>
      <c r="S4" s="3740"/>
      <c r="T4" s="3739" t="s">
        <v>1772</v>
      </c>
      <c r="U4" s="3740"/>
      <c r="V4" s="3741" t="s">
        <v>1773</v>
      </c>
      <c r="W4" s="3741"/>
      <c r="X4" s="1954"/>
      <c r="Y4" s="3739" t="s">
        <v>1775</v>
      </c>
      <c r="Z4" s="3740"/>
      <c r="AA4" s="3744" t="s">
        <v>1771</v>
      </c>
      <c r="AB4" s="3744" t="s">
        <v>1772</v>
      </c>
      <c r="AC4" s="3732" t="s">
        <v>1773</v>
      </c>
    </row>
    <row r="5" spans="1:29" ht="15">
      <c r="A5" s="358"/>
      <c r="B5" s="359"/>
      <c r="C5" s="3743" t="s">
        <v>3577</v>
      </c>
      <c r="D5" s="3721"/>
      <c r="E5" s="3727" t="str">
        <f>案例!A2</f>
        <v>泰禾长安中心</v>
      </c>
      <c r="F5" s="3728"/>
      <c r="G5" s="3720" t="str">
        <f>案例!A3</f>
        <v>泰禾长安中心</v>
      </c>
      <c r="H5" s="3721"/>
      <c r="I5" s="3720" t="str">
        <f>案例!A4</f>
        <v>泰禾长安中心</v>
      </c>
      <c r="J5" s="3721"/>
      <c r="K5" s="557"/>
      <c r="L5" s="2706"/>
      <c r="M5" s="2707"/>
      <c r="N5" s="2707"/>
      <c r="O5" s="2707"/>
      <c r="P5" s="3737"/>
      <c r="Q5" s="3708"/>
      <c r="R5" s="3713"/>
      <c r="S5" s="3714"/>
      <c r="T5" s="3713"/>
      <c r="U5" s="3714"/>
      <c r="V5" s="3717"/>
      <c r="W5" s="3717"/>
      <c r="X5" s="1352"/>
      <c r="Y5" s="3713"/>
      <c r="Z5" s="3714"/>
      <c r="AA5" s="3699"/>
      <c r="AB5" s="3699"/>
      <c r="AC5" s="3733"/>
    </row>
    <row r="6" spans="1:29" ht="15.75" thickBot="1">
      <c r="A6" s="360"/>
      <c r="B6" s="361"/>
      <c r="C6" s="3718" t="s">
        <v>1677</v>
      </c>
      <c r="D6" s="3719"/>
      <c r="E6" s="3725" t="s">
        <v>1677</v>
      </c>
      <c r="F6" s="3726"/>
      <c r="G6" s="3718" t="s">
        <v>1677</v>
      </c>
      <c r="H6" s="3719"/>
      <c r="I6" s="3718" t="s">
        <v>1677</v>
      </c>
      <c r="J6" s="3719"/>
      <c r="K6" s="557" t="s">
        <v>1678</v>
      </c>
      <c r="L6" s="2706"/>
      <c r="M6" s="2707"/>
      <c r="N6" s="2707"/>
      <c r="O6" s="2707"/>
      <c r="P6" s="3738"/>
      <c r="Q6" s="3710"/>
      <c r="R6" s="3713"/>
      <c r="S6" s="3714"/>
      <c r="T6" s="3715"/>
      <c r="U6" s="3716"/>
      <c r="V6" s="3717"/>
      <c r="W6" s="3717"/>
      <c r="X6" s="1352"/>
      <c r="Y6" s="3715"/>
      <c r="Z6" s="3716"/>
      <c r="AA6" s="3700"/>
      <c r="AB6" s="3700"/>
      <c r="AC6" s="3734"/>
    </row>
    <row r="7" spans="1:29" s="108" customFormat="1" ht="15.75" thickBot="1">
      <c r="A7" s="362" t="s">
        <v>1679</v>
      </c>
      <c r="B7" s="363"/>
      <c r="C7" s="364">
        <f>'数据-取费表'!B2</f>
        <v>45076</v>
      </c>
      <c r="D7" s="365">
        <v>100</v>
      </c>
      <c r="E7" s="366">
        <f>C7</f>
        <v>45076</v>
      </c>
      <c r="F7" s="367">
        <f>SUMIF(59:59,YEAR(E7)&amp;"-"&amp;MONTH(E7),60:60)</f>
        <v>100</v>
      </c>
      <c r="G7" s="366">
        <f>C7</f>
        <v>45076</v>
      </c>
      <c r="H7" s="365">
        <f>SUMIF(59:59,YEAR(G7)&amp;"-"&amp;MONTH(G7),60:60)</f>
        <v>100</v>
      </c>
      <c r="I7" s="366">
        <f>C7</f>
        <v>45076</v>
      </c>
      <c r="J7" s="365">
        <f>SUMIF(59:59,YEAR(I7)&amp;"-"&amp;MONTH(I7),60:60)</f>
        <v>100</v>
      </c>
      <c r="K7" s="558"/>
      <c r="L7" s="2708"/>
      <c r="M7" s="2709"/>
      <c r="N7" s="2709"/>
      <c r="O7" s="2709"/>
      <c r="P7" s="3742" t="s">
        <v>1680</v>
      </c>
      <c r="Q7" s="3724"/>
      <c r="R7" s="698" t="s">
        <v>14</v>
      </c>
      <c r="S7" s="699">
        <f t="shared" ref="S7:S15" si="0">F7</f>
        <v>100</v>
      </c>
      <c r="T7" s="698" t="s">
        <v>14</v>
      </c>
      <c r="U7" s="699">
        <f t="shared" ref="U7:U15" si="1">H7</f>
        <v>100</v>
      </c>
      <c r="V7" s="698" t="s">
        <v>14</v>
      </c>
      <c r="W7" s="699">
        <f t="shared" ref="W7:W15" si="2">J7</f>
        <v>100</v>
      </c>
      <c r="X7" s="700"/>
      <c r="Y7" s="3722" t="s">
        <v>1680</v>
      </c>
      <c r="Z7" s="3723"/>
      <c r="AA7" s="701">
        <f>D7/F7</f>
        <v>1</v>
      </c>
      <c r="AB7" s="701">
        <f>D7/H7</f>
        <v>1</v>
      </c>
      <c r="AC7" s="1955">
        <f>D7/J7</f>
        <v>1</v>
      </c>
    </row>
    <row r="8" spans="1:29" s="108" customFormat="1" ht="15.75" thickBot="1">
      <c r="A8" s="362" t="s">
        <v>1681</v>
      </c>
      <c r="B8" s="363"/>
      <c r="C8" s="368" t="s">
        <v>3400</v>
      </c>
      <c r="D8" s="365">
        <v>100</v>
      </c>
      <c r="E8" s="368" t="s">
        <v>3412</v>
      </c>
      <c r="F8" s="367">
        <f>SUMIF(62:62,E8,63:63)-SUMIF(62:62,C8,63:63)+100</f>
        <v>102</v>
      </c>
      <c r="G8" s="368" t="s">
        <v>3412</v>
      </c>
      <c r="H8" s="365">
        <f>SUMIF(62:62,G8,63:63)-SUMIF(62:62,C8,63:63)+100</f>
        <v>102</v>
      </c>
      <c r="I8" s="368" t="s">
        <v>3412</v>
      </c>
      <c r="J8" s="365">
        <f>SUMIF(62:62,I8,63:63)-SUMIF(62:62,C8,63:63)+100</f>
        <v>102</v>
      </c>
      <c r="K8" s="558"/>
      <c r="L8" s="2708"/>
      <c r="M8" s="2709"/>
      <c r="N8" s="2709"/>
      <c r="O8" s="2709"/>
      <c r="P8" s="3742" t="s">
        <v>1683</v>
      </c>
      <c r="Q8" s="3723"/>
      <c r="R8" s="698" t="s">
        <v>14</v>
      </c>
      <c r="S8" s="699">
        <f t="shared" si="0"/>
        <v>102</v>
      </c>
      <c r="T8" s="698" t="s">
        <v>14</v>
      </c>
      <c r="U8" s="699">
        <f t="shared" si="1"/>
        <v>102</v>
      </c>
      <c r="V8" s="698" t="s">
        <v>14</v>
      </c>
      <c r="W8" s="699">
        <f t="shared" si="2"/>
        <v>102</v>
      </c>
      <c r="X8" s="700"/>
      <c r="Y8" s="3722" t="s">
        <v>1683</v>
      </c>
      <c r="Z8" s="3723"/>
      <c r="AA8" s="701">
        <f t="shared" ref="AA8:AA47" si="3">D8/F8</f>
        <v>0.98039215686274506</v>
      </c>
      <c r="AB8" s="701">
        <f t="shared" ref="AB8:AB47" si="4">D8/H8</f>
        <v>0.98039215686274506</v>
      </c>
      <c r="AC8" s="1955">
        <f t="shared" ref="AC8:AC47" si="5">D8/J8</f>
        <v>0.98039215686274506</v>
      </c>
    </row>
    <row r="9" spans="1:29" s="108" customFormat="1">
      <c r="A9" s="369" t="s">
        <v>1684</v>
      </c>
      <c r="B9" s="63" t="s">
        <v>1685</v>
      </c>
      <c r="C9" s="3456" t="s">
        <v>3510</v>
      </c>
      <c r="D9" s="126">
        <v>100</v>
      </c>
      <c r="E9" s="373" t="s">
        <v>21</v>
      </c>
      <c r="F9" s="126">
        <f>SUMIF(64:64,E9,65:65)-SUMIF(64:64,C9,65:65)+100</f>
        <v>100</v>
      </c>
      <c r="G9" s="373" t="s">
        <v>21</v>
      </c>
      <c r="H9" s="126">
        <f>SUMIF(64:64,G9,65:65)-SUMIF(64:64,C9,65:65)+100</f>
        <v>100</v>
      </c>
      <c r="I9" s="373" t="s">
        <v>21</v>
      </c>
      <c r="J9" s="126">
        <f>SUMIF(64:64,I9,65:65)-SUMIF(64:64,C9,65:65)+100</f>
        <v>100</v>
      </c>
      <c r="K9" s="558"/>
      <c r="L9" s="2708"/>
      <c r="M9" s="2709"/>
      <c r="N9" s="2709"/>
      <c r="O9" s="2709"/>
      <c r="P9" s="3697" t="s">
        <v>1686</v>
      </c>
      <c r="Q9" s="1340" t="str">
        <f t="shared" ref="Q9:Q15" si="6">B9</f>
        <v>用途</v>
      </c>
      <c r="R9" s="698" t="s">
        <v>14</v>
      </c>
      <c r="S9" s="699">
        <f t="shared" si="0"/>
        <v>100</v>
      </c>
      <c r="T9" s="698" t="s">
        <v>14</v>
      </c>
      <c r="U9" s="699">
        <f t="shared" si="1"/>
        <v>100</v>
      </c>
      <c r="V9" s="698" t="s">
        <v>14</v>
      </c>
      <c r="W9" s="699">
        <f t="shared" si="2"/>
        <v>100</v>
      </c>
      <c r="X9" s="700"/>
      <c r="Y9" s="3561" t="s">
        <v>1687</v>
      </c>
      <c r="Z9" s="52" t="str">
        <f t="shared" ref="Z9:Z15" si="7">Q9</f>
        <v>用途</v>
      </c>
      <c r="AA9" s="701">
        <f t="shared" si="3"/>
        <v>1</v>
      </c>
      <c r="AB9" s="701">
        <f t="shared" si="4"/>
        <v>1</v>
      </c>
      <c r="AC9" s="1955">
        <f t="shared" si="5"/>
        <v>1</v>
      </c>
    </row>
    <row r="10" spans="1:29" s="378" customFormat="1" ht="27">
      <c r="A10" s="374"/>
      <c r="B10" s="375" t="s">
        <v>1688</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697"/>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1955">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59">
        <v>5</v>
      </c>
      <c r="L11" s="2712"/>
      <c r="M11" s="2707"/>
      <c r="N11" s="2707"/>
      <c r="O11" s="2707"/>
      <c r="P11" s="3697"/>
      <c r="Q11" s="1340" t="str">
        <f t="shared" si="6"/>
        <v>容积率</v>
      </c>
      <c r="R11" s="698" t="s">
        <v>14</v>
      </c>
      <c r="S11" s="699">
        <f t="shared" si="0"/>
        <v>100</v>
      </c>
      <c r="T11" s="698" t="s">
        <v>14</v>
      </c>
      <c r="U11" s="699">
        <f t="shared" si="1"/>
        <v>100</v>
      </c>
      <c r="V11" s="698" t="s">
        <v>14</v>
      </c>
      <c r="W11" s="699">
        <f t="shared" si="2"/>
        <v>100</v>
      </c>
      <c r="X11" s="700"/>
      <c r="Y11" s="3561"/>
      <c r="Z11" s="52" t="str">
        <f t="shared" si="7"/>
        <v>容积率</v>
      </c>
      <c r="AA11" s="701">
        <f t="shared" si="3"/>
        <v>1</v>
      </c>
      <c r="AB11" s="701">
        <f t="shared" si="4"/>
        <v>1</v>
      </c>
      <c r="AC11" s="1955">
        <f t="shared" si="5"/>
        <v>1</v>
      </c>
    </row>
    <row r="12" spans="1:29" s="108" customFormat="1" ht="15" hidden="1" customHeight="1">
      <c r="A12" s="382"/>
      <c r="B12" s="1890">
        <v>111</v>
      </c>
      <c r="C12" s="383"/>
      <c r="D12" s="384">
        <v>100</v>
      </c>
      <c r="E12" s="383"/>
      <c r="F12" s="127">
        <f>SUMIF(71:71,E12,72:72)-SUMIF(71:71,C12,72:72)+100</f>
        <v>100</v>
      </c>
      <c r="G12" s="1956"/>
      <c r="H12" s="127">
        <f>SUMIF(71:71,G12,72:72)-SUMIF(71:71,C12,72:72)+100</f>
        <v>100</v>
      </c>
      <c r="I12" s="383"/>
      <c r="J12" s="127">
        <f>SUMIF(71:71,I12,72:72)-SUMIF(71:71,C12,72:72)+100</f>
        <v>100</v>
      </c>
      <c r="K12" s="560"/>
      <c r="L12" s="2708"/>
      <c r="M12" s="2709"/>
      <c r="N12" s="2709"/>
      <c r="O12" s="2709"/>
      <c r="P12" s="3697"/>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1955">
        <f>D12/J12</f>
        <v>1</v>
      </c>
    </row>
    <row r="13" spans="1:29" ht="15" hidden="1" customHeight="1">
      <c r="A13" s="379"/>
      <c r="B13" s="1890">
        <v>111</v>
      </c>
      <c r="C13" s="385"/>
      <c r="D13" s="386">
        <v>100</v>
      </c>
      <c r="E13" s="383"/>
      <c r="F13" s="127">
        <f>SUMIF(73:73,E13,74:74)-SUMIF(73:73,C13,74:74)+100</f>
        <v>100</v>
      </c>
      <c r="G13" s="1956"/>
      <c r="H13" s="386">
        <f>SUMIF(73:73,G13,74:74)-SUMIF(73:73,C13,74:74)+100</f>
        <v>100</v>
      </c>
      <c r="I13" s="383"/>
      <c r="J13" s="386">
        <f>SUMIF(73:73,I13,74:74)-SUMIF(73:73,C13,74:74)+100</f>
        <v>100</v>
      </c>
      <c r="K13" s="560"/>
      <c r="L13" s="2713"/>
      <c r="M13" s="2707"/>
      <c r="N13" s="2707"/>
      <c r="O13" s="2707"/>
      <c r="P13" s="3697"/>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1955">
        <f t="shared" si="5"/>
        <v>1</v>
      </c>
    </row>
    <row r="14" spans="1:29" ht="15.75" hidden="1" customHeight="1" thickBot="1">
      <c r="A14" s="387"/>
      <c r="B14" s="1892">
        <v>111</v>
      </c>
      <c r="C14" s="388"/>
      <c r="D14" s="389">
        <v>100</v>
      </c>
      <c r="E14" s="573"/>
      <c r="F14" s="389">
        <f>SUMIF(75:75,E14,76:76)-SUMIF(75:75,C14,76:76)+100</f>
        <v>100</v>
      </c>
      <c r="G14" s="1956"/>
      <c r="H14" s="389">
        <f>SUMIF(75:75,G14,76:76)-SUMIF(75:75,C14,76:76)+100</f>
        <v>100</v>
      </c>
      <c r="I14" s="383"/>
      <c r="J14" s="389">
        <f>SUMIF(75:75,I14,76:76)-SUMIF(75:75,C14,76:76)+100</f>
        <v>100</v>
      </c>
      <c r="K14" s="560"/>
      <c r="L14" s="2713"/>
      <c r="M14" s="2707"/>
      <c r="N14" s="2707"/>
      <c r="O14" s="2707"/>
      <c r="P14" s="3697"/>
      <c r="Q14" s="1340">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1955">
        <f t="shared" si="5"/>
        <v>1</v>
      </c>
    </row>
    <row r="15" spans="1:29" ht="15">
      <c r="A15" s="391" t="s">
        <v>1690</v>
      </c>
      <c r="B15" s="574" t="s">
        <v>1811</v>
      </c>
      <c r="C15" s="1957" t="str">
        <f>估价对象房地状况!C5</f>
        <v>好</v>
      </c>
      <c r="D15" s="392">
        <v>100</v>
      </c>
      <c r="E15" s="395" t="s">
        <v>3386</v>
      </c>
      <c r="F15" s="392">
        <f>SUMIF(77:77,E16,78:78)-SUMIF(77:77,C16,78:78)+100</f>
        <v>100</v>
      </c>
      <c r="G15" s="395" t="s">
        <v>3386</v>
      </c>
      <c r="H15" s="392">
        <f>SUMIF(77:77,G16,78:78)-SUMIF(77:77,C16,78:78)+100</f>
        <v>100</v>
      </c>
      <c r="I15" s="395" t="s">
        <v>3386</v>
      </c>
      <c r="J15" s="392">
        <f>SUMIF(77:77,I16,78:78)-SUMIF(77:77,C16,78:78)+100</f>
        <v>100</v>
      </c>
      <c r="K15" s="561">
        <v>2</v>
      </c>
      <c r="L15" s="2713"/>
      <c r="M15" s="2707"/>
      <c r="N15" s="2707"/>
      <c r="O15" s="2707"/>
      <c r="P15" s="3695" t="s">
        <v>1691</v>
      </c>
      <c r="Q15" s="1349" t="str">
        <f t="shared" si="6"/>
        <v>办公集聚程度</v>
      </c>
      <c r="R15" s="702" t="s">
        <v>14</v>
      </c>
      <c r="S15" s="703">
        <f t="shared" si="0"/>
        <v>100</v>
      </c>
      <c r="T15" s="702" t="s">
        <v>14</v>
      </c>
      <c r="U15" s="703">
        <f t="shared" si="1"/>
        <v>100</v>
      </c>
      <c r="V15" s="702" t="s">
        <v>14</v>
      </c>
      <c r="W15" s="703">
        <f t="shared" si="2"/>
        <v>100</v>
      </c>
      <c r="X15" s="1352"/>
      <c r="Y15" s="3688" t="s">
        <v>1691</v>
      </c>
      <c r="Z15" s="1353" t="str">
        <f t="shared" si="7"/>
        <v>办公集聚程度</v>
      </c>
      <c r="AA15" s="1350">
        <f t="shared" si="3"/>
        <v>1</v>
      </c>
      <c r="AB15" s="1350">
        <f t="shared" si="4"/>
        <v>1</v>
      </c>
      <c r="AC15" s="1958">
        <f t="shared" si="5"/>
        <v>1</v>
      </c>
    </row>
    <row r="16" spans="1:29" ht="15">
      <c r="A16" s="379"/>
      <c r="B16" s="575"/>
      <c r="C16" s="1901" t="s">
        <v>3386</v>
      </c>
      <c r="D16" s="399"/>
      <c r="E16" s="398" t="s">
        <v>3386</v>
      </c>
      <c r="F16" s="399"/>
      <c r="G16" s="398" t="s">
        <v>3386</v>
      </c>
      <c r="H16" s="401"/>
      <c r="I16" s="398" t="s">
        <v>3386</v>
      </c>
      <c r="J16" s="399"/>
      <c r="K16" s="562"/>
      <c r="L16" s="2713"/>
      <c r="M16" s="2707"/>
      <c r="N16" s="2707"/>
      <c r="O16" s="2707"/>
      <c r="P16" s="3696"/>
      <c r="Q16" s="1349"/>
      <c r="R16" s="702"/>
      <c r="S16" s="703"/>
      <c r="T16" s="702"/>
      <c r="U16" s="703"/>
      <c r="V16" s="702"/>
      <c r="W16" s="703"/>
      <c r="X16" s="1352"/>
      <c r="Y16" s="3689"/>
      <c r="Z16" s="1353"/>
      <c r="AA16" s="1350">
        <v>1</v>
      </c>
      <c r="AB16" s="1350">
        <v>1</v>
      </c>
      <c r="AC16" s="1958">
        <v>1</v>
      </c>
    </row>
    <row r="17" spans="1:29" ht="15">
      <c r="A17" s="379"/>
      <c r="B17" s="576" t="s">
        <v>1259</v>
      </c>
      <c r="C17" s="1959" t="str">
        <f>估价对象房地状况!C6</f>
        <v>较好</v>
      </c>
      <c r="D17" s="401">
        <v>100</v>
      </c>
      <c r="E17" s="405" t="s">
        <v>3386</v>
      </c>
      <c r="F17" s="401">
        <f>SUMIF(79:79,E18,80:80)-SUMIF(79:79,C18,80:80)+100</f>
        <v>100</v>
      </c>
      <c r="G17" s="405" t="s">
        <v>3386</v>
      </c>
      <c r="H17" s="406">
        <f>SUMIF(79:79,G18,80:80)-SUMIF(79:79,C18,80:80)+100</f>
        <v>100</v>
      </c>
      <c r="I17" s="405" t="s">
        <v>3386</v>
      </c>
      <c r="J17" s="406">
        <f>SUMIF(79:79,I18,80:80)-SUMIF(79:79,C18,80:80)+100</f>
        <v>100</v>
      </c>
      <c r="K17" s="561">
        <v>2</v>
      </c>
      <c r="L17" s="2713"/>
      <c r="M17" s="2707"/>
      <c r="N17" s="2707"/>
      <c r="O17" s="2707"/>
      <c r="P17" s="3696"/>
      <c r="Q17" s="1349" t="str">
        <f>B17</f>
        <v>交通便捷度</v>
      </c>
      <c r="R17" s="702" t="s">
        <v>14</v>
      </c>
      <c r="S17" s="703">
        <f>F17</f>
        <v>100</v>
      </c>
      <c r="T17" s="702" t="s">
        <v>14</v>
      </c>
      <c r="U17" s="703">
        <f>H17</f>
        <v>100</v>
      </c>
      <c r="V17" s="702" t="s">
        <v>14</v>
      </c>
      <c r="W17" s="703">
        <f>J17</f>
        <v>100</v>
      </c>
      <c r="X17" s="1352"/>
      <c r="Y17" s="3689"/>
      <c r="Z17" s="1353" t="str">
        <f>Q17</f>
        <v>交通便捷度</v>
      </c>
      <c r="AA17" s="1350">
        <f t="shared" si="3"/>
        <v>1</v>
      </c>
      <c r="AB17" s="1350">
        <f t="shared" si="4"/>
        <v>1</v>
      </c>
      <c r="AC17" s="1958">
        <f t="shared" si="5"/>
        <v>1</v>
      </c>
    </row>
    <row r="18" spans="1:29" ht="15">
      <c r="A18" s="379"/>
      <c r="B18" s="577"/>
      <c r="C18" s="1960" t="s">
        <v>3386</v>
      </c>
      <c r="D18" s="401"/>
      <c r="E18" s="1899" t="s">
        <v>3386</v>
      </c>
      <c r="F18" s="401"/>
      <c r="G18" s="1899" t="s">
        <v>3386</v>
      </c>
      <c r="H18" s="399"/>
      <c r="I18" s="1899" t="s">
        <v>3386</v>
      </c>
      <c r="J18" s="399"/>
      <c r="K18" s="562"/>
      <c r="L18" s="2713"/>
      <c r="M18" s="2707"/>
      <c r="N18" s="2707"/>
      <c r="O18" s="2707"/>
      <c r="P18" s="3696"/>
      <c r="Q18" s="1349"/>
      <c r="R18" s="702"/>
      <c r="S18" s="703"/>
      <c r="T18" s="702"/>
      <c r="U18" s="703"/>
      <c r="V18" s="702"/>
      <c r="W18" s="703"/>
      <c r="X18" s="1352"/>
      <c r="Y18" s="3689"/>
      <c r="Z18" s="1353"/>
      <c r="AA18" s="1350">
        <v>1</v>
      </c>
      <c r="AB18" s="1350">
        <v>1</v>
      </c>
      <c r="AC18" s="1958">
        <v>1</v>
      </c>
    </row>
    <row r="19" spans="1:29" ht="15">
      <c r="A19" s="379"/>
      <c r="B19" s="576" t="s">
        <v>1812</v>
      </c>
      <c r="C19" s="1959" t="str">
        <f>估价对象房地状况!C7</f>
        <v>较好</v>
      </c>
      <c r="D19" s="406">
        <v>100</v>
      </c>
      <c r="E19" s="410" t="s">
        <v>3386</v>
      </c>
      <c r="F19" s="406">
        <f>SUMIF(81:81,E20,82:82)-SUMIF(81:81,C20,82:82)+100</f>
        <v>100</v>
      </c>
      <c r="G19" s="410" t="s">
        <v>3386</v>
      </c>
      <c r="H19" s="401">
        <f>SUMIF(81:81,G20,82:82)-SUMIF(81:81,C20,82:82)+100</f>
        <v>100</v>
      </c>
      <c r="I19" s="410" t="s">
        <v>3386</v>
      </c>
      <c r="J19" s="401">
        <f>SUMIF(81:81,I20,82:82)-SUMIF(81:81,C20,82:82)+100</f>
        <v>100</v>
      </c>
      <c r="K19" s="561">
        <v>2</v>
      </c>
      <c r="L19" s="2713"/>
      <c r="M19" s="2707"/>
      <c r="N19" s="2707"/>
      <c r="O19" s="2707"/>
      <c r="P19" s="3696"/>
      <c r="Q19" s="1349" t="str">
        <f>B19</f>
        <v>公共配套设施</v>
      </c>
      <c r="R19" s="702" t="s">
        <v>14</v>
      </c>
      <c r="S19" s="703">
        <f>F19</f>
        <v>100</v>
      </c>
      <c r="T19" s="702" t="s">
        <v>14</v>
      </c>
      <c r="U19" s="703">
        <f>H19</f>
        <v>100</v>
      </c>
      <c r="V19" s="702" t="s">
        <v>14</v>
      </c>
      <c r="W19" s="703">
        <f>J19</f>
        <v>100</v>
      </c>
      <c r="X19" s="1352"/>
      <c r="Y19" s="3689"/>
      <c r="Z19" s="1353" t="str">
        <f>Q19</f>
        <v>公共配套设施</v>
      </c>
      <c r="AA19" s="1350">
        <f t="shared" si="3"/>
        <v>1</v>
      </c>
      <c r="AB19" s="1350">
        <f t="shared" si="4"/>
        <v>1</v>
      </c>
      <c r="AC19" s="1958">
        <f t="shared" si="5"/>
        <v>1</v>
      </c>
    </row>
    <row r="20" spans="1:29" ht="15">
      <c r="A20" s="379"/>
      <c r="B20" s="577"/>
      <c r="C20" s="1901" t="s">
        <v>3386</v>
      </c>
      <c r="D20" s="399"/>
      <c r="E20" s="1894" t="s">
        <v>3386</v>
      </c>
      <c r="F20" s="399"/>
      <c r="G20" s="1894" t="s">
        <v>3386</v>
      </c>
      <c r="H20" s="399"/>
      <c r="I20" s="1894" t="s">
        <v>3386</v>
      </c>
      <c r="J20" s="399"/>
      <c r="K20" s="562"/>
      <c r="L20" s="2713"/>
      <c r="M20" s="2707"/>
      <c r="N20" s="2707"/>
      <c r="O20" s="2707"/>
      <c r="P20" s="3696"/>
      <c r="Q20" s="1349"/>
      <c r="R20" s="702"/>
      <c r="S20" s="703"/>
      <c r="T20" s="702"/>
      <c r="U20" s="703"/>
      <c r="V20" s="702"/>
      <c r="W20" s="703"/>
      <c r="X20" s="1352"/>
      <c r="Y20" s="3689"/>
      <c r="Z20" s="1353"/>
      <c r="AA20" s="1350">
        <v>1</v>
      </c>
      <c r="AB20" s="1350">
        <v>1</v>
      </c>
      <c r="AC20" s="1958">
        <v>1</v>
      </c>
    </row>
    <row r="21" spans="1:29" ht="15">
      <c r="A21" s="379"/>
      <c r="B21" s="578" t="s">
        <v>1813</v>
      </c>
      <c r="C21" s="1959" t="str">
        <f>估价对象房地状况!C8</f>
        <v>七通</v>
      </c>
      <c r="D21" s="401">
        <v>100</v>
      </c>
      <c r="E21" s="410" t="s">
        <v>3390</v>
      </c>
      <c r="F21" s="406">
        <f>SUMIF(83:83,E22,84:84)-SUMIF(83:83,C22,84:84)+100</f>
        <v>100</v>
      </c>
      <c r="G21" s="410" t="s">
        <v>3390</v>
      </c>
      <c r="H21" s="401">
        <f>SUMIF(83:83,G22,84:84)-SUMIF(83:83,C22,84:84)+100</f>
        <v>100</v>
      </c>
      <c r="I21" s="410" t="s">
        <v>3390</v>
      </c>
      <c r="J21" s="401">
        <f>SUMIF(83:83,I22,84:84)-SUMIF(83:83,C22,84:84)+100</f>
        <v>100</v>
      </c>
      <c r="K21" s="561">
        <v>1</v>
      </c>
      <c r="L21" s="2713"/>
      <c r="M21" s="2707"/>
      <c r="N21" s="2707"/>
      <c r="O21" s="2707"/>
      <c r="P21" s="3696"/>
      <c r="Q21" s="1349" t="str">
        <f>B21</f>
        <v>基础设施水平</v>
      </c>
      <c r="R21" s="702" t="s">
        <v>14</v>
      </c>
      <c r="S21" s="703">
        <f>F21</f>
        <v>100</v>
      </c>
      <c r="T21" s="702" t="s">
        <v>14</v>
      </c>
      <c r="U21" s="703">
        <f>H21</f>
        <v>100</v>
      </c>
      <c r="V21" s="702" t="s">
        <v>14</v>
      </c>
      <c r="W21" s="703">
        <f>J21</f>
        <v>100</v>
      </c>
      <c r="X21" s="1352"/>
      <c r="Y21" s="3689"/>
      <c r="Z21" s="1353" t="str">
        <f>Q21</f>
        <v>基础设施水平</v>
      </c>
      <c r="AA21" s="1350">
        <f t="shared" ref="AA21" si="8">D21/F21</f>
        <v>1</v>
      </c>
      <c r="AB21" s="1350">
        <f t="shared" ref="AB21" si="9">D21/H21</f>
        <v>1</v>
      </c>
      <c r="AC21" s="1958">
        <f t="shared" ref="AC21" si="10">D21/J21</f>
        <v>1</v>
      </c>
    </row>
    <row r="22" spans="1:29" ht="15">
      <c r="A22" s="379"/>
      <c r="B22" s="578"/>
      <c r="C22" s="1960" t="s">
        <v>3390</v>
      </c>
      <c r="D22" s="399"/>
      <c r="E22" s="398" t="s">
        <v>3390</v>
      </c>
      <c r="F22" s="399"/>
      <c r="G22" s="398" t="s">
        <v>3390</v>
      </c>
      <c r="H22" s="399"/>
      <c r="I22" s="398" t="s">
        <v>3390</v>
      </c>
      <c r="J22" s="399"/>
      <c r="K22" s="1127"/>
      <c r="L22" s="2713"/>
      <c r="M22" s="2707"/>
      <c r="N22" s="2707"/>
      <c r="O22" s="2707"/>
      <c r="P22" s="3696"/>
      <c r="Q22" s="1349"/>
      <c r="R22" s="702"/>
      <c r="S22" s="703"/>
      <c r="T22" s="702"/>
      <c r="U22" s="703"/>
      <c r="V22" s="702"/>
      <c r="W22" s="703"/>
      <c r="X22" s="1352"/>
      <c r="Y22" s="3689"/>
      <c r="Z22" s="1353"/>
      <c r="AA22" s="1350">
        <v>1</v>
      </c>
      <c r="AB22" s="1350">
        <v>1</v>
      </c>
      <c r="AC22" s="1958">
        <v>1</v>
      </c>
    </row>
    <row r="23" spans="1:29" ht="15">
      <c r="A23" s="379"/>
      <c r="B23" s="576" t="s">
        <v>1814</v>
      </c>
      <c r="C23" s="1959" t="str">
        <f>估价对象房地状况!C9</f>
        <v>较好</v>
      </c>
      <c r="D23" s="401">
        <v>100</v>
      </c>
      <c r="E23" s="405" t="s">
        <v>3386</v>
      </c>
      <c r="F23" s="401">
        <f>SUMIF(85:85,E24,86:86)-SUMIF(85:85,C24,86:86)+100</f>
        <v>100</v>
      </c>
      <c r="G23" s="405" t="s">
        <v>3386</v>
      </c>
      <c r="H23" s="401">
        <f>SUMIF(85:85,G24,86:86)-SUMIF(85:85,C24,86:86)+100</f>
        <v>100</v>
      </c>
      <c r="I23" s="405" t="s">
        <v>3386</v>
      </c>
      <c r="J23" s="401">
        <f>SUMIF(85:85,I24,86:86)-SUMIF(85:85,C24,86:86)+100</f>
        <v>100</v>
      </c>
      <c r="K23" s="561">
        <v>2</v>
      </c>
      <c r="L23" s="2713"/>
      <c r="M23" s="2707"/>
      <c r="N23" s="2707"/>
      <c r="O23" s="2707"/>
      <c r="P23" s="3696"/>
      <c r="Q23" s="1349" t="str">
        <f>B23</f>
        <v>环境质量</v>
      </c>
      <c r="R23" s="702" t="s">
        <v>14</v>
      </c>
      <c r="S23" s="703">
        <f>F23</f>
        <v>100</v>
      </c>
      <c r="T23" s="702" t="s">
        <v>14</v>
      </c>
      <c r="U23" s="703">
        <f>H23</f>
        <v>100</v>
      </c>
      <c r="V23" s="702" t="s">
        <v>14</v>
      </c>
      <c r="W23" s="703">
        <f>J23</f>
        <v>100</v>
      </c>
      <c r="X23" s="1352"/>
      <c r="Y23" s="3689"/>
      <c r="Z23" s="1353" t="str">
        <f>Q23</f>
        <v>环境质量</v>
      </c>
      <c r="AA23" s="1350">
        <f t="shared" si="3"/>
        <v>1</v>
      </c>
      <c r="AB23" s="1350">
        <f t="shared" si="4"/>
        <v>1</v>
      </c>
      <c r="AC23" s="1958">
        <f t="shared" si="5"/>
        <v>1</v>
      </c>
    </row>
    <row r="24" spans="1:29" ht="15">
      <c r="A24" s="379"/>
      <c r="B24" s="578"/>
      <c r="C24" s="1901" t="s">
        <v>3386</v>
      </c>
      <c r="D24" s="399"/>
      <c r="E24" s="1894" t="s">
        <v>3386</v>
      </c>
      <c r="F24" s="399"/>
      <c r="G24" s="1894" t="s">
        <v>3386</v>
      </c>
      <c r="H24" s="399"/>
      <c r="I24" s="1894" t="s">
        <v>3386</v>
      </c>
      <c r="J24" s="399"/>
      <c r="K24" s="562"/>
      <c r="L24" s="2713"/>
      <c r="M24" s="2707"/>
      <c r="N24" s="2707"/>
      <c r="O24" s="2707"/>
      <c r="P24" s="3696"/>
      <c r="Q24" s="1349"/>
      <c r="R24" s="702"/>
      <c r="S24" s="703"/>
      <c r="T24" s="702"/>
      <c r="U24" s="703"/>
      <c r="V24" s="702"/>
      <c r="W24" s="703"/>
      <c r="X24" s="1352"/>
      <c r="Y24" s="3689"/>
      <c r="Z24" s="1353"/>
      <c r="AA24" s="1350">
        <v>1</v>
      </c>
      <c r="AB24" s="1350">
        <v>1</v>
      </c>
      <c r="AC24" s="1958">
        <v>1</v>
      </c>
    </row>
    <row r="25" spans="1:29" ht="27">
      <c r="A25" s="358"/>
      <c r="B25" s="576" t="s">
        <v>1815</v>
      </c>
      <c r="C25" s="3458" t="s">
        <v>3581</v>
      </c>
      <c r="D25" s="386">
        <v>100</v>
      </c>
      <c r="E25" s="3458" t="s">
        <v>3582</v>
      </c>
      <c r="F25" s="386">
        <f>SUMIF(87:87,E26,88:88)-SUMIF(87:87,C26,88:88)+100</f>
        <v>98</v>
      </c>
      <c r="G25" s="3458" t="str">
        <f>E25</f>
        <v>鲁谷路</v>
      </c>
      <c r="H25" s="386">
        <f>SUMIF(87:87,G26,88:88)-SUMIF(87:87,C26,88:88)+100</f>
        <v>98</v>
      </c>
      <c r="I25" s="3458" t="str">
        <f>G25</f>
        <v>鲁谷路</v>
      </c>
      <c r="J25" s="386">
        <f>SUMIF(87:87,I26,88:88)-SUMIF(87:87,C26,88:88)+100</f>
        <v>98</v>
      </c>
      <c r="K25" s="3468">
        <v>2</v>
      </c>
      <c r="L25" s="2713"/>
      <c r="M25" s="2707"/>
      <c r="N25" s="2707"/>
      <c r="O25" s="2707"/>
      <c r="P25" s="3696"/>
      <c r="Q25" s="1349" t="str">
        <f>B25</f>
        <v>毗邻道路的类型与等级</v>
      </c>
      <c r="R25" s="702" t="s">
        <v>14</v>
      </c>
      <c r="S25" s="703">
        <f>F25</f>
        <v>98</v>
      </c>
      <c r="T25" s="702" t="s">
        <v>14</v>
      </c>
      <c r="U25" s="703">
        <f>H25</f>
        <v>98</v>
      </c>
      <c r="V25" s="702" t="s">
        <v>14</v>
      </c>
      <c r="W25" s="703">
        <f>J25</f>
        <v>98</v>
      </c>
      <c r="X25" s="1352"/>
      <c r="Y25" s="3689"/>
      <c r="Z25" s="1353" t="str">
        <f>Q25</f>
        <v>毗邻道路的类型与等级</v>
      </c>
      <c r="AA25" s="1350">
        <f t="shared" si="3"/>
        <v>1.0204081632653061</v>
      </c>
      <c r="AB25" s="1350">
        <f t="shared" si="4"/>
        <v>1.0204081632653061</v>
      </c>
      <c r="AC25" s="1958">
        <f t="shared" si="5"/>
        <v>1.0204081632653061</v>
      </c>
    </row>
    <row r="26" spans="1:29" ht="15">
      <c r="A26" s="358"/>
      <c r="B26" s="577"/>
      <c r="C26" s="579" t="s">
        <v>3583</v>
      </c>
      <c r="D26" s="386"/>
      <c r="E26" s="579" t="s">
        <v>3554</v>
      </c>
      <c r="F26" s="386"/>
      <c r="G26" s="579" t="s">
        <v>3554</v>
      </c>
      <c r="H26" s="386"/>
      <c r="I26" s="579" t="s">
        <v>3554</v>
      </c>
      <c r="J26" s="386"/>
      <c r="K26" s="562"/>
      <c r="L26" s="2713"/>
      <c r="M26" s="2707"/>
      <c r="N26" s="2707"/>
      <c r="O26" s="2707"/>
      <c r="P26" s="3696"/>
      <c r="Q26" s="1349"/>
      <c r="R26" s="702"/>
      <c r="S26" s="703"/>
      <c r="T26" s="702"/>
      <c r="U26" s="703"/>
      <c r="V26" s="702"/>
      <c r="W26" s="703"/>
      <c r="X26" s="1352"/>
      <c r="Y26" s="3689"/>
      <c r="Z26" s="1353"/>
      <c r="AA26" s="1350">
        <v>1</v>
      </c>
      <c r="AB26" s="1350">
        <v>1</v>
      </c>
      <c r="AC26" s="1958">
        <v>1</v>
      </c>
    </row>
    <row r="27" spans="1:29" ht="15">
      <c r="A27" s="379"/>
      <c r="B27" s="577" t="s">
        <v>1783</v>
      </c>
      <c r="C27" s="579" t="s">
        <v>3585</v>
      </c>
      <c r="D27" s="386">
        <v>100</v>
      </c>
      <c r="E27" s="579" t="s">
        <v>3584</v>
      </c>
      <c r="F27" s="386">
        <f>SUMIF(89:89,E27,90:90)-SUMIF(89:89,C27,90:90)+100</f>
        <v>95</v>
      </c>
      <c r="G27" s="579" t="s">
        <v>3584</v>
      </c>
      <c r="H27" s="386">
        <f>SUMIF(89:89,G27,90:90)-SUMIF(89:89,C27,90:90)+100</f>
        <v>95</v>
      </c>
      <c r="I27" s="579" t="s">
        <v>3584</v>
      </c>
      <c r="J27" s="386">
        <f>SUMIF(89:89,I27,90:90)-SUMIF(89:89,C27,90:90)+100</f>
        <v>95</v>
      </c>
      <c r="K27" s="3469">
        <v>5</v>
      </c>
      <c r="L27" s="2713"/>
      <c r="M27" s="2707"/>
      <c r="N27" s="2707"/>
      <c r="O27" s="2707"/>
      <c r="P27" s="3696"/>
      <c r="Q27" s="1349" t="str">
        <f t="shared" ref="Q27:Q47" si="11">B27</f>
        <v>楼层</v>
      </c>
      <c r="R27" s="702" t="s">
        <v>14</v>
      </c>
      <c r="S27" s="703">
        <f>F27</f>
        <v>95</v>
      </c>
      <c r="T27" s="702" t="s">
        <v>14</v>
      </c>
      <c r="U27" s="703">
        <f>H27</f>
        <v>95</v>
      </c>
      <c r="V27" s="702" t="s">
        <v>14</v>
      </c>
      <c r="W27" s="703">
        <f>J27</f>
        <v>95</v>
      </c>
      <c r="X27" s="1352"/>
      <c r="Y27" s="3689"/>
      <c r="Z27" s="1353" t="str">
        <f>Q27</f>
        <v>楼层</v>
      </c>
      <c r="AA27" s="1350">
        <f t="shared" si="3"/>
        <v>1.0526315789473684</v>
      </c>
      <c r="AB27" s="1350">
        <f t="shared" si="4"/>
        <v>1.0526315789473684</v>
      </c>
      <c r="AC27" s="1958">
        <f t="shared" si="5"/>
        <v>1.0526315789473684</v>
      </c>
    </row>
    <row r="28" spans="1:29" s="108" customFormat="1" ht="15.75" customHeight="1">
      <c r="A28" s="382"/>
      <c r="B28" s="576" t="s">
        <v>1816</v>
      </c>
      <c r="C28" s="1961"/>
      <c r="D28" s="413">
        <v>100</v>
      </c>
      <c r="E28" s="1952"/>
      <c r="F28" s="413">
        <f>SUMIF(91:91,E28,92:92)-SUMIF(91:91,C28,92:92)+100</f>
        <v>100</v>
      </c>
      <c r="G28" s="1961"/>
      <c r="H28" s="413">
        <f>SUMIF(91:91,G28,92:92)-SUMIF(91:91,C28,92:92)+100</f>
        <v>100</v>
      </c>
      <c r="I28" s="1952"/>
      <c r="J28" s="413">
        <f>SUMIF(91:91,I28,92:92)-SUMIF(91:91,C28,92:92)+100</f>
        <v>100</v>
      </c>
      <c r="K28" s="559"/>
      <c r="L28" s="2708"/>
      <c r="M28" s="2709"/>
      <c r="N28" s="2709"/>
      <c r="O28" s="2709"/>
      <c r="P28" s="3696"/>
      <c r="Q28" s="1340" t="str">
        <f t="shared" si="11"/>
        <v>朝向</v>
      </c>
      <c r="R28" s="698" t="s">
        <v>14</v>
      </c>
      <c r="S28" s="699">
        <f>F28</f>
        <v>100</v>
      </c>
      <c r="T28" s="698" t="s">
        <v>14</v>
      </c>
      <c r="U28" s="699">
        <f>H28</f>
        <v>100</v>
      </c>
      <c r="V28" s="698" t="s">
        <v>14</v>
      </c>
      <c r="W28" s="699">
        <f>J28</f>
        <v>100</v>
      </c>
      <c r="X28" s="700"/>
      <c r="Y28" s="3689"/>
      <c r="Z28" s="52" t="str">
        <f>Q28</f>
        <v>朝向</v>
      </c>
      <c r="AA28" s="1350">
        <f>D28/F28</f>
        <v>1</v>
      </c>
      <c r="AB28" s="1350">
        <f>D28/H28</f>
        <v>1</v>
      </c>
      <c r="AC28" s="1958">
        <f>D28/J28</f>
        <v>1</v>
      </c>
    </row>
    <row r="29" spans="1:29" ht="15" customHeight="1" thickBot="1">
      <c r="A29" s="379"/>
      <c r="B29" s="3463" t="s">
        <v>3578</v>
      </c>
      <c r="C29" s="1905" t="str">
        <f>C93</f>
        <v>4-5环</v>
      </c>
      <c r="D29" s="386">
        <v>100</v>
      </c>
      <c r="E29" s="383" t="str">
        <f>C29</f>
        <v>4-5环</v>
      </c>
      <c r="F29" s="386">
        <f>SUMIF(93:93,E29,94:94)-SUMIF(93:93,C29,94:94)+100</f>
        <v>100</v>
      </c>
      <c r="G29" s="1956" t="str">
        <f>C29</f>
        <v>4-5环</v>
      </c>
      <c r="H29" s="386">
        <f>SUMIF(93:93,G29,94:94)-SUMIF(93:93,C29,94:94)+100</f>
        <v>100</v>
      </c>
      <c r="I29" s="383" t="str">
        <f>G29</f>
        <v>4-5环</v>
      </c>
      <c r="J29" s="386">
        <f>SUMIF(93:93,I29,94:94)-SUMIF(93:93,C29,94:94)+100</f>
        <v>100</v>
      </c>
      <c r="K29" s="560"/>
      <c r="L29" s="2713"/>
      <c r="M29" s="2707"/>
      <c r="N29" s="2707"/>
      <c r="O29" s="2707"/>
      <c r="P29" s="3696"/>
      <c r="Q29" s="1349" t="str">
        <f t="shared" si="11"/>
        <v>环线位置</v>
      </c>
      <c r="R29" s="702" t="s">
        <v>14</v>
      </c>
      <c r="S29" s="703">
        <f t="shared" ref="S29:S47" si="12">F29</f>
        <v>100</v>
      </c>
      <c r="T29" s="702" t="s">
        <v>14</v>
      </c>
      <c r="U29" s="703">
        <f t="shared" ref="U29:U47" si="13">H29</f>
        <v>100</v>
      </c>
      <c r="V29" s="702" t="s">
        <v>14</v>
      </c>
      <c r="W29" s="703">
        <f t="shared" ref="W29:W47" si="14">J29</f>
        <v>100</v>
      </c>
      <c r="X29" s="1352"/>
      <c r="Y29" s="3689"/>
      <c r="Z29" s="1353" t="str">
        <f t="shared" ref="Z29:Z47" si="15">Q29</f>
        <v>环线位置</v>
      </c>
      <c r="AA29" s="1350">
        <f t="shared" si="3"/>
        <v>1</v>
      </c>
      <c r="AB29" s="1350">
        <f t="shared" si="4"/>
        <v>1</v>
      </c>
      <c r="AC29" s="1958">
        <f t="shared" si="5"/>
        <v>1</v>
      </c>
    </row>
    <row r="30" spans="1:29" ht="15" hidden="1" customHeight="1">
      <c r="A30" s="379"/>
      <c r="B30" s="1962">
        <v>111</v>
      </c>
      <c r="C30" s="1905"/>
      <c r="D30" s="386">
        <v>100</v>
      </c>
      <c r="E30" s="383"/>
      <c r="F30" s="386">
        <f>SUMIF(95:95,E30,96:96)-SUMIF(95:95,C30,96:96)+100</f>
        <v>100</v>
      </c>
      <c r="G30" s="1956"/>
      <c r="H30" s="386">
        <f>SUMIF(95:95,G30,96:96)-SUMIF(95:95,C30,96:96)+100</f>
        <v>100</v>
      </c>
      <c r="I30" s="383"/>
      <c r="J30" s="386">
        <f>SUMIF(95:95,I30,96:96)-SUMIF(95:95,C30,96:96)+100</f>
        <v>100</v>
      </c>
      <c r="K30" s="560"/>
      <c r="L30" s="2713"/>
      <c r="M30" s="2707"/>
      <c r="N30" s="2707"/>
      <c r="O30" s="2707"/>
      <c r="P30" s="3696"/>
      <c r="Q30" s="1349">
        <f t="shared" si="11"/>
        <v>111</v>
      </c>
      <c r="R30" s="702" t="s">
        <v>14</v>
      </c>
      <c r="S30" s="703">
        <f t="shared" si="12"/>
        <v>100</v>
      </c>
      <c r="T30" s="702" t="s">
        <v>14</v>
      </c>
      <c r="U30" s="703">
        <f t="shared" si="13"/>
        <v>100</v>
      </c>
      <c r="V30" s="702" t="s">
        <v>14</v>
      </c>
      <c r="W30" s="703">
        <f t="shared" si="14"/>
        <v>100</v>
      </c>
      <c r="X30" s="1352"/>
      <c r="Y30" s="3689"/>
      <c r="Z30" s="1353">
        <f t="shared" si="15"/>
        <v>111</v>
      </c>
      <c r="AA30" s="1350">
        <f t="shared" si="3"/>
        <v>1</v>
      </c>
      <c r="AB30" s="1350">
        <f t="shared" si="4"/>
        <v>1</v>
      </c>
      <c r="AC30" s="1958">
        <f t="shared" si="5"/>
        <v>1</v>
      </c>
    </row>
    <row r="31" spans="1:29" ht="15" hidden="1" customHeight="1">
      <c r="A31" s="379"/>
      <c r="B31" s="1962">
        <v>111</v>
      </c>
      <c r="C31" s="1905"/>
      <c r="D31" s="386">
        <v>100</v>
      </c>
      <c r="E31" s="383"/>
      <c r="F31" s="386">
        <f>SUMIF(97:97,E31,98:98)-SUMIF(97:97,C31,98:98)+100</f>
        <v>100</v>
      </c>
      <c r="G31" s="1956"/>
      <c r="H31" s="386">
        <f>SUMIF(97:97,G31,98:98)-SUMIF(97:97,C31,98:98)+100</f>
        <v>100</v>
      </c>
      <c r="I31" s="383"/>
      <c r="J31" s="386">
        <f>SUMIF(97:97,I31,98:98)-SUMIF(97:97,C31,98:98)+100</f>
        <v>100</v>
      </c>
      <c r="K31" s="560"/>
      <c r="L31" s="2713"/>
      <c r="M31" s="2707"/>
      <c r="N31" s="2707"/>
      <c r="O31" s="2707"/>
      <c r="P31" s="3696"/>
      <c r="Q31" s="1349">
        <f t="shared" si="11"/>
        <v>111</v>
      </c>
      <c r="R31" s="702" t="s">
        <v>14</v>
      </c>
      <c r="S31" s="703">
        <f t="shared" si="12"/>
        <v>100</v>
      </c>
      <c r="T31" s="702" t="s">
        <v>14</v>
      </c>
      <c r="U31" s="703">
        <f t="shared" si="13"/>
        <v>100</v>
      </c>
      <c r="V31" s="702" t="s">
        <v>14</v>
      </c>
      <c r="W31" s="703">
        <f t="shared" si="14"/>
        <v>100</v>
      </c>
      <c r="X31" s="1352"/>
      <c r="Y31" s="3689"/>
      <c r="Z31" s="1353">
        <f t="shared" si="15"/>
        <v>111</v>
      </c>
      <c r="AA31" s="1350">
        <f t="shared" si="3"/>
        <v>1</v>
      </c>
      <c r="AB31" s="1350">
        <f t="shared" si="4"/>
        <v>1</v>
      </c>
      <c r="AC31" s="1958">
        <f t="shared" si="5"/>
        <v>1</v>
      </c>
    </row>
    <row r="32" spans="1:29" ht="15.75" hidden="1" customHeight="1" thickBot="1">
      <c r="A32" s="387"/>
      <c r="B32" s="580">
        <v>111</v>
      </c>
      <c r="C32" s="1906"/>
      <c r="D32" s="389">
        <v>100</v>
      </c>
      <c r="E32" s="573"/>
      <c r="F32" s="389">
        <f>SUMIF(99:99,E32,100:100)-SUMIF(99:99,C32,100:100)+100</f>
        <v>100</v>
      </c>
      <c r="G32" s="1956"/>
      <c r="H32" s="389">
        <f>SUMIF(99:99,G32,100:100)-SUMIF(99:99,C32,100:100)+100</f>
        <v>100</v>
      </c>
      <c r="I32" s="383"/>
      <c r="J32" s="389">
        <f>SUMIF(99:99,I32,100:100)-SUMIF(99:99,C32,100:100)+100</f>
        <v>100</v>
      </c>
      <c r="K32" s="560"/>
      <c r="L32" s="2713"/>
      <c r="M32" s="2707"/>
      <c r="N32" s="2707"/>
      <c r="O32" s="2707"/>
      <c r="P32" s="3696"/>
      <c r="Q32" s="1349">
        <f t="shared" si="11"/>
        <v>111</v>
      </c>
      <c r="R32" s="702" t="s">
        <v>14</v>
      </c>
      <c r="S32" s="703">
        <f t="shared" si="12"/>
        <v>100</v>
      </c>
      <c r="T32" s="702" t="s">
        <v>14</v>
      </c>
      <c r="U32" s="703">
        <f t="shared" si="13"/>
        <v>100</v>
      </c>
      <c r="V32" s="702" t="s">
        <v>14</v>
      </c>
      <c r="W32" s="703">
        <f t="shared" si="14"/>
        <v>100</v>
      </c>
      <c r="X32" s="1352"/>
      <c r="Y32" s="3689"/>
      <c r="Z32" s="1353">
        <f t="shared" si="15"/>
        <v>111</v>
      </c>
      <c r="AA32" s="1350">
        <f t="shared" si="3"/>
        <v>1</v>
      </c>
      <c r="AB32" s="1350">
        <f t="shared" si="4"/>
        <v>1</v>
      </c>
      <c r="AC32" s="1958">
        <f t="shared" si="5"/>
        <v>1</v>
      </c>
    </row>
    <row r="33" spans="1:29" ht="15">
      <c r="A33" s="391" t="s">
        <v>1694</v>
      </c>
      <c r="B33" s="63" t="s">
        <v>1817</v>
      </c>
      <c r="C33" s="1963" t="s">
        <v>3511</v>
      </c>
      <c r="D33" s="418">
        <v>100</v>
      </c>
      <c r="E33" s="1963" t="s">
        <v>3511</v>
      </c>
      <c r="F33" s="412">
        <f>SUMIF(101:101,E33,102:102)-SUMIF(101:101,C33,102:102)+100</f>
        <v>100</v>
      </c>
      <c r="G33" s="1963" t="s">
        <v>3511</v>
      </c>
      <c r="H33" s="386">
        <f>SUMIF(101:101,G33,102:102)-SUMIF(101:101,C33,102:102)+100</f>
        <v>100</v>
      </c>
      <c r="I33" s="1963" t="s">
        <v>3511</v>
      </c>
      <c r="J33" s="418">
        <f>SUMIF(101:101,I33,102:102)-SUMIF(101:101,C33,102:102)+100</f>
        <v>100</v>
      </c>
      <c r="K33" s="559">
        <v>5</v>
      </c>
      <c r="L33" s="2713"/>
      <c r="M33" s="2707"/>
      <c r="N33" s="2707"/>
      <c r="O33" s="2707"/>
      <c r="P33" s="3690" t="s">
        <v>1696</v>
      </c>
      <c r="Q33" s="1349" t="str">
        <f t="shared" si="11"/>
        <v>建筑类型</v>
      </c>
      <c r="R33" s="702" t="s">
        <v>14</v>
      </c>
      <c r="S33" s="703">
        <f t="shared" si="12"/>
        <v>100</v>
      </c>
      <c r="T33" s="702" t="s">
        <v>14</v>
      </c>
      <c r="U33" s="703">
        <f t="shared" si="13"/>
        <v>100</v>
      </c>
      <c r="V33" s="702" t="s">
        <v>14</v>
      </c>
      <c r="W33" s="703">
        <f t="shared" si="14"/>
        <v>100</v>
      </c>
      <c r="X33" s="1352"/>
      <c r="Y33" s="3693" t="s">
        <v>1696</v>
      </c>
      <c r="Z33" s="1353" t="str">
        <f t="shared" si="15"/>
        <v>建筑类型</v>
      </c>
      <c r="AA33" s="1350">
        <f t="shared" si="3"/>
        <v>1</v>
      </c>
      <c r="AB33" s="1350">
        <f t="shared" si="4"/>
        <v>1</v>
      </c>
      <c r="AC33" s="1958">
        <f t="shared" si="5"/>
        <v>1</v>
      </c>
    </row>
    <row r="34" spans="1:29" s="422" customFormat="1" ht="15">
      <c r="A34" s="419"/>
      <c r="B34" s="375" t="s">
        <v>1697</v>
      </c>
      <c r="C34" s="420">
        <v>4500</v>
      </c>
      <c r="D34" s="127">
        <v>100</v>
      </c>
      <c r="E34" s="420">
        <f>案例!B2</f>
        <v>2000</v>
      </c>
      <c r="F34" s="376">
        <f>LOOKUP(E34,104:104,105:105)-LOOKUP(C34,104:104,105:105)+100</f>
        <v>100</v>
      </c>
      <c r="G34" s="420">
        <f>案例!B3</f>
        <v>67.040000000000006</v>
      </c>
      <c r="H34" s="127">
        <f>LOOKUP(G34,104:104,105:105)-LOOKUP(C34,104:104,105:105)+100</f>
        <v>100</v>
      </c>
      <c r="I34" s="420">
        <f>案例!B4</f>
        <v>124.84</v>
      </c>
      <c r="J34" s="127">
        <f>LOOKUP(I34,104:104,105:105)-LOOKUP(C34,104:104,105:105)+100</f>
        <v>100</v>
      </c>
      <c r="K34" s="3470"/>
      <c r="L34" s="2712"/>
      <c r="M34" s="2714"/>
      <c r="N34" s="2714"/>
      <c r="O34" s="2714"/>
      <c r="P34" s="3691"/>
      <c r="Q34" s="704" t="str">
        <f t="shared" si="11"/>
        <v>项目建筑规模</v>
      </c>
      <c r="R34" s="705" t="s">
        <v>14</v>
      </c>
      <c r="S34" s="706">
        <f t="shared" si="12"/>
        <v>100</v>
      </c>
      <c r="T34" s="705" t="s">
        <v>14</v>
      </c>
      <c r="U34" s="706">
        <f t="shared" si="13"/>
        <v>100</v>
      </c>
      <c r="V34" s="705" t="s">
        <v>14</v>
      </c>
      <c r="W34" s="706">
        <f t="shared" si="14"/>
        <v>100</v>
      </c>
      <c r="X34" s="707"/>
      <c r="Y34" s="3693"/>
      <c r="Z34" s="708" t="str">
        <f t="shared" si="15"/>
        <v>项目建筑规模</v>
      </c>
      <c r="AA34" s="1350">
        <f t="shared" si="3"/>
        <v>1</v>
      </c>
      <c r="AB34" s="1350">
        <f t="shared" si="4"/>
        <v>1</v>
      </c>
      <c r="AC34" s="1958">
        <f t="shared" si="5"/>
        <v>1</v>
      </c>
    </row>
    <row r="35" spans="1:29" ht="15">
      <c r="A35" s="423"/>
      <c r="B35" s="375" t="s">
        <v>1698</v>
      </c>
      <c r="C35" s="411" t="s">
        <v>3410</v>
      </c>
      <c r="D35" s="386">
        <v>100</v>
      </c>
      <c r="E35" s="411" t="s">
        <v>3410</v>
      </c>
      <c r="F35" s="412">
        <f>SUMIF(106:106,E35,107:107)-SUMIF(106:106,C35,107:107)+100</f>
        <v>100</v>
      </c>
      <c r="G35" s="411" t="s">
        <v>3410</v>
      </c>
      <c r="H35" s="386">
        <f>SUMIF(106:106,G35,107:107)-SUMIF(106:106,C35,107:107)+100</f>
        <v>100</v>
      </c>
      <c r="I35" s="411" t="s">
        <v>3410</v>
      </c>
      <c r="J35" s="386">
        <f>SUMIF(106:106,I35,107:107)-SUMIF(106:106,C35,107:107)+100</f>
        <v>100</v>
      </c>
      <c r="K35" s="559">
        <v>2</v>
      </c>
      <c r="L35" s="2713"/>
      <c r="M35" s="2707"/>
      <c r="N35" s="2707"/>
      <c r="O35" s="2707"/>
      <c r="P35" s="3691"/>
      <c r="Q35" s="1349" t="str">
        <f t="shared" si="11"/>
        <v>建筑结构</v>
      </c>
      <c r="R35" s="702" t="s">
        <v>14</v>
      </c>
      <c r="S35" s="703">
        <f t="shared" si="12"/>
        <v>100</v>
      </c>
      <c r="T35" s="702" t="s">
        <v>14</v>
      </c>
      <c r="U35" s="703">
        <f t="shared" si="13"/>
        <v>100</v>
      </c>
      <c r="V35" s="702" t="s">
        <v>14</v>
      </c>
      <c r="W35" s="703">
        <f t="shared" si="14"/>
        <v>100</v>
      </c>
      <c r="X35" s="1352"/>
      <c r="Y35" s="3693"/>
      <c r="Z35" s="1353" t="str">
        <f t="shared" si="15"/>
        <v>建筑结构</v>
      </c>
      <c r="AA35" s="1350">
        <f t="shared" si="3"/>
        <v>1</v>
      </c>
      <c r="AB35" s="1350">
        <f t="shared" si="4"/>
        <v>1</v>
      </c>
      <c r="AC35" s="1958">
        <f t="shared" si="5"/>
        <v>1</v>
      </c>
    </row>
    <row r="36" spans="1:29" ht="15">
      <c r="A36" s="423"/>
      <c r="B36" s="375" t="s">
        <v>1785</v>
      </c>
      <c r="C36" s="411" t="s">
        <v>3448</v>
      </c>
      <c r="D36" s="386">
        <v>100</v>
      </c>
      <c r="E36" s="411" t="s">
        <v>3448</v>
      </c>
      <c r="F36" s="412">
        <f>SUMIF(108:108,E36,109:109)-SUMIF(108:108,C36,109:109)+100</f>
        <v>100</v>
      </c>
      <c r="G36" s="411" t="s">
        <v>3448</v>
      </c>
      <c r="H36" s="386">
        <f>SUMIF(108:108,G36,109:109)-SUMIF(108:108,C36,109:109)+100</f>
        <v>100</v>
      </c>
      <c r="I36" s="411" t="s">
        <v>3448</v>
      </c>
      <c r="J36" s="386">
        <f>SUMIF(108:108,I36,109:109)-SUMIF(108:108,C36,109:109)+100</f>
        <v>100</v>
      </c>
      <c r="K36" s="559">
        <v>2</v>
      </c>
      <c r="L36" s="2713"/>
      <c r="M36" s="2707"/>
      <c r="N36" s="2707"/>
      <c r="O36" s="2707"/>
      <c r="P36" s="3691"/>
      <c r="Q36" s="1349" t="str">
        <f t="shared" si="11"/>
        <v>公共部分装修</v>
      </c>
      <c r="R36" s="702" t="s">
        <v>14</v>
      </c>
      <c r="S36" s="703">
        <f t="shared" si="12"/>
        <v>100</v>
      </c>
      <c r="T36" s="702" t="s">
        <v>14</v>
      </c>
      <c r="U36" s="703">
        <f t="shared" si="13"/>
        <v>100</v>
      </c>
      <c r="V36" s="702" t="s">
        <v>14</v>
      </c>
      <c r="W36" s="703">
        <f t="shared" si="14"/>
        <v>100</v>
      </c>
      <c r="X36" s="1352"/>
      <c r="Y36" s="3693"/>
      <c r="Z36" s="1353" t="str">
        <f t="shared" si="15"/>
        <v>公共部分装修</v>
      </c>
      <c r="AA36" s="1350">
        <f t="shared" si="3"/>
        <v>1</v>
      </c>
      <c r="AB36" s="1350">
        <f t="shared" si="4"/>
        <v>1</v>
      </c>
      <c r="AC36" s="1958">
        <f t="shared" si="5"/>
        <v>1</v>
      </c>
    </row>
    <row r="37" spans="1:29" ht="15">
      <c r="A37" s="423"/>
      <c r="B37" s="375" t="s">
        <v>1786</v>
      </c>
      <c r="C37" s="425">
        <v>0.8</v>
      </c>
      <c r="D37" s="386">
        <v>100</v>
      </c>
      <c r="E37" s="425">
        <v>0.9</v>
      </c>
      <c r="F37" s="412">
        <f>LOOKUP(E37,111:111,112:112)-LOOKUP(C37,111:111,112:112)+100</f>
        <v>101</v>
      </c>
      <c r="G37" s="425">
        <f>E37</f>
        <v>0.9</v>
      </c>
      <c r="H37" s="412">
        <f>LOOKUP(G37,111:111,112:112)-LOOKUP(C37,111:111,112:112)+100</f>
        <v>101</v>
      </c>
      <c r="I37" s="425">
        <f>G37</f>
        <v>0.9</v>
      </c>
      <c r="J37" s="386">
        <f>LOOKUP(I37,111:111,112:112)-LOOKUP(C37,111:111,112:112)+100</f>
        <v>101</v>
      </c>
      <c r="K37" s="559">
        <v>1</v>
      </c>
      <c r="L37" s="2713"/>
      <c r="M37" s="2707"/>
      <c r="N37" s="2707"/>
      <c r="O37" s="2707"/>
      <c r="P37" s="3691"/>
      <c r="Q37" s="1349" t="str">
        <f t="shared" si="11"/>
        <v>成新度</v>
      </c>
      <c r="R37" s="702" t="s">
        <v>14</v>
      </c>
      <c r="S37" s="703">
        <f t="shared" si="12"/>
        <v>101</v>
      </c>
      <c r="T37" s="702" t="s">
        <v>14</v>
      </c>
      <c r="U37" s="703">
        <f t="shared" si="13"/>
        <v>101</v>
      </c>
      <c r="V37" s="702" t="s">
        <v>14</v>
      </c>
      <c r="W37" s="703">
        <f t="shared" si="14"/>
        <v>101</v>
      </c>
      <c r="X37" s="1352"/>
      <c r="Y37" s="3693"/>
      <c r="Z37" s="1353" t="str">
        <f t="shared" si="15"/>
        <v>成新度</v>
      </c>
      <c r="AA37" s="1350">
        <f t="shared" si="3"/>
        <v>0.99009900990099009</v>
      </c>
      <c r="AB37" s="1350">
        <f t="shared" si="4"/>
        <v>0.99009900990099009</v>
      </c>
      <c r="AC37" s="1958">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691"/>
      <c r="Q38" s="1340" t="str">
        <f t="shared" si="11"/>
        <v>写字楼等级</v>
      </c>
      <c r="R38" s="698" t="s">
        <v>14</v>
      </c>
      <c r="S38" s="699">
        <f t="shared" si="12"/>
        <v>100</v>
      </c>
      <c r="T38" s="698" t="s">
        <v>14</v>
      </c>
      <c r="U38" s="699">
        <f t="shared" si="13"/>
        <v>100</v>
      </c>
      <c r="V38" s="698" t="s">
        <v>14</v>
      </c>
      <c r="W38" s="699">
        <f t="shared" si="14"/>
        <v>100</v>
      </c>
      <c r="X38" s="700"/>
      <c r="Y38" s="3693"/>
      <c r="Z38" s="52" t="str">
        <f t="shared" si="15"/>
        <v>写字楼等级</v>
      </c>
      <c r="AA38" s="701">
        <f t="shared" si="3"/>
        <v>1</v>
      </c>
      <c r="AB38" s="701">
        <f t="shared" si="4"/>
        <v>1</v>
      </c>
      <c r="AC38" s="1955">
        <f t="shared" si="5"/>
        <v>1</v>
      </c>
    </row>
    <row r="39" spans="1:29" ht="15">
      <c r="A39" s="423"/>
      <c r="B39" s="375" t="s">
        <v>1819</v>
      </c>
      <c r="C39" s="411" t="s">
        <v>3589</v>
      </c>
      <c r="D39" s="386">
        <v>100</v>
      </c>
      <c r="E39" s="411" t="s">
        <v>3589</v>
      </c>
      <c r="F39" s="412">
        <f>SUMIF(115:115,E39,116:116)-SUMIF(115:115,C39,116:116)+100</f>
        <v>100</v>
      </c>
      <c r="G39" s="411" t="s">
        <v>3589</v>
      </c>
      <c r="H39" s="386">
        <f>SUMIF(115:115,G39,116:116)-SUMIF(115:115,C39,116:116)+100</f>
        <v>100</v>
      </c>
      <c r="I39" s="411" t="s">
        <v>3589</v>
      </c>
      <c r="J39" s="386">
        <f>SUMIF(115:115,I39,116:116)-SUMIF(115:115,C39,116:116)+100</f>
        <v>100</v>
      </c>
      <c r="K39" s="559">
        <v>2</v>
      </c>
      <c r="L39" s="2713"/>
      <c r="M39" s="2707"/>
      <c r="N39" s="2707"/>
      <c r="O39" s="2707"/>
      <c r="P39" s="3691" t="s">
        <v>1696</v>
      </c>
      <c r="Q39" s="1349" t="str">
        <f t="shared" si="11"/>
        <v>物业管理</v>
      </c>
      <c r="R39" s="702" t="s">
        <v>14</v>
      </c>
      <c r="S39" s="703">
        <f t="shared" si="12"/>
        <v>100</v>
      </c>
      <c r="T39" s="702" t="s">
        <v>14</v>
      </c>
      <c r="U39" s="703">
        <f t="shared" si="13"/>
        <v>100</v>
      </c>
      <c r="V39" s="702" t="s">
        <v>14</v>
      </c>
      <c r="W39" s="703">
        <f t="shared" si="14"/>
        <v>100</v>
      </c>
      <c r="X39" s="1352"/>
      <c r="Y39" s="3693" t="s">
        <v>1696</v>
      </c>
      <c r="Z39" s="1353" t="str">
        <f t="shared" si="15"/>
        <v>物业管理</v>
      </c>
      <c r="AA39" s="1350">
        <f t="shared" si="3"/>
        <v>1</v>
      </c>
      <c r="AB39" s="1350">
        <f t="shared" si="4"/>
        <v>1</v>
      </c>
      <c r="AC39" s="1958">
        <f t="shared" si="5"/>
        <v>1</v>
      </c>
    </row>
    <row r="40" spans="1:29" ht="15">
      <c r="A40" s="423"/>
      <c r="B40" s="375" t="s">
        <v>1787</v>
      </c>
      <c r="C40" s="411" t="s">
        <v>3512</v>
      </c>
      <c r="D40" s="386">
        <v>100</v>
      </c>
      <c r="E40" s="411" t="s">
        <v>3512</v>
      </c>
      <c r="F40" s="412">
        <f>SUMIF(117:117,E40,118:118)-SUMIF(117:117,C40,118:118)+100</f>
        <v>100</v>
      </c>
      <c r="G40" s="411" t="s">
        <v>3512</v>
      </c>
      <c r="H40" s="386">
        <f>SUMIF(117:117,G40,118:118)-SUMIF(117:117,C40,118:118)+100</f>
        <v>100</v>
      </c>
      <c r="I40" s="411" t="s">
        <v>3512</v>
      </c>
      <c r="J40" s="386">
        <f>SUMIF(117:117,I40,118:118)-SUMIF(117:117,C40,118:118)+100</f>
        <v>100</v>
      </c>
      <c r="K40" s="559">
        <v>1</v>
      </c>
      <c r="L40" s="2713"/>
      <c r="M40" s="2707"/>
      <c r="N40" s="2707"/>
      <c r="O40" s="2707"/>
      <c r="P40" s="3691"/>
      <c r="Q40" s="1349" t="str">
        <f t="shared" si="11"/>
        <v>市政基础设施</v>
      </c>
      <c r="R40" s="702" t="s">
        <v>14</v>
      </c>
      <c r="S40" s="703">
        <f t="shared" si="12"/>
        <v>100</v>
      </c>
      <c r="T40" s="702" t="s">
        <v>14</v>
      </c>
      <c r="U40" s="703">
        <f t="shared" si="13"/>
        <v>100</v>
      </c>
      <c r="V40" s="702" t="s">
        <v>14</v>
      </c>
      <c r="W40" s="703">
        <f t="shared" si="14"/>
        <v>100</v>
      </c>
      <c r="X40" s="1352"/>
      <c r="Y40" s="3693"/>
      <c r="Z40" s="1353" t="str">
        <f t="shared" si="15"/>
        <v>市政基础设施</v>
      </c>
      <c r="AA40" s="1350">
        <f t="shared" si="3"/>
        <v>1</v>
      </c>
      <c r="AB40" s="1350">
        <f t="shared" si="4"/>
        <v>1</v>
      </c>
      <c r="AC40" s="1958">
        <f t="shared" si="5"/>
        <v>1</v>
      </c>
    </row>
    <row r="41" spans="1:29" ht="15">
      <c r="A41" s="423"/>
      <c r="B41" s="375" t="s">
        <v>1789</v>
      </c>
      <c r="C41" s="563" t="s">
        <v>3567</v>
      </c>
      <c r="D41" s="386">
        <v>100</v>
      </c>
      <c r="E41" s="563" t="s">
        <v>3567</v>
      </c>
      <c r="F41" s="412">
        <f>SUMIF(119:119,E41,120:120)-SUMIF(119:119,C41,120:120)+100</f>
        <v>100</v>
      </c>
      <c r="G41" s="563" t="s">
        <v>3567</v>
      </c>
      <c r="H41" s="386">
        <f>SUMIF(119:119,G41,120:120)-SUMIF(119:119,C41,120:120)+100</f>
        <v>100</v>
      </c>
      <c r="I41" s="563" t="s">
        <v>3567</v>
      </c>
      <c r="J41" s="386">
        <f>SUMIF(119:119,I41,120:120)-SUMIF(119:119,C41,120:120)+100</f>
        <v>100</v>
      </c>
      <c r="K41" s="559">
        <v>2</v>
      </c>
      <c r="L41" s="2713"/>
      <c r="M41" s="2707"/>
      <c r="N41" s="2707"/>
      <c r="O41" s="2707"/>
      <c r="P41" s="3691"/>
      <c r="Q41" s="1349" t="str">
        <f t="shared" si="11"/>
        <v>层高</v>
      </c>
      <c r="R41" s="702" t="s">
        <v>14</v>
      </c>
      <c r="S41" s="703">
        <f t="shared" si="12"/>
        <v>100</v>
      </c>
      <c r="T41" s="702" t="s">
        <v>14</v>
      </c>
      <c r="U41" s="703">
        <f t="shared" si="13"/>
        <v>100</v>
      </c>
      <c r="V41" s="702" t="s">
        <v>14</v>
      </c>
      <c r="W41" s="703">
        <f t="shared" si="14"/>
        <v>100</v>
      </c>
      <c r="X41" s="1352"/>
      <c r="Y41" s="3693"/>
      <c r="Z41" s="1353" t="str">
        <f t="shared" si="15"/>
        <v>层高</v>
      </c>
      <c r="AA41" s="1350">
        <f t="shared" si="3"/>
        <v>1</v>
      </c>
      <c r="AB41" s="1350">
        <f t="shared" si="4"/>
        <v>1</v>
      </c>
      <c r="AC41" s="1958">
        <f t="shared" si="5"/>
        <v>1</v>
      </c>
    </row>
    <row r="42" spans="1:29" s="422" customFormat="1" ht="15">
      <c r="A42" s="419"/>
      <c r="B42" s="1351" t="s">
        <v>1820</v>
      </c>
      <c r="C42" s="385" t="str">
        <f>C121</f>
        <v>整层</v>
      </c>
      <c r="D42" s="386">
        <v>100</v>
      </c>
      <c r="E42" s="385" t="str">
        <f>C42</f>
        <v>整层</v>
      </c>
      <c r="F42" s="412">
        <f>SUMIF(121:121,E42,122:122)-SUMIF(121:121,C42,122:122)+100</f>
        <v>100</v>
      </c>
      <c r="G42" s="385" t="str">
        <f>D121</f>
        <v>单套</v>
      </c>
      <c r="H42" s="386">
        <f>SUMIF(121:121,G42,122:122)-SUMIF(121:121,C42,122:122)+100</f>
        <v>102</v>
      </c>
      <c r="I42" s="385" t="str">
        <f>G42</f>
        <v>单套</v>
      </c>
      <c r="J42" s="386">
        <f>SUMIF(121:121,I42,122:122)-SUMIF(121:121,C42,122:122)+100</f>
        <v>102</v>
      </c>
      <c r="K42" s="560"/>
      <c r="L42" s="2712"/>
      <c r="M42" s="2714"/>
      <c r="N42" s="2714"/>
      <c r="O42" s="2714"/>
      <c r="P42" s="3691"/>
      <c r="Q42" s="704" t="str">
        <f t="shared" si="11"/>
        <v>单套建筑面积</v>
      </c>
      <c r="R42" s="705" t="s">
        <v>14</v>
      </c>
      <c r="S42" s="706">
        <f t="shared" si="12"/>
        <v>100</v>
      </c>
      <c r="T42" s="705" t="s">
        <v>14</v>
      </c>
      <c r="U42" s="706">
        <f t="shared" si="13"/>
        <v>102</v>
      </c>
      <c r="V42" s="705" t="s">
        <v>14</v>
      </c>
      <c r="W42" s="706">
        <f t="shared" si="14"/>
        <v>102</v>
      </c>
      <c r="X42" s="707"/>
      <c r="Y42" s="3693"/>
      <c r="Z42" s="708" t="str">
        <f t="shared" si="15"/>
        <v>单套建筑面积</v>
      </c>
      <c r="AA42" s="1350">
        <f t="shared" si="3"/>
        <v>1</v>
      </c>
      <c r="AB42" s="1350">
        <f t="shared" si="4"/>
        <v>0.98039215686274506</v>
      </c>
      <c r="AC42" s="1958">
        <f t="shared" si="5"/>
        <v>0.98039215686274506</v>
      </c>
    </row>
    <row r="43" spans="1:29" ht="15">
      <c r="A43" s="423"/>
      <c r="B43" s="375" t="s">
        <v>1792</v>
      </c>
      <c r="C43" s="411" t="s">
        <v>3448</v>
      </c>
      <c r="D43" s="386">
        <v>100</v>
      </c>
      <c r="E43" s="411" t="s">
        <v>3448</v>
      </c>
      <c r="F43" s="412">
        <f>SUMIF(123:123,E43,124:124)-SUMIF(123:123,C43,124:124)+100</f>
        <v>100</v>
      </c>
      <c r="G43" s="411" t="s">
        <v>3448</v>
      </c>
      <c r="H43" s="386">
        <f>SUMIF(123:123,G43,124:124)-SUMIF(123:123,C43,124:124)+100</f>
        <v>100</v>
      </c>
      <c r="I43" s="411" t="s">
        <v>3448</v>
      </c>
      <c r="J43" s="386">
        <f>SUMIF(123:123,I43,124:124)-SUMIF(123:123,C43,124:124)+100</f>
        <v>100</v>
      </c>
      <c r="K43" s="559">
        <v>2</v>
      </c>
      <c r="L43" s="2713"/>
      <c r="M43" s="2707"/>
      <c r="N43" s="2707"/>
      <c r="O43" s="2707"/>
      <c r="P43" s="3691"/>
      <c r="Q43" s="1349" t="str">
        <f t="shared" si="11"/>
        <v>内部装修</v>
      </c>
      <c r="R43" s="702" t="s">
        <v>14</v>
      </c>
      <c r="S43" s="703">
        <f t="shared" si="12"/>
        <v>100</v>
      </c>
      <c r="T43" s="702" t="s">
        <v>14</v>
      </c>
      <c r="U43" s="703">
        <f t="shared" si="13"/>
        <v>100</v>
      </c>
      <c r="V43" s="702" t="s">
        <v>14</v>
      </c>
      <c r="W43" s="703">
        <f t="shared" si="14"/>
        <v>100</v>
      </c>
      <c r="X43" s="1352"/>
      <c r="Y43" s="3693"/>
      <c r="Z43" s="1353" t="str">
        <f t="shared" si="15"/>
        <v>内部装修</v>
      </c>
      <c r="AA43" s="1350">
        <f t="shared" si="3"/>
        <v>1</v>
      </c>
      <c r="AB43" s="1350">
        <f t="shared" si="4"/>
        <v>1</v>
      </c>
      <c r="AC43" s="1958">
        <f t="shared" si="5"/>
        <v>1</v>
      </c>
    </row>
    <row r="44" spans="1:29" ht="15">
      <c r="A44" s="423"/>
      <c r="B44" s="375" t="s">
        <v>1707</v>
      </c>
      <c r="C44" s="411" t="s">
        <v>3386</v>
      </c>
      <c r="D44" s="386">
        <v>100</v>
      </c>
      <c r="E44" s="411" t="s">
        <v>3386</v>
      </c>
      <c r="F44" s="412">
        <f>SUMIF(125:125,E44,126:126)-SUMIF(125:125,C44,126:126)+100</f>
        <v>100</v>
      </c>
      <c r="G44" s="411" t="s">
        <v>3386</v>
      </c>
      <c r="H44" s="386">
        <f>SUMIF(125:125,G44,126:126)-SUMIF(125:125,C44,126:126)+100</f>
        <v>100</v>
      </c>
      <c r="I44" s="411" t="s">
        <v>3386</v>
      </c>
      <c r="J44" s="386">
        <f>SUMIF(125:125,I44,126:126)-SUMIF(125:125,C44,126:126)+100</f>
        <v>100</v>
      </c>
      <c r="K44" s="559">
        <v>2</v>
      </c>
      <c r="L44" s="2713"/>
      <c r="M44" s="2707"/>
      <c r="N44" s="2707"/>
      <c r="O44" s="2707"/>
      <c r="P44" s="3691"/>
      <c r="Q44" s="1349" t="str">
        <f t="shared" si="11"/>
        <v>内部装修维护情况</v>
      </c>
      <c r="R44" s="702" t="s">
        <v>14</v>
      </c>
      <c r="S44" s="703">
        <f t="shared" si="12"/>
        <v>100</v>
      </c>
      <c r="T44" s="702" t="s">
        <v>14</v>
      </c>
      <c r="U44" s="703">
        <f t="shared" si="13"/>
        <v>100</v>
      </c>
      <c r="V44" s="702" t="s">
        <v>14</v>
      </c>
      <c r="W44" s="703">
        <f t="shared" si="14"/>
        <v>100</v>
      </c>
      <c r="X44" s="1352"/>
      <c r="Y44" s="3693"/>
      <c r="Z44" s="1353" t="str">
        <f t="shared" si="15"/>
        <v>内部装修维护情况</v>
      </c>
      <c r="AA44" s="1350">
        <f t="shared" si="3"/>
        <v>1</v>
      </c>
      <c r="AB44" s="1350">
        <f t="shared" si="4"/>
        <v>1</v>
      </c>
      <c r="AC44" s="1958">
        <f t="shared" si="5"/>
        <v>1</v>
      </c>
    </row>
    <row r="45" spans="1:29" s="108" customFormat="1" ht="15">
      <c r="A45" s="424"/>
      <c r="B45" s="3459"/>
      <c r="C45" s="3461"/>
      <c r="D45" s="127">
        <v>100</v>
      </c>
      <c r="E45" s="3461"/>
      <c r="F45" s="376">
        <f>SUMIF(127:127,E45,128:128)-SUMIF(127:127,C45,128:128)+100</f>
        <v>100</v>
      </c>
      <c r="G45" s="3461"/>
      <c r="H45" s="127">
        <f>SUMIF(127:127,G45,128:128)-SUMIF(127:127,C45,128:128)+100</f>
        <v>100</v>
      </c>
      <c r="I45" s="3461"/>
      <c r="J45" s="127">
        <f>SUMIF(127:127,I45,128:128)-SUMIF(127:127,C45,128:128)+100</f>
        <v>100</v>
      </c>
      <c r="K45" s="560"/>
      <c r="L45" s="2708"/>
      <c r="M45" s="2709"/>
      <c r="N45" s="2709"/>
      <c r="O45" s="2709"/>
      <c r="P45" s="3691"/>
      <c r="Q45" s="1340">
        <f t="shared" si="11"/>
        <v>0</v>
      </c>
      <c r="R45" s="698" t="s">
        <v>14</v>
      </c>
      <c r="S45" s="699">
        <f t="shared" si="12"/>
        <v>100</v>
      </c>
      <c r="T45" s="698" t="s">
        <v>14</v>
      </c>
      <c r="U45" s="699">
        <f t="shared" si="13"/>
        <v>100</v>
      </c>
      <c r="V45" s="698" t="s">
        <v>14</v>
      </c>
      <c r="W45" s="699">
        <f t="shared" si="14"/>
        <v>100</v>
      </c>
      <c r="X45" s="700"/>
      <c r="Y45" s="3693"/>
      <c r="Z45" s="52">
        <f t="shared" si="15"/>
        <v>0</v>
      </c>
      <c r="AA45" s="701">
        <f t="shared" si="3"/>
        <v>1</v>
      </c>
      <c r="AB45" s="701">
        <f t="shared" si="4"/>
        <v>1</v>
      </c>
      <c r="AC45" s="1955">
        <f t="shared" si="5"/>
        <v>1</v>
      </c>
    </row>
    <row r="46" spans="1:29" ht="15">
      <c r="A46" s="423"/>
      <c r="B46" s="3459"/>
      <c r="C46" s="3461"/>
      <c r="D46" s="386">
        <v>100</v>
      </c>
      <c r="E46" s="3461"/>
      <c r="F46" s="412">
        <f>SUMIF(129:129,E46,130:130)-SUMIF(129:129,C46,130:130)+100</f>
        <v>100</v>
      </c>
      <c r="G46" s="3461"/>
      <c r="H46" s="386">
        <f>SUMIF(129:129,G46,130:130)-SUMIF(129:129,C46,130:130)+100</f>
        <v>100</v>
      </c>
      <c r="I46" s="3461"/>
      <c r="J46" s="386">
        <f>SUMIF(129:129,I46,130:130)-SUMIF(129:129,C46,130:130)+100</f>
        <v>100</v>
      </c>
      <c r="K46" s="560"/>
      <c r="L46" s="2713"/>
      <c r="M46" s="3464">
        <v>0.1</v>
      </c>
      <c r="N46" s="2707"/>
      <c r="O46" s="2707"/>
      <c r="P46" s="3691"/>
      <c r="Q46" s="1349">
        <f t="shared" si="11"/>
        <v>0</v>
      </c>
      <c r="R46" s="702" t="s">
        <v>14</v>
      </c>
      <c r="S46" s="703">
        <f t="shared" si="12"/>
        <v>100</v>
      </c>
      <c r="T46" s="702" t="s">
        <v>14</v>
      </c>
      <c r="U46" s="703">
        <f t="shared" si="13"/>
        <v>100</v>
      </c>
      <c r="V46" s="702" t="s">
        <v>14</v>
      </c>
      <c r="W46" s="703">
        <f t="shared" si="14"/>
        <v>100</v>
      </c>
      <c r="X46" s="1352"/>
      <c r="Y46" s="3693"/>
      <c r="Z46" s="1353">
        <f t="shared" si="15"/>
        <v>0</v>
      </c>
      <c r="AA46" s="1350">
        <f t="shared" si="3"/>
        <v>1</v>
      </c>
      <c r="AB46" s="1350">
        <f t="shared" si="4"/>
        <v>1</v>
      </c>
      <c r="AC46" s="1958">
        <f t="shared" si="5"/>
        <v>1</v>
      </c>
    </row>
    <row r="47" spans="1:29" ht="15.75" thickBot="1">
      <c r="A47" s="427"/>
      <c r="B47" s="3460"/>
      <c r="C47" s="3462"/>
      <c r="D47" s="389">
        <v>100</v>
      </c>
      <c r="E47" s="3462"/>
      <c r="F47" s="390">
        <f>SUMIF(131:131,E47,132:132)-SUMIF(131:131,C47,132:132)+100</f>
        <v>100</v>
      </c>
      <c r="G47" s="3462"/>
      <c r="H47" s="389">
        <f>SUMIF(131:131,G47,132:132)-SUMIF(131:131,C47,132:132)+100</f>
        <v>100</v>
      </c>
      <c r="I47" s="3462"/>
      <c r="J47" s="389">
        <f>SUMIF(131:131,I47,132:132)-SUMIF(131:131,C47,132:132)+100</f>
        <v>100</v>
      </c>
      <c r="K47" s="560"/>
      <c r="L47" s="2713"/>
      <c r="M47" s="3465" t="s">
        <v>3590</v>
      </c>
      <c r="N47" s="3465" t="s">
        <v>3591</v>
      </c>
      <c r="O47" s="2707"/>
      <c r="P47" s="3692"/>
      <c r="Q47" s="1349">
        <f t="shared" si="11"/>
        <v>0</v>
      </c>
      <c r="R47" s="702" t="s">
        <v>14</v>
      </c>
      <c r="S47" s="703">
        <f t="shared" si="12"/>
        <v>100</v>
      </c>
      <c r="T47" s="702" t="s">
        <v>14</v>
      </c>
      <c r="U47" s="703">
        <f t="shared" si="13"/>
        <v>100</v>
      </c>
      <c r="V47" s="702" t="s">
        <v>14</v>
      </c>
      <c r="W47" s="703">
        <f t="shared" si="14"/>
        <v>100</v>
      </c>
      <c r="X47" s="1352"/>
      <c r="Y47" s="3694"/>
      <c r="Z47" s="1353">
        <f t="shared" si="15"/>
        <v>0</v>
      </c>
      <c r="AA47" s="1350">
        <f t="shared" si="3"/>
        <v>1</v>
      </c>
      <c r="AB47" s="1350">
        <f t="shared" si="4"/>
        <v>1</v>
      </c>
      <c r="AC47" s="1958">
        <f t="shared" si="5"/>
        <v>1</v>
      </c>
    </row>
    <row r="48" spans="1:29" ht="15">
      <c r="A48" s="428" t="s">
        <v>1708</v>
      </c>
      <c r="B48" s="429"/>
      <c r="C48" s="1151" t="s">
        <v>0</v>
      </c>
      <c r="D48" s="1152"/>
      <c r="E48" s="1153">
        <f>案例!E2</f>
        <v>4</v>
      </c>
      <c r="F48" s="1154"/>
      <c r="G48" s="1155">
        <f>案例!E3</f>
        <v>4.2</v>
      </c>
      <c r="H48" s="1156"/>
      <c r="I48" s="1153">
        <f>案例!E4</f>
        <v>4.22</v>
      </c>
      <c r="J48" s="434"/>
      <c r="K48" s="711"/>
      <c r="L48" s="2715"/>
      <c r="M48" s="3466">
        <f>ROUND(C50*(1-M46),1)</f>
        <v>3.9</v>
      </c>
      <c r="N48" s="3466">
        <f>ROUND(C50*(1+M46),1)</f>
        <v>4.7</v>
      </c>
      <c r="O48" s="2707"/>
      <c r="P48" s="3697" t="str">
        <f>A48</f>
        <v>成交单价（元/平方米）</v>
      </c>
      <c r="Q48" s="3686"/>
      <c r="R48" s="3687">
        <f>E48</f>
        <v>4</v>
      </c>
      <c r="S48" s="3687"/>
      <c r="T48" s="3687">
        <f>G48</f>
        <v>4.2</v>
      </c>
      <c r="U48" s="3687"/>
      <c r="V48" s="3687">
        <f>I48</f>
        <v>4.22</v>
      </c>
      <c r="W48" s="3687"/>
      <c r="X48" s="397"/>
      <c r="Y48" s="709"/>
      <c r="Z48" s="397"/>
      <c r="AA48" s="397"/>
      <c r="AB48" s="397"/>
      <c r="AC48" s="575"/>
    </row>
    <row r="49" spans="1:29" ht="15.75" thickBot="1">
      <c r="A49" s="435" t="s">
        <v>1793</v>
      </c>
      <c r="B49" s="436"/>
      <c r="C49" s="1157">
        <f>R50</f>
        <v>4.3</v>
      </c>
      <c r="D49" s="2313" t="s">
        <v>2138</v>
      </c>
      <c r="E49" s="1158">
        <f>R49</f>
        <v>4.2</v>
      </c>
      <c r="F49" s="2314"/>
      <c r="G49" s="1157">
        <f>T49</f>
        <v>4.3</v>
      </c>
      <c r="H49" s="2314"/>
      <c r="I49" s="1158">
        <f>V49</f>
        <v>4.3</v>
      </c>
      <c r="J49" s="2314"/>
      <c r="K49" s="2316">
        <f>F49+H49+J49</f>
        <v>0</v>
      </c>
      <c r="L49" s="3467" t="s">
        <v>3592</v>
      </c>
      <c r="M49" s="2707">
        <f>ROUND(M48*C34*365/10000,0)</f>
        <v>641</v>
      </c>
      <c r="N49" s="2707">
        <f>ROUND(N48*C34*365/10000,0)</f>
        <v>772</v>
      </c>
      <c r="O49" s="2707"/>
      <c r="P49" s="3697" t="str">
        <f>A49</f>
        <v>比较价值（元/平方米）</v>
      </c>
      <c r="Q49" s="3686"/>
      <c r="R49" s="3687">
        <f>IF(F1="售价",ROUND(PRODUCT(R48,AA7:AA47),0),ROUND(PRODUCT(R48,AA7:AA47),1))</f>
        <v>4.2</v>
      </c>
      <c r="S49" s="3687"/>
      <c r="T49" s="3687">
        <f>IF(F1="售价",ROUND(PRODUCT(T48,AB7:AB47),0),ROUND(PRODUCT(T48,AB7:AB47),1))</f>
        <v>4.3</v>
      </c>
      <c r="U49" s="3687"/>
      <c r="V49" s="3687">
        <f>IF(F1="售价",ROUND(PRODUCT(V48,AC7:AC47),0),ROUND(PRODUCT(V48,AC7:AC47),1))</f>
        <v>4.3</v>
      </c>
      <c r="W49" s="3687"/>
      <c r="X49" s="397"/>
      <c r="Y49" s="397"/>
      <c r="Z49" s="397"/>
      <c r="AA49" s="397"/>
      <c r="AB49" s="397"/>
      <c r="AC49" s="575"/>
    </row>
    <row r="50" spans="1:29" ht="15.75" thickBot="1">
      <c r="A50" s="439" t="s">
        <v>1794</v>
      </c>
      <c r="B50" s="440"/>
      <c r="C50" s="1160">
        <f>R50</f>
        <v>4.3</v>
      </c>
      <c r="D50" s="1160"/>
      <c r="E50" s="1160"/>
      <c r="F50" s="1160"/>
      <c r="G50" s="1160"/>
      <c r="H50" s="1160"/>
      <c r="I50" s="1160"/>
      <c r="J50" s="441"/>
      <c r="K50" s="712"/>
      <c r="L50" s="2715"/>
      <c r="M50" s="2707"/>
      <c r="N50" s="2707"/>
      <c r="O50" s="2707"/>
      <c r="P50" s="3729" t="str">
        <f>A50</f>
        <v>估价对象XX用房的比较价值（楼面单价，元/平方米）</v>
      </c>
      <c r="Q50" s="3730"/>
      <c r="R50" s="3731">
        <f>IF(F1="售价",ROUND(IF(D49="简单平均",AVERAGE(R49:V49),R49*F49+T49*H49+V49*J49),0),ROUND(IF(D49="简单平均",AVERAGE(R49:V49),R49*F49+T49*H49+V49*J49),1))</f>
        <v>4.3</v>
      </c>
      <c r="S50" s="3731"/>
      <c r="T50" s="3731"/>
      <c r="U50" s="3731"/>
      <c r="V50" s="3731"/>
      <c r="W50" s="3731"/>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1795</v>
      </c>
      <c r="D53" s="445"/>
      <c r="E53" s="446">
        <f>IF(E48&lt;E49,E49/E48-1,E48/E49-1)</f>
        <v>5.0000000000000044E-2</v>
      </c>
      <c r="F53" s="447" t="str">
        <f>IF(OR(E53&gt;=0.3,E53&lt;=-0.3),"超过30%","")</f>
        <v/>
      </c>
      <c r="G53" s="446">
        <f>IF(G48&lt;G49,G49/G48-1,G48/G49-1)</f>
        <v>2.3809523809523725E-2</v>
      </c>
      <c r="H53" s="447" t="str">
        <f>IF(OR(G53&gt;=0.3,G53&lt;=-0.3),"超过30%","")</f>
        <v/>
      </c>
      <c r="I53" s="446">
        <f>IF(I48&lt;I49,I49/I48-1,I48/I49-1)</f>
        <v>1.8957345971563955E-2</v>
      </c>
      <c r="J53" s="447" t="str">
        <f>IF(OR(I53&gt;=0.3,I53&lt;=-0.3),"超过30%","")</f>
        <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1796</v>
      </c>
      <c r="D54" s="448"/>
      <c r="E54" s="446">
        <f>IF(E49&lt;G49,G49/E49-1,E49/G49-1)</f>
        <v>2.3809523809523725E-2</v>
      </c>
      <c r="F54" s="447" t="str">
        <f>IF(OR(E54&gt;=0.2,E54&lt;=-0.2),"超过20%","")</f>
        <v/>
      </c>
      <c r="G54" s="446">
        <f>IF(G49&lt;I49,I49/G49-1,G49/I49-1)</f>
        <v>0</v>
      </c>
      <c r="H54" s="447" t="str">
        <f>IF(OR(G54&gt;=0.2,G54&lt;=-0.2),"超过20%","")</f>
        <v/>
      </c>
      <c r="I54" s="446">
        <f>IF(I49&lt;E49,E49/I49-1,I49/E49-1)</f>
        <v>2.3809523809523725E-2</v>
      </c>
      <c r="J54" s="447" t="str">
        <f>IF(OR(I54&gt;=0.2,I54&lt;=-0.2),"超过20%","")</f>
        <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1797</v>
      </c>
      <c r="D55" s="448"/>
      <c r="E55" s="446">
        <f>IF(E48&lt;G48,G48/E48-1,E48/G48-1)</f>
        <v>5.0000000000000044E-2</v>
      </c>
      <c r="F55" s="447" t="str">
        <f>IF(OR(E55&gt;=0.3,E55&lt;=-0.3),"超过30%","")</f>
        <v/>
      </c>
      <c r="G55" s="446">
        <f>IF(G48&lt;I48,I48/G48-1,G48/I48-1)</f>
        <v>4.761904761904745E-3</v>
      </c>
      <c r="H55" s="447" t="str">
        <f>IF(OR(G55&gt;=0.3,G55&lt;=-0.3),"超过30%","")</f>
        <v/>
      </c>
      <c r="I55" s="446">
        <f>IF(I48&lt;E48,E48/I48-1,I48/E48-1)</f>
        <v>5.4999999999999938E-2</v>
      </c>
      <c r="J55" s="447" t="str">
        <f>IF(OR(I55&gt;=0.3,I55&lt;=-0.3),"超过30%","")</f>
        <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1" t="s">
        <v>1798</v>
      </c>
      <c r="B58" s="687"/>
      <c r="C58" s="692"/>
      <c r="D58" s="692"/>
      <c r="E58" s="692"/>
      <c r="F58" s="693"/>
      <c r="G58" s="693"/>
      <c r="H58" s="692"/>
      <c r="I58" s="692"/>
      <c r="J58" s="692"/>
      <c r="K58" s="694"/>
      <c r="L58" s="939"/>
      <c r="M58" s="937"/>
      <c r="N58" s="2760"/>
      <c r="O58" s="2760"/>
      <c r="P58" s="2749"/>
      <c r="Q58" s="2730"/>
      <c r="R58" s="2716"/>
      <c r="S58" s="2716"/>
      <c r="T58" s="2716"/>
      <c r="U58" s="2716"/>
      <c r="V58" s="2716"/>
      <c r="W58" s="2716"/>
      <c r="X58" s="2716"/>
      <c r="Y58" s="2716"/>
      <c r="Z58" s="2716"/>
      <c r="AA58" s="2716"/>
      <c r="AB58" s="2716"/>
      <c r="AC58" s="2716"/>
    </row>
    <row r="59" spans="1:29" s="455" customFormat="1" ht="15">
      <c r="A59" s="452" t="s">
        <v>1679</v>
      </c>
      <c r="B59" s="453"/>
      <c r="C59" s="1181" t="str">
        <f>YEAR(C7)&amp;"-"&amp;MONTH(C7)</f>
        <v>2023-5</v>
      </c>
      <c r="D59" s="1182">
        <f>EDATE(C59,-1)</f>
        <v>45017</v>
      </c>
      <c r="E59" s="1182">
        <f>EDATE(D59,-1)</f>
        <v>44986</v>
      </c>
      <c r="F59" s="1182">
        <f t="shared" ref="F59:O59" si="16">EDATE(E59,-1)</f>
        <v>44958</v>
      </c>
      <c r="G59" s="1182">
        <f t="shared" si="16"/>
        <v>44927</v>
      </c>
      <c r="H59" s="1182">
        <f t="shared" si="16"/>
        <v>44896</v>
      </c>
      <c r="I59" s="1182">
        <f t="shared" si="16"/>
        <v>44866</v>
      </c>
      <c r="J59" s="1182">
        <f t="shared" si="16"/>
        <v>44835</v>
      </c>
      <c r="K59" s="1182">
        <f t="shared" si="16"/>
        <v>44805</v>
      </c>
      <c r="L59" s="1182">
        <f t="shared" si="16"/>
        <v>44774</v>
      </c>
      <c r="M59" s="1182">
        <f t="shared" si="16"/>
        <v>44743</v>
      </c>
      <c r="N59" s="1182">
        <f t="shared" si="16"/>
        <v>44713</v>
      </c>
      <c r="O59" s="1182">
        <f t="shared" si="16"/>
        <v>44682</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v>100</v>
      </c>
      <c r="E60" s="459">
        <v>100</v>
      </c>
      <c r="F60" s="459">
        <v>100</v>
      </c>
      <c r="G60" s="459">
        <v>100</v>
      </c>
      <c r="H60" s="459">
        <v>100</v>
      </c>
      <c r="I60" s="459">
        <v>100</v>
      </c>
      <c r="J60" s="459">
        <v>100</v>
      </c>
      <c r="K60" s="459">
        <v>100</v>
      </c>
      <c r="L60" s="459">
        <v>100</v>
      </c>
      <c r="M60" s="459">
        <v>100</v>
      </c>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1716</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1681</v>
      </c>
      <c r="B62" s="457"/>
      <c r="C62" s="469" t="s">
        <v>1776</v>
      </c>
      <c r="D62" s="3449" t="s">
        <v>3499</v>
      </c>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v>102</v>
      </c>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1719</v>
      </c>
      <c r="B64" s="475" t="s">
        <v>1685</v>
      </c>
      <c r="C64" s="476" t="str">
        <f>C9</f>
        <v>办公</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1688</v>
      </c>
      <c r="C66" s="530" t="s">
        <v>3514</v>
      </c>
      <c r="D66" s="530" t="s">
        <v>3515</v>
      </c>
      <c r="E66" s="530" t="s">
        <v>3516</v>
      </c>
      <c r="F66" s="3450" t="s">
        <v>3518</v>
      </c>
      <c r="G66" s="530" t="s">
        <v>3517</v>
      </c>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v>100</v>
      </c>
      <c r="D67" s="483">
        <f>C67-2</f>
        <v>98</v>
      </c>
      <c r="E67" s="483">
        <f>D67-2</f>
        <v>96</v>
      </c>
      <c r="F67" s="483">
        <f>E67-2</f>
        <v>94</v>
      </c>
      <c r="G67" s="483">
        <f>F67-2</f>
        <v>92</v>
      </c>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95</v>
      </c>
      <c r="E70" s="491">
        <f t="shared" si="18"/>
        <v>90</v>
      </c>
      <c r="F70" s="491">
        <f t="shared" si="18"/>
        <v>85</v>
      </c>
      <c r="G70" s="491">
        <f t="shared" si="18"/>
        <v>80</v>
      </c>
      <c r="H70" s="491">
        <f t="shared" si="18"/>
        <v>75</v>
      </c>
      <c r="I70" s="491">
        <f t="shared" si="18"/>
        <v>70</v>
      </c>
      <c r="J70" s="491">
        <f t="shared" si="18"/>
        <v>65</v>
      </c>
      <c r="K70" s="491">
        <f t="shared" si="18"/>
        <v>60</v>
      </c>
      <c r="L70" s="491">
        <f t="shared" si="18"/>
        <v>55</v>
      </c>
      <c r="M70" s="492">
        <f t="shared" si="18"/>
        <v>50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1690</v>
      </c>
      <c r="B77" s="475" t="s">
        <v>1821</v>
      </c>
      <c r="C77" s="520" t="s">
        <v>1721</v>
      </c>
      <c r="D77" s="520" t="s">
        <v>1722</v>
      </c>
      <c r="E77" s="520" t="s">
        <v>1723</v>
      </c>
      <c r="F77" s="520" t="s">
        <v>1724</v>
      </c>
      <c r="G77" s="520" t="s">
        <v>1725</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98</v>
      </c>
      <c r="E78" s="491">
        <f>D78-$K15</f>
        <v>96</v>
      </c>
      <c r="F78" s="491">
        <f>E78-$K15</f>
        <v>94</v>
      </c>
      <c r="G78" s="491">
        <f>F78-$K15</f>
        <v>92</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1726</v>
      </c>
      <c r="C79" s="525" t="s">
        <v>1721</v>
      </c>
      <c r="D79" s="525" t="s">
        <v>1722</v>
      </c>
      <c r="E79" s="525" t="s">
        <v>1723</v>
      </c>
      <c r="F79" s="525" t="s">
        <v>1724</v>
      </c>
      <c r="G79" s="525" t="s">
        <v>1725</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98</v>
      </c>
      <c r="E80" s="491">
        <f>D80-$K17</f>
        <v>96</v>
      </c>
      <c r="F80" s="491">
        <f>E80-$K17</f>
        <v>94</v>
      </c>
      <c r="G80" s="491">
        <f>F80-$K17</f>
        <v>92</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1727</v>
      </c>
      <c r="C81" s="525" t="s">
        <v>1721</v>
      </c>
      <c r="D81" s="525" t="s">
        <v>1722</v>
      </c>
      <c r="E81" s="525" t="s">
        <v>1723</v>
      </c>
      <c r="F81" s="525" t="s">
        <v>1724</v>
      </c>
      <c r="G81" s="525" t="s">
        <v>1725</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98</v>
      </c>
      <c r="E82" s="491">
        <f>D82-$K19</f>
        <v>96</v>
      </c>
      <c r="F82" s="491">
        <f>E82-$K19</f>
        <v>94</v>
      </c>
      <c r="G82" s="491">
        <f>F82-$K19</f>
        <v>92</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1813</v>
      </c>
      <c r="C83" s="605" t="s">
        <v>1799</v>
      </c>
      <c r="D83" s="605" t="s">
        <v>1800</v>
      </c>
      <c r="E83" s="605" t="s">
        <v>1801</v>
      </c>
      <c r="F83" s="605" t="s">
        <v>1802</v>
      </c>
      <c r="G83" s="605" t="s">
        <v>1803</v>
      </c>
      <c r="H83" s="486"/>
      <c r="I83" s="486"/>
      <c r="J83" s="486"/>
      <c r="K83" s="486"/>
      <c r="L83" s="486"/>
      <c r="M83" s="1126"/>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99</v>
      </c>
      <c r="E84" s="491">
        <f>D84-$K21</f>
        <v>98</v>
      </c>
      <c r="F84" s="491">
        <f>E84-$K21</f>
        <v>97</v>
      </c>
      <c r="G84" s="491">
        <f>F84-$K21</f>
        <v>96</v>
      </c>
      <c r="H84" s="605"/>
      <c r="I84" s="605"/>
      <c r="J84" s="605"/>
      <c r="K84" s="605"/>
      <c r="L84" s="605"/>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1822</v>
      </c>
      <c r="C85" s="525" t="s">
        <v>1721</v>
      </c>
      <c r="D85" s="525" t="s">
        <v>1722</v>
      </c>
      <c r="E85" s="525" t="s">
        <v>1723</v>
      </c>
      <c r="F85" s="525" t="s">
        <v>1724</v>
      </c>
      <c r="G85" s="525" t="s">
        <v>1725</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98</v>
      </c>
      <c r="E86" s="491">
        <f>D86-$K23</f>
        <v>96</v>
      </c>
      <c r="F86" s="491">
        <f>E86-$K23</f>
        <v>94</v>
      </c>
      <c r="G86" s="491">
        <f>F86-$K23</f>
        <v>92</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1823</v>
      </c>
      <c r="C87" s="3451" t="s">
        <v>3555</v>
      </c>
      <c r="D87" s="3451" t="s">
        <v>3556</v>
      </c>
      <c r="E87" s="3451" t="s">
        <v>3557</v>
      </c>
      <c r="F87" s="3451" t="s">
        <v>3558</v>
      </c>
      <c r="G87" s="3451" t="s">
        <v>3559</v>
      </c>
      <c r="H87" s="3451" t="s">
        <v>3560</v>
      </c>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98</v>
      </c>
      <c r="E88" s="491">
        <f t="shared" si="19"/>
        <v>96</v>
      </c>
      <c r="F88" s="491">
        <f t="shared" si="19"/>
        <v>94</v>
      </c>
      <c r="G88" s="491">
        <f t="shared" si="19"/>
        <v>92</v>
      </c>
      <c r="H88" s="491">
        <f t="shared" si="19"/>
        <v>90</v>
      </c>
      <c r="I88" s="491">
        <f t="shared" si="19"/>
        <v>88</v>
      </c>
      <c r="J88" s="491">
        <f t="shared" si="19"/>
        <v>86</v>
      </c>
      <c r="K88" s="491">
        <f t="shared" si="19"/>
        <v>84</v>
      </c>
      <c r="L88" s="491">
        <f t="shared" si="19"/>
        <v>82</v>
      </c>
      <c r="M88" s="491">
        <f t="shared" si="19"/>
        <v>80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3451" t="s">
        <v>3500</v>
      </c>
      <c r="D89" s="3451" t="s">
        <v>3501</v>
      </c>
      <c r="E89" s="3451" t="s">
        <v>3502</v>
      </c>
      <c r="F89" s="1923"/>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95</v>
      </c>
      <c r="E90" s="491">
        <f t="shared" ref="E90:M90" si="20">D90-$K27</f>
        <v>90</v>
      </c>
      <c r="F90" s="491">
        <f t="shared" si="20"/>
        <v>85</v>
      </c>
      <c r="G90" s="491">
        <f t="shared" si="20"/>
        <v>80</v>
      </c>
      <c r="H90" s="491">
        <f t="shared" si="20"/>
        <v>75</v>
      </c>
      <c r="I90" s="491">
        <f t="shared" si="20"/>
        <v>70</v>
      </c>
      <c r="J90" s="491">
        <f t="shared" si="20"/>
        <v>65</v>
      </c>
      <c r="K90" s="491">
        <f t="shared" si="20"/>
        <v>60</v>
      </c>
      <c r="L90" s="491">
        <f t="shared" si="20"/>
        <v>55</v>
      </c>
      <c r="M90" s="491">
        <f t="shared" si="20"/>
        <v>50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3451" t="s">
        <v>3561</v>
      </c>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t="str">
        <f>B29</f>
        <v>环线位置</v>
      </c>
      <c r="C93" s="501" t="s">
        <v>3579</v>
      </c>
      <c r="D93" s="501" t="s">
        <v>3580</v>
      </c>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v>100</v>
      </c>
      <c r="D94" s="483">
        <v>95</v>
      </c>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4"/>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1694</v>
      </c>
      <c r="B101" s="475" t="s">
        <v>1736</v>
      </c>
      <c r="C101" s="3453" t="s">
        <v>3529</v>
      </c>
      <c r="D101" s="3453" t="s">
        <v>3565</v>
      </c>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95</v>
      </c>
      <c r="E102" s="491">
        <f t="shared" si="22"/>
        <v>90</v>
      </c>
      <c r="F102" s="491">
        <f t="shared" si="22"/>
        <v>85</v>
      </c>
      <c r="G102" s="491">
        <f t="shared" si="22"/>
        <v>80</v>
      </c>
      <c r="H102" s="491">
        <f t="shared" si="22"/>
        <v>75</v>
      </c>
      <c r="I102" s="491">
        <f t="shared" si="22"/>
        <v>70</v>
      </c>
      <c r="J102" s="491">
        <f t="shared" si="22"/>
        <v>65</v>
      </c>
      <c r="K102" s="491">
        <f t="shared" si="22"/>
        <v>60</v>
      </c>
      <c r="L102" s="491">
        <f t="shared" si="22"/>
        <v>55</v>
      </c>
      <c r="M102" s="492">
        <f t="shared" si="22"/>
        <v>50</v>
      </c>
      <c r="N102" s="2745"/>
      <c r="O102" s="2745"/>
      <c r="P102" s="2753"/>
      <c r="Q102" s="2730"/>
      <c r="R102" s="2716"/>
      <c r="S102" s="2716"/>
      <c r="T102" s="2716"/>
      <c r="U102" s="2716"/>
      <c r="V102" s="2716"/>
      <c r="W102" s="2716"/>
      <c r="X102" s="2716"/>
      <c r="Y102" s="2716"/>
      <c r="Z102" s="2716"/>
      <c r="AA102" s="2716"/>
      <c r="AB102" s="2716"/>
      <c r="AC102" s="2716"/>
    </row>
    <row r="103" spans="1:29" ht="29.25" thickTop="1">
      <c r="A103" s="481"/>
      <c r="B103" s="485" t="s">
        <v>1737</v>
      </c>
      <c r="C103" s="525" t="str">
        <f>C104&amp;"(含)"&amp;"-"&amp;D104</f>
        <v>0(含)-100000</v>
      </c>
      <c r="D103" s="525" t="str">
        <f t="shared" ref="D103:L103" si="23">D104&amp;"(含)"&amp;"-"&amp;E104</f>
        <v>100000(含)-</v>
      </c>
      <c r="E103" s="525" t="str">
        <f t="shared" si="23"/>
        <v>(含)-</v>
      </c>
      <c r="F103" s="525" t="str">
        <f t="shared" si="23"/>
        <v>(含)-</v>
      </c>
      <c r="G103" s="525" t="str">
        <f t="shared" si="23"/>
        <v>(含)-</v>
      </c>
      <c r="H103" s="525" t="str">
        <f t="shared" si="23"/>
        <v>(含)-</v>
      </c>
      <c r="I103" s="525" t="str">
        <f t="shared" si="23"/>
        <v xml:space="preserve">(含)- </v>
      </c>
      <c r="J103" s="525" t="str">
        <f t="shared" si="23"/>
        <v xml:space="preserve"> (含)-</v>
      </c>
      <c r="K103" s="525" t="str">
        <f t="shared" si="23"/>
        <v>(含)-</v>
      </c>
      <c r="L103" s="525" t="str">
        <f t="shared" si="23"/>
        <v>(含)-</v>
      </c>
      <c r="M103" s="567"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v>0</v>
      </c>
      <c r="D104" s="542">
        <v>100000</v>
      </c>
      <c r="E104" s="542"/>
      <c r="F104" s="542"/>
      <c r="G104" s="542"/>
      <c r="H104" s="542"/>
      <c r="I104" s="542"/>
      <c r="J104" s="543" t="s">
        <v>3572</v>
      </c>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483">
        <v>100</v>
      </c>
      <c r="D105" s="483"/>
      <c r="E105" s="483"/>
      <c r="F105" s="483"/>
      <c r="G105" s="483"/>
      <c r="H105" s="483"/>
      <c r="I105" s="483"/>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1738</v>
      </c>
      <c r="C106" s="3451" t="s">
        <v>3503</v>
      </c>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1740</v>
      </c>
      <c r="C108" s="3451" t="s">
        <v>3447</v>
      </c>
      <c r="D108" s="3451" t="s">
        <v>3449</v>
      </c>
      <c r="E108" s="3451" t="s">
        <v>3450</v>
      </c>
      <c r="F108" s="3454" t="s">
        <v>3451</v>
      </c>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8"/>
      <c r="J111" s="568"/>
      <c r="K111" s="569"/>
      <c r="L111" s="570"/>
      <c r="M111" s="571"/>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1824</v>
      </c>
      <c r="C113" s="3451" t="s">
        <v>3504</v>
      </c>
      <c r="D113" s="3451" t="s">
        <v>3505</v>
      </c>
      <c r="E113" s="3451" t="s">
        <v>3506</v>
      </c>
      <c r="F113" s="3451" t="s">
        <v>3507</v>
      </c>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1741</v>
      </c>
      <c r="C115" s="3451" t="s">
        <v>3508</v>
      </c>
      <c r="D115" s="3451" t="s">
        <v>3509</v>
      </c>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1742</v>
      </c>
      <c r="C117" s="501" t="str">
        <f>C83</f>
        <v>七通</v>
      </c>
      <c r="D117" s="501" t="str">
        <f>D83</f>
        <v>六通</v>
      </c>
      <c r="E117" s="501" t="str">
        <f>E83</f>
        <v>五通</v>
      </c>
      <c r="F117" s="501" t="str">
        <f>F83</f>
        <v>四通</v>
      </c>
      <c r="G117" s="501" t="str">
        <f>G83</f>
        <v>三通</v>
      </c>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99</v>
      </c>
      <c r="E118" s="491">
        <f>D118-$K40</f>
        <v>98</v>
      </c>
      <c r="F118" s="491">
        <f>E118-$K40</f>
        <v>97</v>
      </c>
      <c r="G118" s="491">
        <f>F118-$K40</f>
        <v>96</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1" t="s">
        <v>1825</v>
      </c>
      <c r="C119" s="3454" t="s">
        <v>3566</v>
      </c>
      <c r="D119" s="3454" t="s">
        <v>3568</v>
      </c>
      <c r="E119" s="530"/>
      <c r="F119" s="530"/>
      <c r="G119" s="530"/>
      <c r="H119" s="530"/>
      <c r="I119" s="530"/>
      <c r="J119" s="530"/>
      <c r="K119" s="530"/>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1808</v>
      </c>
      <c r="C121" s="3451" t="s">
        <v>3596</v>
      </c>
      <c r="D121" s="3451" t="s">
        <v>3595</v>
      </c>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v>100</v>
      </c>
      <c r="D122" s="507">
        <v>102</v>
      </c>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1744</v>
      </c>
      <c r="C123" s="3451" t="s">
        <v>3447</v>
      </c>
      <c r="D123" s="3451" t="s">
        <v>3449</v>
      </c>
      <c r="E123" s="3451" t="s">
        <v>3450</v>
      </c>
      <c r="F123" s="3454" t="s">
        <v>3451</v>
      </c>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98</v>
      </c>
      <c r="E126" s="491">
        <f>D126-$K44</f>
        <v>96</v>
      </c>
      <c r="F126" s="491">
        <f>E126-$K44</f>
        <v>94</v>
      </c>
      <c r="G126" s="491">
        <f>F126-$K44</f>
        <v>92</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0</v>
      </c>
      <c r="C127" s="3451" t="s">
        <v>3562</v>
      </c>
      <c r="D127" s="3451" t="s">
        <v>3563</v>
      </c>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v>100</v>
      </c>
      <c r="D128" s="483">
        <v>98</v>
      </c>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0</v>
      </c>
      <c r="C129" s="3451" t="s">
        <v>3564</v>
      </c>
      <c r="D129" s="3451" t="s">
        <v>3563</v>
      </c>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v>100</v>
      </c>
      <c r="D130" s="507">
        <v>95</v>
      </c>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0</v>
      </c>
      <c r="C131" s="3451" t="s">
        <v>3564</v>
      </c>
      <c r="D131" s="3451" t="s">
        <v>3563</v>
      </c>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6"/>
      <c r="C132" s="507">
        <v>100</v>
      </c>
      <c r="D132" s="507">
        <v>98</v>
      </c>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6" t="e">
        <f>IF(C2="——",C43,ROUND(B2*10000/D3,0))</f>
        <v>#DIV/0!</v>
      </c>
      <c r="C3" s="354" t="s">
        <v>1768</v>
      </c>
      <c r="D3" s="353">
        <f>IF(D1="",'数据-汇总表'!E3,SUMIF('数据-汇总表'!$C19:$C33,D1,'数据-汇总表'!$E19:$E33))</f>
        <v>0</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01" t="s">
        <v>1770</v>
      </c>
      <c r="D4" s="3702"/>
      <c r="E4" s="3703" t="s">
        <v>1771</v>
      </c>
      <c r="F4" s="3704"/>
      <c r="G4" s="3701" t="s">
        <v>1772</v>
      </c>
      <c r="H4" s="3702"/>
      <c r="I4" s="3701" t="s">
        <v>1773</v>
      </c>
      <c r="J4" s="3702"/>
      <c r="K4" s="557" t="s">
        <v>1774</v>
      </c>
      <c r="L4" s="910"/>
      <c r="M4" s="911"/>
      <c r="N4" s="911"/>
      <c r="O4" s="911"/>
      <c r="P4" s="3705" t="s">
        <v>1775</v>
      </c>
      <c r="Q4" s="3706"/>
      <c r="R4" s="3711" t="s">
        <v>1771</v>
      </c>
      <c r="S4" s="3712"/>
      <c r="T4" s="3711" t="s">
        <v>1772</v>
      </c>
      <c r="U4" s="3712"/>
      <c r="V4" s="3717" t="s">
        <v>1773</v>
      </c>
      <c r="W4" s="3717"/>
      <c r="X4" s="1352"/>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7"/>
      <c r="L5" s="910"/>
      <c r="M5" s="911"/>
      <c r="N5" s="911"/>
      <c r="O5" s="911"/>
      <c r="P5" s="3707"/>
      <c r="Q5" s="3708"/>
      <c r="R5" s="3713"/>
      <c r="S5" s="3714"/>
      <c r="T5" s="3713"/>
      <c r="U5" s="3714"/>
      <c r="V5" s="3717"/>
      <c r="W5" s="3717"/>
      <c r="X5" s="1352"/>
      <c r="Y5" s="3713"/>
      <c r="Z5" s="3714"/>
      <c r="AA5" s="3699"/>
      <c r="AB5" s="3699"/>
      <c r="AC5" s="3699"/>
    </row>
    <row r="6" spans="1:29" ht="15.75" thickBot="1">
      <c r="A6" s="360"/>
      <c r="B6" s="361"/>
      <c r="C6" s="3718" t="s">
        <v>1677</v>
      </c>
      <c r="D6" s="3719"/>
      <c r="E6" s="3725" t="s">
        <v>1677</v>
      </c>
      <c r="F6" s="3726"/>
      <c r="G6" s="3718" t="s">
        <v>1677</v>
      </c>
      <c r="H6" s="3719"/>
      <c r="I6" s="3718" t="s">
        <v>1677</v>
      </c>
      <c r="J6" s="3719"/>
      <c r="K6" s="557" t="s">
        <v>1678</v>
      </c>
      <c r="L6" s="910"/>
      <c r="M6" s="911"/>
      <c r="N6" s="911"/>
      <c r="O6" s="911"/>
      <c r="P6" s="3709"/>
      <c r="Q6" s="3710"/>
      <c r="R6" s="3713"/>
      <c r="S6" s="3714"/>
      <c r="T6" s="3715"/>
      <c r="U6" s="3716"/>
      <c r="V6" s="3717"/>
      <c r="W6" s="3717"/>
      <c r="X6" s="1352"/>
      <c r="Y6" s="3715"/>
      <c r="Z6" s="3716"/>
      <c r="AA6" s="3700"/>
      <c r="AB6" s="3700"/>
      <c r="AC6" s="3700"/>
    </row>
    <row r="7" spans="1:29" s="108" customFormat="1" ht="15.75" thickBot="1">
      <c r="A7" s="362" t="s">
        <v>1679</v>
      </c>
      <c r="B7" s="363"/>
      <c r="C7" s="364">
        <f>'数据-取费表'!B2</f>
        <v>45076</v>
      </c>
      <c r="D7" s="365">
        <v>100</v>
      </c>
      <c r="E7" s="366">
        <f>C7</f>
        <v>45076</v>
      </c>
      <c r="F7" s="367">
        <f>SUMIF(52:52,YEAR(E7)&amp;"-"&amp;MONTH(E7),53:53)</f>
        <v>100</v>
      </c>
      <c r="G7" s="366">
        <f>C7</f>
        <v>45076</v>
      </c>
      <c r="H7" s="365">
        <f>SUMIF(52:52,YEAR(G7)&amp;"-"&amp;MONTH(G7),53:53)</f>
        <v>100</v>
      </c>
      <c r="I7" s="366">
        <f>C7</f>
        <v>45076</v>
      </c>
      <c r="J7" s="365">
        <f>SUMIF(52:52,YEAR(I7)&amp;"-"&amp;MONTH(I7),53:53)</f>
        <v>100</v>
      </c>
      <c r="K7" s="558"/>
      <c r="L7" s="912"/>
      <c r="M7" s="913"/>
      <c r="N7" s="913"/>
      <c r="O7" s="913"/>
      <c r="P7" s="3722" t="s">
        <v>1680</v>
      </c>
      <c r="Q7" s="3724"/>
      <c r="R7" s="698" t="s">
        <v>14</v>
      </c>
      <c r="S7" s="699">
        <f t="shared" ref="S7:S15" si="0">F7</f>
        <v>100</v>
      </c>
      <c r="T7" s="698" t="s">
        <v>14</v>
      </c>
      <c r="U7" s="699">
        <f t="shared" ref="U7:U15" si="1">H7</f>
        <v>100</v>
      </c>
      <c r="V7" s="698" t="s">
        <v>14</v>
      </c>
      <c r="W7" s="699">
        <f t="shared" ref="W7:W15" si="2">J7</f>
        <v>100</v>
      </c>
      <c r="X7" s="700"/>
      <c r="Y7" s="3722" t="s">
        <v>1680</v>
      </c>
      <c r="Z7" s="3723"/>
      <c r="AA7" s="701">
        <f>D7/F7</f>
        <v>1</v>
      </c>
      <c r="AB7" s="701">
        <f>D7/H7</f>
        <v>1</v>
      </c>
      <c r="AC7" s="701">
        <f>D7/J7</f>
        <v>1</v>
      </c>
    </row>
    <row r="8" spans="1:29" s="108" customFormat="1" ht="15.75" thickBot="1">
      <c r="A8" s="362" t="s">
        <v>1681</v>
      </c>
      <c r="B8" s="363"/>
      <c r="C8" s="368" t="s">
        <v>3400</v>
      </c>
      <c r="D8" s="365">
        <v>100</v>
      </c>
      <c r="E8" s="368" t="s">
        <v>3412</v>
      </c>
      <c r="F8" s="367">
        <f>SUMIF(55:55,E8,56:56)-SUMIF(55:55,C8,56:56)+100</f>
        <v>102</v>
      </c>
      <c r="G8" s="368" t="s">
        <v>3412</v>
      </c>
      <c r="H8" s="365">
        <f>SUMIF(55:55,G8,56:56)-SUMIF(55:55,C8,56:56)+100</f>
        <v>102</v>
      </c>
      <c r="I8" s="368" t="s">
        <v>3412</v>
      </c>
      <c r="J8" s="365">
        <f>SUMIF(55:55,I8,56:56)-SUMIF(55:55,C8,56:56)+100</f>
        <v>102</v>
      </c>
      <c r="K8" s="558"/>
      <c r="L8" s="912"/>
      <c r="M8" s="913"/>
      <c r="N8" s="913"/>
      <c r="O8" s="913"/>
      <c r="P8" s="3722" t="s">
        <v>1683</v>
      </c>
      <c r="Q8" s="3723"/>
      <c r="R8" s="698" t="s">
        <v>14</v>
      </c>
      <c r="S8" s="699">
        <f t="shared" si="0"/>
        <v>102</v>
      </c>
      <c r="T8" s="698" t="s">
        <v>14</v>
      </c>
      <c r="U8" s="699">
        <f t="shared" si="1"/>
        <v>102</v>
      </c>
      <c r="V8" s="698" t="s">
        <v>14</v>
      </c>
      <c r="W8" s="699">
        <f t="shared" si="2"/>
        <v>102</v>
      </c>
      <c r="X8" s="700"/>
      <c r="Y8" s="3722" t="s">
        <v>1683</v>
      </c>
      <c r="Z8" s="3723"/>
      <c r="AA8" s="701">
        <f t="shared" ref="AA8:AA40" si="3">D8/F8</f>
        <v>0.98039215686274506</v>
      </c>
      <c r="AB8" s="701">
        <f t="shared" ref="AB8:AB40" si="4">D8/H8</f>
        <v>0.98039215686274506</v>
      </c>
      <c r="AC8" s="701">
        <f t="shared" ref="AC8:AC40" si="5">D8/J8</f>
        <v>0.98039215686274506</v>
      </c>
    </row>
    <row r="9" spans="1:29" s="108" customFormat="1">
      <c r="A9" s="369" t="s">
        <v>1684</v>
      </c>
      <c r="B9" s="63" t="s">
        <v>1685</v>
      </c>
      <c r="C9" s="3456" t="s">
        <v>3528</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86" t="s">
        <v>1686</v>
      </c>
      <c r="Q9" s="1340" t="str">
        <f t="shared" ref="Q9:Q15" si="6">B9</f>
        <v>用途</v>
      </c>
      <c r="R9" s="698" t="s">
        <v>14</v>
      </c>
      <c r="S9" s="699">
        <f t="shared" si="0"/>
        <v>100</v>
      </c>
      <c r="T9" s="698" t="s">
        <v>14</v>
      </c>
      <c r="U9" s="699">
        <f t="shared" si="1"/>
        <v>100</v>
      </c>
      <c r="V9" s="698" t="s">
        <v>14</v>
      </c>
      <c r="W9" s="699">
        <f t="shared" si="2"/>
        <v>100</v>
      </c>
      <c r="X9" s="700"/>
      <c r="Y9" s="3561" t="s">
        <v>1687</v>
      </c>
      <c r="Z9" s="52" t="str">
        <f t="shared" ref="Z9:Z15" si="7">Q9</f>
        <v>用途</v>
      </c>
      <c r="AA9" s="701">
        <f t="shared" si="3"/>
        <v>1</v>
      </c>
      <c r="AB9" s="701">
        <f t="shared" si="4"/>
        <v>1</v>
      </c>
      <c r="AC9" s="701">
        <f t="shared" si="5"/>
        <v>1</v>
      </c>
    </row>
    <row r="10" spans="1:29" s="378" customFormat="1" ht="27">
      <c r="A10" s="374"/>
      <c r="B10" s="375" t="s">
        <v>1688</v>
      </c>
      <c r="C10" s="3425"/>
      <c r="D10" s="127">
        <v>100</v>
      </c>
      <c r="E10" s="3425"/>
      <c r="F10" s="127">
        <f>SUMIF(59:59,E10,60:60)-SUMIF(59:59,C10,60:60)+100</f>
        <v>100</v>
      </c>
      <c r="G10" s="3426"/>
      <c r="H10" s="127">
        <f>SUMIF(59:59,G10,60:60)-SUMIF(59:59,C10,60:60)+100</f>
        <v>100</v>
      </c>
      <c r="I10" s="3425"/>
      <c r="J10" s="127">
        <f>SUMIF(59:59,I10,60:60)-SUMIF(59:59,C10,60:60)+100</f>
        <v>100</v>
      </c>
      <c r="K10" s="558"/>
      <c r="L10" s="915"/>
      <c r="M10" s="916"/>
      <c r="N10" s="916"/>
      <c r="O10" s="917"/>
      <c r="P10" s="3686"/>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86"/>
      <c r="Q11" s="1340" t="str">
        <f t="shared" si="6"/>
        <v>容积率</v>
      </c>
      <c r="R11" s="698" t="s">
        <v>14</v>
      </c>
      <c r="S11" s="699">
        <f t="shared" si="0"/>
        <v>100</v>
      </c>
      <c r="T11" s="698" t="s">
        <v>14</v>
      </c>
      <c r="U11" s="699">
        <f t="shared" si="1"/>
        <v>100</v>
      </c>
      <c r="V11" s="698" t="s">
        <v>14</v>
      </c>
      <c r="W11" s="699">
        <f t="shared" si="2"/>
        <v>100</v>
      </c>
      <c r="X11" s="700"/>
      <c r="Y11" s="3561"/>
      <c r="Z11" s="52" t="str">
        <f t="shared" si="7"/>
        <v>容积率</v>
      </c>
      <c r="AA11" s="701">
        <f t="shared" si="3"/>
        <v>1</v>
      </c>
      <c r="AB11" s="701">
        <f t="shared" si="4"/>
        <v>1</v>
      </c>
      <c r="AC11" s="701">
        <f t="shared" si="5"/>
        <v>1</v>
      </c>
    </row>
    <row r="12" spans="1:29" s="108" customFormat="1" ht="15" hidden="1">
      <c r="A12" s="382"/>
      <c r="B12" s="1890">
        <v>111</v>
      </c>
      <c r="C12" s="383"/>
      <c r="D12" s="384">
        <v>100</v>
      </c>
      <c r="E12" s="385"/>
      <c r="F12" s="127">
        <f>SUMIF(64:64,E12,65:65)-SUMIF(64:64,C12,65:65)+100</f>
        <v>100</v>
      </c>
      <c r="G12" s="1966"/>
      <c r="H12" s="127">
        <f>SUMIF(64:64,G12,65:65)-SUMIF(64:64,C12,65:65)+100</f>
        <v>100</v>
      </c>
      <c r="I12" s="420"/>
      <c r="J12" s="127">
        <f>SUMIF(64:64,I12,65:65)-SUMIF(64:64,C12,65:65)+100</f>
        <v>100</v>
      </c>
      <c r="K12" s="560"/>
      <c r="L12" s="912"/>
      <c r="M12" s="913"/>
      <c r="N12" s="913"/>
      <c r="O12" s="914"/>
      <c r="P12" s="3686"/>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 hidden="1">
      <c r="A13" s="379"/>
      <c r="B13" s="1890">
        <v>111</v>
      </c>
      <c r="C13" s="385"/>
      <c r="D13" s="386">
        <v>100</v>
      </c>
      <c r="E13" s="385"/>
      <c r="F13" s="127">
        <f>SUMIF(66:66,E13,67:67)-SUMIF(66:66,C13,67:67)+100</f>
        <v>100</v>
      </c>
      <c r="G13" s="1966"/>
      <c r="H13" s="386">
        <f>SUMIF(66:66,G13,67:67)-SUMIF(66:66,C13,67:67)+100</f>
        <v>100</v>
      </c>
      <c r="I13" s="420"/>
      <c r="J13" s="386">
        <f>SUMIF(66:66,I13,67:67)-SUMIF(66:66,C13,67:67)+100</f>
        <v>100</v>
      </c>
      <c r="K13" s="560"/>
      <c r="L13" s="920"/>
      <c r="M13" s="911"/>
      <c r="N13" s="911"/>
      <c r="O13" s="919"/>
      <c r="P13" s="3686"/>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75" hidden="1" thickBot="1">
      <c r="A14" s="387"/>
      <c r="B14" s="1892">
        <v>111</v>
      </c>
      <c r="C14" s="388"/>
      <c r="D14" s="389">
        <v>100</v>
      </c>
      <c r="E14" s="388"/>
      <c r="F14" s="389">
        <f>SUMIF(68:68,E14,69:69)-SUMIF(68:68,C14,69:69)+100</f>
        <v>100</v>
      </c>
      <c r="G14" s="1966"/>
      <c r="H14" s="389">
        <f>SUMIF(68:68,G14,69:69)-SUMIF(68:68,C14,69:69)+100</f>
        <v>100</v>
      </c>
      <c r="I14" s="420"/>
      <c r="J14" s="389">
        <f>SUMIF(68:68,I14,69:69)-SUMIF(68:68,C14,69:69)+100</f>
        <v>100</v>
      </c>
      <c r="K14" s="560"/>
      <c r="L14" s="920"/>
      <c r="M14" s="911"/>
      <c r="N14" s="911"/>
      <c r="O14" s="919"/>
      <c r="P14" s="3686"/>
      <c r="Q14" s="1340">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701">
        <f t="shared" si="5"/>
        <v>1</v>
      </c>
    </row>
    <row r="15" spans="1:29" ht="15">
      <c r="A15" s="391" t="s">
        <v>1690</v>
      </c>
      <c r="B15" s="61" t="s">
        <v>1827</v>
      </c>
      <c r="C15" s="1967" t="str">
        <f>估价对象房地状况!G3</f>
        <v>较好</v>
      </c>
      <c r="D15" s="392">
        <v>100</v>
      </c>
      <c r="E15" s="393" t="s">
        <v>3386</v>
      </c>
      <c r="F15" s="394">
        <f>SUMIF(70:70,E16,71:71)-SUMIF(70:70,C16,71:71)+100</f>
        <v>100</v>
      </c>
      <c r="G15" s="393" t="s">
        <v>3386</v>
      </c>
      <c r="H15" s="392">
        <f>SUMIF(70:70,G16,71:71)-SUMIF(70:70,C16,71:71)+100</f>
        <v>100</v>
      </c>
      <c r="I15" s="393" t="s">
        <v>3386</v>
      </c>
      <c r="J15" s="392">
        <f>SUMIF(70:70,I16,71:71)-SUMIF(70:70,C16,71:71)+100</f>
        <v>100</v>
      </c>
      <c r="K15" s="561">
        <v>2</v>
      </c>
      <c r="L15" s="920"/>
      <c r="M15" s="911"/>
      <c r="N15" s="911"/>
      <c r="O15" s="919"/>
      <c r="P15" s="3688" t="s">
        <v>1691</v>
      </c>
      <c r="Q15" s="1349" t="str">
        <f t="shared" si="6"/>
        <v>产业集聚程度</v>
      </c>
      <c r="R15" s="702" t="s">
        <v>14</v>
      </c>
      <c r="S15" s="703">
        <f t="shared" si="0"/>
        <v>100</v>
      </c>
      <c r="T15" s="702" t="s">
        <v>14</v>
      </c>
      <c r="U15" s="703">
        <f t="shared" si="1"/>
        <v>100</v>
      </c>
      <c r="V15" s="702" t="s">
        <v>14</v>
      </c>
      <c r="W15" s="703">
        <f t="shared" si="2"/>
        <v>100</v>
      </c>
      <c r="X15" s="1352"/>
      <c r="Y15" s="3688" t="s">
        <v>1691</v>
      </c>
      <c r="Z15" s="1353" t="str">
        <f t="shared" si="7"/>
        <v>产业集聚程度</v>
      </c>
      <c r="AA15" s="1350">
        <f t="shared" si="3"/>
        <v>1</v>
      </c>
      <c r="AB15" s="1350">
        <f t="shared" si="4"/>
        <v>1</v>
      </c>
      <c r="AC15" s="1350">
        <f t="shared" si="5"/>
        <v>1</v>
      </c>
    </row>
    <row r="16" spans="1:29" ht="15">
      <c r="A16" s="379"/>
      <c r="B16" s="397"/>
      <c r="C16" s="398" t="s">
        <v>3386</v>
      </c>
      <c r="D16" s="399"/>
      <c r="E16" s="398" t="s">
        <v>3386</v>
      </c>
      <c r="F16" s="400"/>
      <c r="G16" s="398" t="s">
        <v>3386</v>
      </c>
      <c r="H16" s="401"/>
      <c r="I16" s="398" t="s">
        <v>3386</v>
      </c>
      <c r="J16" s="399"/>
      <c r="K16" s="562"/>
      <c r="L16" s="920"/>
      <c r="M16" s="911"/>
      <c r="N16" s="911"/>
      <c r="O16" s="919"/>
      <c r="P16" s="3689"/>
      <c r="Q16" s="1349"/>
      <c r="R16" s="702"/>
      <c r="S16" s="703"/>
      <c r="T16" s="702"/>
      <c r="U16" s="703"/>
      <c r="V16" s="702"/>
      <c r="W16" s="703"/>
      <c r="X16" s="1352"/>
      <c r="Y16" s="3689"/>
      <c r="Z16" s="1353"/>
      <c r="AA16" s="1350">
        <v>1</v>
      </c>
      <c r="AB16" s="1350">
        <v>1</v>
      </c>
      <c r="AC16" s="1350">
        <v>1</v>
      </c>
    </row>
    <row r="17" spans="1:29" ht="15">
      <c r="A17" s="379"/>
      <c r="B17" s="402" t="s">
        <v>1259</v>
      </c>
      <c r="C17" s="1897" t="str">
        <f>估价对象房地状况!G4</f>
        <v>较好</v>
      </c>
      <c r="D17" s="401">
        <v>100</v>
      </c>
      <c r="E17" s="403" t="s">
        <v>3386</v>
      </c>
      <c r="F17" s="404">
        <f>SUMIF(72:72,E18,73:73)-SUMIF(72:72,C18,73:73)+100</f>
        <v>100</v>
      </c>
      <c r="G17" s="403" t="s">
        <v>3386</v>
      </c>
      <c r="H17" s="406">
        <f>SUMIF(72:72,G18,73:73)-SUMIF(72:72,C18,73:73)+100</f>
        <v>100</v>
      </c>
      <c r="I17" s="403" t="s">
        <v>3386</v>
      </c>
      <c r="J17" s="406">
        <f>SUMIF(72:72,I18,73:73)-SUMIF(72:72,C18,73:73)+100</f>
        <v>100</v>
      </c>
      <c r="K17" s="561">
        <v>2</v>
      </c>
      <c r="L17" s="920"/>
      <c r="M17" s="911"/>
      <c r="N17" s="911"/>
      <c r="O17" s="919"/>
      <c r="P17" s="3689"/>
      <c r="Q17" s="1349" t="str">
        <f>B17</f>
        <v>交通便捷度</v>
      </c>
      <c r="R17" s="702" t="s">
        <v>14</v>
      </c>
      <c r="S17" s="703">
        <f>F17</f>
        <v>100</v>
      </c>
      <c r="T17" s="702" t="s">
        <v>14</v>
      </c>
      <c r="U17" s="703">
        <f>H17</f>
        <v>100</v>
      </c>
      <c r="V17" s="702" t="s">
        <v>14</v>
      </c>
      <c r="W17" s="703">
        <f>J17</f>
        <v>100</v>
      </c>
      <c r="X17" s="1352"/>
      <c r="Y17" s="3689"/>
      <c r="Z17" s="1353" t="str">
        <f>Q17</f>
        <v>交通便捷度</v>
      </c>
      <c r="AA17" s="1350">
        <f t="shared" si="3"/>
        <v>1</v>
      </c>
      <c r="AB17" s="1350">
        <f t="shared" si="4"/>
        <v>1</v>
      </c>
      <c r="AC17" s="1350">
        <f t="shared" si="5"/>
        <v>1</v>
      </c>
    </row>
    <row r="18" spans="1:29" ht="15">
      <c r="A18" s="379"/>
      <c r="B18" s="407"/>
      <c r="C18" s="1898" t="s">
        <v>3386</v>
      </c>
      <c r="D18" s="401"/>
      <c r="E18" s="1900" t="s">
        <v>3386</v>
      </c>
      <c r="F18" s="404"/>
      <c r="G18" s="1900" t="s">
        <v>3386</v>
      </c>
      <c r="H18" s="399"/>
      <c r="I18" s="1900" t="s">
        <v>3386</v>
      </c>
      <c r="J18" s="399"/>
      <c r="K18" s="562"/>
      <c r="L18" s="920"/>
      <c r="M18" s="911"/>
      <c r="N18" s="911"/>
      <c r="O18" s="919"/>
      <c r="P18" s="3689"/>
      <c r="Q18" s="1349"/>
      <c r="R18" s="702"/>
      <c r="S18" s="703"/>
      <c r="T18" s="702"/>
      <c r="U18" s="703"/>
      <c r="V18" s="702"/>
      <c r="W18" s="703"/>
      <c r="X18" s="1352"/>
      <c r="Y18" s="3689"/>
      <c r="Z18" s="1353"/>
      <c r="AA18" s="1350">
        <v>1</v>
      </c>
      <c r="AB18" s="1350">
        <v>1</v>
      </c>
      <c r="AC18" s="1350">
        <v>1</v>
      </c>
    </row>
    <row r="19" spans="1:29" ht="15">
      <c r="A19" s="379"/>
      <c r="B19" s="402" t="s">
        <v>1812</v>
      </c>
      <c r="C19" s="1897" t="str">
        <f>估价对象房地状况!G5</f>
        <v>较好</v>
      </c>
      <c r="D19" s="406">
        <v>100</v>
      </c>
      <c r="E19" s="408" t="s">
        <v>3386</v>
      </c>
      <c r="F19" s="409">
        <f>SUMIF(74:74,E20,75:75)-SUMIF(74:74,C20,75:75)+100</f>
        <v>100</v>
      </c>
      <c r="G19" s="408" t="s">
        <v>3386</v>
      </c>
      <c r="H19" s="401">
        <f>SUMIF(74:74,G20,75:75)-SUMIF(74:74,C20,75:75)+100</f>
        <v>100</v>
      </c>
      <c r="I19" s="408" t="s">
        <v>3386</v>
      </c>
      <c r="J19" s="401">
        <f>SUMIF(74:74,I20,75:75)-SUMIF(74:74,C20,75:75)+100</f>
        <v>100</v>
      </c>
      <c r="K19" s="561">
        <v>2</v>
      </c>
      <c r="L19" s="920"/>
      <c r="M19" s="911"/>
      <c r="N19" s="911"/>
      <c r="O19" s="919"/>
      <c r="P19" s="3689"/>
      <c r="Q19" s="1349" t="str">
        <f>B19</f>
        <v>公共配套设施</v>
      </c>
      <c r="R19" s="702" t="s">
        <v>14</v>
      </c>
      <c r="S19" s="703">
        <f>F19</f>
        <v>100</v>
      </c>
      <c r="T19" s="702" t="s">
        <v>14</v>
      </c>
      <c r="U19" s="703">
        <f>H19</f>
        <v>100</v>
      </c>
      <c r="V19" s="702" t="s">
        <v>14</v>
      </c>
      <c r="W19" s="703">
        <f>J19</f>
        <v>100</v>
      </c>
      <c r="X19" s="1352"/>
      <c r="Y19" s="3689"/>
      <c r="Z19" s="1353" t="str">
        <f>Q19</f>
        <v>公共配套设施</v>
      </c>
      <c r="AA19" s="1350">
        <f t="shared" si="3"/>
        <v>1</v>
      </c>
      <c r="AB19" s="1350">
        <f t="shared" si="4"/>
        <v>1</v>
      </c>
      <c r="AC19" s="1350">
        <f t="shared" si="5"/>
        <v>1</v>
      </c>
    </row>
    <row r="20" spans="1:29" ht="15">
      <c r="A20" s="379"/>
      <c r="B20" s="407"/>
      <c r="C20" s="398" t="s">
        <v>3386</v>
      </c>
      <c r="D20" s="399"/>
      <c r="E20" s="1895" t="s">
        <v>3386</v>
      </c>
      <c r="F20" s="400"/>
      <c r="G20" s="1895" t="s">
        <v>3386</v>
      </c>
      <c r="H20" s="399"/>
      <c r="I20" s="1895" t="s">
        <v>3386</v>
      </c>
      <c r="J20" s="399"/>
      <c r="K20" s="562"/>
      <c r="L20" s="920"/>
      <c r="M20" s="911"/>
      <c r="N20" s="911"/>
      <c r="O20" s="919"/>
      <c r="P20" s="3689"/>
      <c r="Q20" s="1349"/>
      <c r="R20" s="702"/>
      <c r="S20" s="703"/>
      <c r="T20" s="702"/>
      <c r="U20" s="703"/>
      <c r="V20" s="702"/>
      <c r="W20" s="703"/>
      <c r="X20" s="1352"/>
      <c r="Y20" s="3689"/>
      <c r="Z20" s="1353"/>
      <c r="AA20" s="1350">
        <v>1</v>
      </c>
      <c r="AB20" s="1350">
        <v>1</v>
      </c>
      <c r="AC20" s="1350">
        <v>1</v>
      </c>
    </row>
    <row r="21" spans="1:29" ht="15">
      <c r="A21" s="379"/>
      <c r="B21" s="1128" t="s">
        <v>1813</v>
      </c>
      <c r="C21" s="1897" t="str">
        <f>估价对象房地状况!G6</f>
        <v>七通</v>
      </c>
      <c r="D21" s="401">
        <v>100</v>
      </c>
      <c r="E21" s="408" t="s">
        <v>3390</v>
      </c>
      <c r="F21" s="409">
        <f>SUMIF(76:76,E22,77:77)-SUMIF(76:76,C22,77:77)+100</f>
        <v>100</v>
      </c>
      <c r="G21" s="408" t="s">
        <v>3390</v>
      </c>
      <c r="H21" s="401">
        <f>SUMIF(76:76,G22,77:77)-SUMIF(76:76,C22,77:77)+100</f>
        <v>100</v>
      </c>
      <c r="I21" s="408" t="s">
        <v>3390</v>
      </c>
      <c r="J21" s="401">
        <f>SUMIF(76:76,I22,77:77)-SUMIF(76:76,C22,77:77)+100</f>
        <v>100</v>
      </c>
      <c r="K21" s="561">
        <v>1</v>
      </c>
      <c r="L21" s="920"/>
      <c r="M21" s="911"/>
      <c r="N21" s="911"/>
      <c r="O21" s="919"/>
      <c r="P21" s="3689"/>
      <c r="Q21" s="1349" t="str">
        <f>B21</f>
        <v>基础设施水平</v>
      </c>
      <c r="R21" s="702" t="s">
        <v>14</v>
      </c>
      <c r="S21" s="703">
        <f>F21</f>
        <v>100</v>
      </c>
      <c r="T21" s="702" t="s">
        <v>14</v>
      </c>
      <c r="U21" s="703">
        <f>H21</f>
        <v>100</v>
      </c>
      <c r="V21" s="702" t="s">
        <v>14</v>
      </c>
      <c r="W21" s="703">
        <f>J21</f>
        <v>100</v>
      </c>
      <c r="X21" s="1352"/>
      <c r="Y21" s="3689"/>
      <c r="Z21" s="1353" t="str">
        <f>Q21</f>
        <v>基础设施水平</v>
      </c>
      <c r="AA21" s="1350">
        <f t="shared" ref="AA21" si="8">D21/F21</f>
        <v>1</v>
      </c>
      <c r="AB21" s="1350">
        <f t="shared" ref="AB21" si="9">D21/H21</f>
        <v>1</v>
      </c>
      <c r="AC21" s="1350">
        <f t="shared" ref="AC21" si="10">D21/J21</f>
        <v>1</v>
      </c>
    </row>
    <row r="22" spans="1:29" ht="15">
      <c r="A22" s="379"/>
      <c r="B22" s="1128"/>
      <c r="C22" s="1898" t="s">
        <v>3390</v>
      </c>
      <c r="D22" s="399"/>
      <c r="E22" s="398" t="s">
        <v>3390</v>
      </c>
      <c r="F22" s="400"/>
      <c r="G22" s="398" t="s">
        <v>3390</v>
      </c>
      <c r="H22" s="399"/>
      <c r="I22" s="398" t="s">
        <v>3390</v>
      </c>
      <c r="J22" s="399"/>
      <c r="K22" s="1127"/>
      <c r="L22" s="920"/>
      <c r="M22" s="911"/>
      <c r="N22" s="911"/>
      <c r="O22" s="919"/>
      <c r="P22" s="3689"/>
      <c r="Q22" s="1349"/>
      <c r="R22" s="702"/>
      <c r="S22" s="703"/>
      <c r="T22" s="702"/>
      <c r="U22" s="703"/>
      <c r="V22" s="702"/>
      <c r="W22" s="703"/>
      <c r="X22" s="1352"/>
      <c r="Y22" s="3689"/>
      <c r="Z22" s="1353"/>
      <c r="AA22" s="1350">
        <v>1</v>
      </c>
      <c r="AB22" s="1350">
        <v>1</v>
      </c>
      <c r="AC22" s="1350">
        <v>1</v>
      </c>
    </row>
    <row r="23" spans="1:29" ht="15">
      <c r="A23" s="379"/>
      <c r="B23" s="402" t="s">
        <v>1814</v>
      </c>
      <c r="C23" s="1897" t="str">
        <f>估价对象房地状况!G7</f>
        <v>较好</v>
      </c>
      <c r="D23" s="401">
        <v>100</v>
      </c>
      <c r="E23" s="403" t="s">
        <v>3386</v>
      </c>
      <c r="F23" s="404">
        <f>SUMIF(78:78,E24,79:79)-SUMIF(78:78,C24,79:79)+100</f>
        <v>100</v>
      </c>
      <c r="G23" s="403" t="s">
        <v>3386</v>
      </c>
      <c r="H23" s="401">
        <f>SUMIF(78:78,G24,79:79)-SUMIF(78:78,C24,79:79)+100</f>
        <v>100</v>
      </c>
      <c r="I23" s="403" t="s">
        <v>3386</v>
      </c>
      <c r="J23" s="401">
        <f>SUMIF(78:78,I24,79:79)-SUMIF(78:78,C24,79:79)+100</f>
        <v>100</v>
      </c>
      <c r="K23" s="561">
        <v>2</v>
      </c>
      <c r="L23" s="920"/>
      <c r="M23" s="911"/>
      <c r="N23" s="911"/>
      <c r="O23" s="919"/>
      <c r="P23" s="3689"/>
      <c r="Q23" s="1349" t="str">
        <f>B23</f>
        <v>环境质量</v>
      </c>
      <c r="R23" s="702" t="s">
        <v>14</v>
      </c>
      <c r="S23" s="703">
        <f>F23</f>
        <v>100</v>
      </c>
      <c r="T23" s="702" t="s">
        <v>14</v>
      </c>
      <c r="U23" s="703">
        <f>H23</f>
        <v>100</v>
      </c>
      <c r="V23" s="702" t="s">
        <v>14</v>
      </c>
      <c r="W23" s="703">
        <f>J23</f>
        <v>100</v>
      </c>
      <c r="X23" s="1352"/>
      <c r="Y23" s="3689"/>
      <c r="Z23" s="1353" t="str">
        <f>Q23</f>
        <v>环境质量</v>
      </c>
      <c r="AA23" s="1350">
        <f t="shared" si="3"/>
        <v>1</v>
      </c>
      <c r="AB23" s="1350">
        <f t="shared" si="4"/>
        <v>1</v>
      </c>
      <c r="AC23" s="1350">
        <f t="shared" si="5"/>
        <v>1</v>
      </c>
    </row>
    <row r="24" spans="1:29" ht="15.75" thickBot="1">
      <c r="A24" s="379"/>
      <c r="B24" s="1128"/>
      <c r="C24" s="398" t="s">
        <v>3386</v>
      </c>
      <c r="D24" s="399"/>
      <c r="E24" s="1895" t="s">
        <v>3386</v>
      </c>
      <c r="F24" s="400"/>
      <c r="G24" s="1895" t="s">
        <v>3386</v>
      </c>
      <c r="H24" s="399"/>
      <c r="I24" s="1895" t="s">
        <v>3386</v>
      </c>
      <c r="J24" s="399"/>
      <c r="K24" s="562"/>
      <c r="L24" s="920"/>
      <c r="M24" s="911"/>
      <c r="N24" s="911"/>
      <c r="O24" s="919"/>
      <c r="P24" s="3689"/>
      <c r="Q24" s="1349"/>
      <c r="R24" s="702"/>
      <c r="S24" s="703"/>
      <c r="T24" s="702"/>
      <c r="U24" s="703"/>
      <c r="V24" s="702"/>
      <c r="W24" s="703"/>
      <c r="X24" s="1352"/>
      <c r="Y24" s="3689"/>
      <c r="Z24" s="1353"/>
      <c r="AA24" s="1350">
        <v>1</v>
      </c>
      <c r="AB24" s="1350">
        <v>1</v>
      </c>
      <c r="AC24" s="1350">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89"/>
      <c r="Q25" s="1349">
        <f>B25</f>
        <v>111</v>
      </c>
      <c r="R25" s="702" t="s">
        <v>14</v>
      </c>
      <c r="S25" s="703">
        <f>F25</f>
        <v>100</v>
      </c>
      <c r="T25" s="702" t="s">
        <v>14</v>
      </c>
      <c r="U25" s="703">
        <f>H25</f>
        <v>100</v>
      </c>
      <c r="V25" s="702" t="s">
        <v>14</v>
      </c>
      <c r="W25" s="703">
        <f>J25</f>
        <v>100</v>
      </c>
      <c r="X25" s="1352"/>
      <c r="Y25" s="3689"/>
      <c r="Z25" s="1353">
        <f>Q25</f>
        <v>111</v>
      </c>
      <c r="AA25" s="1350">
        <f t="shared" si="3"/>
        <v>1</v>
      </c>
      <c r="AB25" s="1350">
        <f t="shared" si="4"/>
        <v>1</v>
      </c>
      <c r="AC25" s="1350">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89"/>
      <c r="Q26" s="1349">
        <f t="shared" ref="Q26:Q40" si="11">B26</f>
        <v>111</v>
      </c>
      <c r="R26" s="702" t="s">
        <v>14</v>
      </c>
      <c r="S26" s="703">
        <f>F26</f>
        <v>100</v>
      </c>
      <c r="T26" s="702" t="s">
        <v>14</v>
      </c>
      <c r="U26" s="703">
        <f>H26</f>
        <v>100</v>
      </c>
      <c r="V26" s="702" t="s">
        <v>14</v>
      </c>
      <c r="W26" s="703">
        <f>J26</f>
        <v>100</v>
      </c>
      <c r="X26" s="1352"/>
      <c r="Y26" s="3689"/>
      <c r="Z26" s="1353">
        <f>Q26</f>
        <v>111</v>
      </c>
      <c r="AA26" s="1350">
        <f t="shared" si="3"/>
        <v>1</v>
      </c>
      <c r="AB26" s="1350">
        <f t="shared" si="4"/>
        <v>1</v>
      </c>
      <c r="AC26" s="1350">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89"/>
      <c r="Q27" s="1340">
        <f t="shared" si="11"/>
        <v>111</v>
      </c>
      <c r="R27" s="698" t="s">
        <v>14</v>
      </c>
      <c r="S27" s="699">
        <f>F27</f>
        <v>100</v>
      </c>
      <c r="T27" s="698" t="s">
        <v>14</v>
      </c>
      <c r="U27" s="699">
        <f>H27</f>
        <v>100</v>
      </c>
      <c r="V27" s="698" t="s">
        <v>14</v>
      </c>
      <c r="W27" s="699">
        <f>J27</f>
        <v>100</v>
      </c>
      <c r="X27" s="700"/>
      <c r="Y27" s="3689"/>
      <c r="Z27" s="52">
        <f>Q27</f>
        <v>111</v>
      </c>
      <c r="AA27" s="1350">
        <f>D27/F27</f>
        <v>1</v>
      </c>
      <c r="AB27" s="1350">
        <f>D27/H27</f>
        <v>1</v>
      </c>
      <c r="AC27" s="1350">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89"/>
      <c r="Q28" s="1349">
        <f t="shared" si="11"/>
        <v>111</v>
      </c>
      <c r="R28" s="702" t="s">
        <v>14</v>
      </c>
      <c r="S28" s="703">
        <f t="shared" ref="S28:S40" si="12">F28</f>
        <v>100</v>
      </c>
      <c r="T28" s="702" t="s">
        <v>14</v>
      </c>
      <c r="U28" s="703">
        <f t="shared" ref="U28:U40" si="13">H28</f>
        <v>100</v>
      </c>
      <c r="V28" s="702" t="s">
        <v>14</v>
      </c>
      <c r="W28" s="703">
        <f t="shared" ref="W28:W40" si="14">J28</f>
        <v>100</v>
      </c>
      <c r="X28" s="1352"/>
      <c r="Y28" s="3689"/>
      <c r="Z28" s="1353">
        <f t="shared" ref="Z28:Z40" si="15">Q28</f>
        <v>111</v>
      </c>
      <c r="AA28" s="1350">
        <f t="shared" si="3"/>
        <v>1</v>
      </c>
      <c r="AB28" s="1350">
        <f t="shared" si="4"/>
        <v>1</v>
      </c>
      <c r="AC28" s="1350">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59">
        <v>2</v>
      </c>
      <c r="L29" s="920"/>
      <c r="M29" s="911"/>
      <c r="N29" s="911"/>
      <c r="O29" s="919"/>
      <c r="P29" s="3745" t="s">
        <v>1696</v>
      </c>
      <c r="Q29" s="1349" t="str">
        <f t="shared" si="11"/>
        <v>建筑类型</v>
      </c>
      <c r="R29" s="702" t="s">
        <v>14</v>
      </c>
      <c r="S29" s="703">
        <f t="shared" si="12"/>
        <v>100</v>
      </c>
      <c r="T29" s="702" t="s">
        <v>14</v>
      </c>
      <c r="U29" s="703">
        <f t="shared" si="13"/>
        <v>100</v>
      </c>
      <c r="V29" s="702" t="s">
        <v>14</v>
      </c>
      <c r="W29" s="703">
        <f t="shared" si="14"/>
        <v>100</v>
      </c>
      <c r="X29" s="1352"/>
      <c r="Y29" s="3693"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93"/>
      <c r="Q30" s="704" t="str">
        <f t="shared" si="11"/>
        <v>项目建筑规模</v>
      </c>
      <c r="R30" s="705" t="s">
        <v>14</v>
      </c>
      <c r="S30" s="706">
        <f t="shared" si="12"/>
        <v>100</v>
      </c>
      <c r="T30" s="705" t="s">
        <v>14</v>
      </c>
      <c r="U30" s="706">
        <f t="shared" si="13"/>
        <v>100</v>
      </c>
      <c r="V30" s="705" t="s">
        <v>14</v>
      </c>
      <c r="W30" s="706">
        <f t="shared" si="14"/>
        <v>100</v>
      </c>
      <c r="X30" s="707"/>
      <c r="Y30" s="3693"/>
      <c r="Z30" s="708" t="str">
        <f t="shared" si="15"/>
        <v>项目建筑规模</v>
      </c>
      <c r="AA30" s="1350">
        <f t="shared" si="3"/>
        <v>1</v>
      </c>
      <c r="AB30" s="1350">
        <f t="shared" si="4"/>
        <v>1</v>
      </c>
      <c r="AC30" s="1350">
        <f t="shared" si="5"/>
        <v>1</v>
      </c>
    </row>
    <row r="31" spans="1:29" ht="15">
      <c r="A31" s="423"/>
      <c r="B31" s="375" t="s">
        <v>1698</v>
      </c>
      <c r="C31" s="411" t="s">
        <v>3410</v>
      </c>
      <c r="D31" s="386">
        <v>100</v>
      </c>
      <c r="E31" s="411" t="s">
        <v>3410</v>
      </c>
      <c r="F31" s="412">
        <f>SUMIF(93:93,E31,94:94)-SUMIF(93:93,C31,94:94)+100</f>
        <v>100</v>
      </c>
      <c r="G31" s="411" t="s">
        <v>3410</v>
      </c>
      <c r="H31" s="386">
        <f>SUMIF(93:93,G31,94:94)-SUMIF(93:93,C31,94:94)+100</f>
        <v>100</v>
      </c>
      <c r="I31" s="411" t="s">
        <v>3410</v>
      </c>
      <c r="J31" s="386">
        <f>SUMIF(93:93,I31,94:94)-SUMIF(93:93,C31,94:94)+100</f>
        <v>100</v>
      </c>
      <c r="K31" s="559">
        <v>2</v>
      </c>
      <c r="L31" s="920"/>
      <c r="M31" s="911"/>
      <c r="N31" s="911"/>
      <c r="O31" s="919"/>
      <c r="P31" s="3693"/>
      <c r="Q31" s="1349" t="str">
        <f t="shared" si="11"/>
        <v>建筑结构</v>
      </c>
      <c r="R31" s="702" t="s">
        <v>14</v>
      </c>
      <c r="S31" s="703">
        <f t="shared" si="12"/>
        <v>100</v>
      </c>
      <c r="T31" s="702" t="s">
        <v>14</v>
      </c>
      <c r="U31" s="703">
        <f t="shared" si="13"/>
        <v>100</v>
      </c>
      <c r="V31" s="702" t="s">
        <v>14</v>
      </c>
      <c r="W31" s="703">
        <f t="shared" si="14"/>
        <v>100</v>
      </c>
      <c r="X31" s="1352"/>
      <c r="Y31" s="3693"/>
      <c r="Z31" s="1353" t="str">
        <f t="shared" si="15"/>
        <v>建筑结构</v>
      </c>
      <c r="AA31" s="1350">
        <f t="shared" si="3"/>
        <v>1</v>
      </c>
      <c r="AB31" s="1350">
        <f t="shared" si="4"/>
        <v>1</v>
      </c>
      <c r="AC31" s="1350">
        <f t="shared" si="5"/>
        <v>1</v>
      </c>
    </row>
    <row r="32" spans="1:29" ht="15">
      <c r="A32" s="423"/>
      <c r="B32" s="375" t="s">
        <v>1785</v>
      </c>
      <c r="C32" s="411" t="s">
        <v>3448</v>
      </c>
      <c r="D32" s="386">
        <v>100</v>
      </c>
      <c r="E32" s="411" t="s">
        <v>3448</v>
      </c>
      <c r="F32" s="412">
        <f>SUMIF(95:95,E32,96:96)-SUMIF(95:95,C32,96:96)+100</f>
        <v>100</v>
      </c>
      <c r="G32" s="411" t="s">
        <v>3448</v>
      </c>
      <c r="H32" s="386">
        <f>SUMIF(95:95,G32,96:96)-SUMIF(95:95,C32,96:96)+100</f>
        <v>100</v>
      </c>
      <c r="I32" s="411" t="s">
        <v>3448</v>
      </c>
      <c r="J32" s="386">
        <f>SUMIF(95:95,I32,96:96)-SUMIF(95:95,C32,96:96)+100</f>
        <v>100</v>
      </c>
      <c r="K32" s="559">
        <v>2</v>
      </c>
      <c r="L32" s="920"/>
      <c r="M32" s="911"/>
      <c r="N32" s="911"/>
      <c r="O32" s="919"/>
      <c r="P32" s="3693"/>
      <c r="Q32" s="1349" t="str">
        <f t="shared" si="11"/>
        <v>公共部分装修</v>
      </c>
      <c r="R32" s="702" t="s">
        <v>14</v>
      </c>
      <c r="S32" s="703">
        <f t="shared" si="12"/>
        <v>100</v>
      </c>
      <c r="T32" s="702" t="s">
        <v>14</v>
      </c>
      <c r="U32" s="703">
        <f t="shared" si="13"/>
        <v>100</v>
      </c>
      <c r="V32" s="702" t="s">
        <v>14</v>
      </c>
      <c r="W32" s="703">
        <f t="shared" si="14"/>
        <v>100</v>
      </c>
      <c r="X32" s="1352"/>
      <c r="Y32" s="3693"/>
      <c r="Z32" s="1353" t="str">
        <f t="shared" si="15"/>
        <v>公共部分装修</v>
      </c>
      <c r="AA32" s="1350">
        <f t="shared" si="3"/>
        <v>1</v>
      </c>
      <c r="AB32" s="1350">
        <f t="shared" si="4"/>
        <v>1</v>
      </c>
      <c r="AC32" s="1350">
        <f t="shared" si="5"/>
        <v>1</v>
      </c>
    </row>
    <row r="33" spans="1:29" ht="15">
      <c r="A33" s="423"/>
      <c r="B33" s="375" t="s">
        <v>1786</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93"/>
      <c r="Q33" s="1349" t="str">
        <f t="shared" si="11"/>
        <v>成新度</v>
      </c>
      <c r="R33" s="702" t="s">
        <v>14</v>
      </c>
      <c r="S33" s="703" t="e">
        <f t="shared" si="12"/>
        <v>#N/A</v>
      </c>
      <c r="T33" s="702" t="s">
        <v>14</v>
      </c>
      <c r="U33" s="703" t="e">
        <f t="shared" si="13"/>
        <v>#N/A</v>
      </c>
      <c r="V33" s="702" t="s">
        <v>14</v>
      </c>
      <c r="W33" s="703" t="e">
        <f t="shared" si="14"/>
        <v>#N/A</v>
      </c>
      <c r="X33" s="1352"/>
      <c r="Y33" s="3693"/>
      <c r="Z33" s="1353" t="str">
        <f t="shared" si="15"/>
        <v>成新度</v>
      </c>
      <c r="AA33" s="1350" t="e">
        <f t="shared" si="3"/>
        <v>#N/A</v>
      </c>
      <c r="AB33" s="1350" t="e">
        <f t="shared" si="4"/>
        <v>#N/A</v>
      </c>
      <c r="AC33" s="1350" t="e">
        <f t="shared" si="5"/>
        <v>#N/A</v>
      </c>
    </row>
    <row r="34" spans="1:29" s="108" customFormat="1" ht="15">
      <c r="A34" s="424"/>
      <c r="B34" s="375" t="s">
        <v>1819</v>
      </c>
      <c r="C34" s="411" t="s">
        <v>3453</v>
      </c>
      <c r="D34" s="127">
        <v>100</v>
      </c>
      <c r="E34" s="411" t="s">
        <v>3453</v>
      </c>
      <c r="F34" s="412">
        <f>SUMIF(100:100,E34,101:101)-SUMIF(100:100,C34,101:101)+100</f>
        <v>100</v>
      </c>
      <c r="G34" s="411" t="s">
        <v>3453</v>
      </c>
      <c r="H34" s="386">
        <f>SUMIF(100:100,G34,101:101)-SUMIF(100:100,C34,101:101)+100</f>
        <v>100</v>
      </c>
      <c r="I34" s="411" t="s">
        <v>3453</v>
      </c>
      <c r="J34" s="386">
        <f>SUMIF(100:100,I34,101:101)-SUMIF(100:100,C34,101:101)+100</f>
        <v>100</v>
      </c>
      <c r="K34" s="559">
        <v>2</v>
      </c>
      <c r="L34" s="912"/>
      <c r="M34" s="913"/>
      <c r="N34" s="913"/>
      <c r="O34" s="914"/>
      <c r="P34" s="3693"/>
      <c r="Q34" s="1340" t="str">
        <f t="shared" si="11"/>
        <v>物业管理</v>
      </c>
      <c r="R34" s="698" t="s">
        <v>14</v>
      </c>
      <c r="S34" s="699">
        <f t="shared" si="12"/>
        <v>100</v>
      </c>
      <c r="T34" s="698" t="s">
        <v>14</v>
      </c>
      <c r="U34" s="699">
        <f t="shared" si="13"/>
        <v>100</v>
      </c>
      <c r="V34" s="698" t="s">
        <v>14</v>
      </c>
      <c r="W34" s="699">
        <f t="shared" si="14"/>
        <v>100</v>
      </c>
      <c r="X34" s="700"/>
      <c r="Y34" s="3693"/>
      <c r="Z34" s="52" t="str">
        <f t="shared" si="15"/>
        <v>物业管理</v>
      </c>
      <c r="AA34" s="701">
        <f t="shared" si="3"/>
        <v>1</v>
      </c>
      <c r="AB34" s="701">
        <f t="shared" si="4"/>
        <v>1</v>
      </c>
      <c r="AC34" s="701">
        <f t="shared" si="5"/>
        <v>1</v>
      </c>
    </row>
    <row r="35" spans="1:29" ht="15">
      <c r="A35" s="423"/>
      <c r="B35" s="375" t="s">
        <v>1787</v>
      </c>
      <c r="C35" s="411" t="s">
        <v>3512</v>
      </c>
      <c r="D35" s="386">
        <v>100</v>
      </c>
      <c r="E35" s="411" t="s">
        <v>3512</v>
      </c>
      <c r="F35" s="412">
        <f>SUMIF(102:102,E35,103:103)-SUMIF(102:102,C35,103:103)+100</f>
        <v>100</v>
      </c>
      <c r="G35" s="411" t="s">
        <v>3512</v>
      </c>
      <c r="H35" s="386">
        <f>SUMIF(102:102,G35,103:103)-SUMIF(102:102,C35,103:103)+100</f>
        <v>100</v>
      </c>
      <c r="I35" s="411" t="s">
        <v>3512</v>
      </c>
      <c r="J35" s="386">
        <f>SUMIF(102:102,I35,103:103)-SUMIF(102:102,C35,103:103)+100</f>
        <v>100</v>
      </c>
      <c r="K35" s="559">
        <v>1</v>
      </c>
      <c r="L35" s="920"/>
      <c r="M35" s="911"/>
      <c r="N35" s="911"/>
      <c r="O35" s="919"/>
      <c r="P35" s="3693" t="s">
        <v>1696</v>
      </c>
      <c r="Q35" s="1349" t="str">
        <f t="shared" si="11"/>
        <v>市政基础设施</v>
      </c>
      <c r="R35" s="702" t="s">
        <v>14</v>
      </c>
      <c r="S35" s="703">
        <f t="shared" si="12"/>
        <v>100</v>
      </c>
      <c r="T35" s="702" t="s">
        <v>14</v>
      </c>
      <c r="U35" s="703">
        <f t="shared" si="13"/>
        <v>100</v>
      </c>
      <c r="V35" s="702" t="s">
        <v>14</v>
      </c>
      <c r="W35" s="703">
        <f t="shared" si="14"/>
        <v>100</v>
      </c>
      <c r="X35" s="1352"/>
      <c r="Y35" s="3693"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93"/>
      <c r="Q36" s="1349" t="str">
        <f t="shared" si="11"/>
        <v>内部装修</v>
      </c>
      <c r="R36" s="702" t="s">
        <v>14</v>
      </c>
      <c r="S36" s="703">
        <f t="shared" si="12"/>
        <v>100</v>
      </c>
      <c r="T36" s="702" t="s">
        <v>14</v>
      </c>
      <c r="U36" s="703">
        <f t="shared" si="13"/>
        <v>100</v>
      </c>
      <c r="V36" s="702" t="s">
        <v>14</v>
      </c>
      <c r="W36" s="703">
        <f t="shared" si="14"/>
        <v>100</v>
      </c>
      <c r="X36" s="1352"/>
      <c r="Y36" s="3693"/>
      <c r="Z36" s="1353" t="str">
        <f t="shared" si="15"/>
        <v>内部装修</v>
      </c>
      <c r="AA36" s="1350">
        <f t="shared" si="3"/>
        <v>1</v>
      </c>
      <c r="AB36" s="1350">
        <f t="shared" si="4"/>
        <v>1</v>
      </c>
      <c r="AC36" s="1350">
        <f t="shared" si="5"/>
        <v>1</v>
      </c>
    </row>
    <row r="37" spans="1:29" ht="15.75" thickBot="1">
      <c r="A37" s="423"/>
      <c r="B37" s="375" t="s">
        <v>1828</v>
      </c>
      <c r="C37" s="563" t="s">
        <v>3386</v>
      </c>
      <c r="D37" s="386">
        <v>100</v>
      </c>
      <c r="E37" s="563" t="s">
        <v>3386</v>
      </c>
      <c r="F37" s="412">
        <f>SUMIF(106:106,E37,107:107)-SUMIF(106:106,C37,107:107)+100</f>
        <v>100</v>
      </c>
      <c r="G37" s="563" t="s">
        <v>3386</v>
      </c>
      <c r="H37" s="386">
        <f>SUMIF(106:106,G37,107:107)-SUMIF(106:106,C37,107:107)+100</f>
        <v>100</v>
      </c>
      <c r="I37" s="563" t="s">
        <v>3386</v>
      </c>
      <c r="J37" s="386">
        <f>SUMIF(106:106,I37,107:107)-SUMIF(106:106,C37,107:107)+100</f>
        <v>100</v>
      </c>
      <c r="K37" s="559">
        <v>2</v>
      </c>
      <c r="L37" s="920"/>
      <c r="M37" s="911"/>
      <c r="N37" s="911"/>
      <c r="O37" s="919"/>
      <c r="P37" s="3693"/>
      <c r="Q37" s="1349" t="str">
        <f t="shared" si="11"/>
        <v>内部装修状况</v>
      </c>
      <c r="R37" s="702" t="s">
        <v>14</v>
      </c>
      <c r="S37" s="703">
        <f t="shared" si="12"/>
        <v>100</v>
      </c>
      <c r="T37" s="702" t="s">
        <v>14</v>
      </c>
      <c r="U37" s="703">
        <f t="shared" si="13"/>
        <v>100</v>
      </c>
      <c r="V37" s="702" t="s">
        <v>14</v>
      </c>
      <c r="W37" s="703">
        <f t="shared" si="14"/>
        <v>100</v>
      </c>
      <c r="X37" s="1352"/>
      <c r="Y37" s="3693"/>
      <c r="Z37" s="1353" t="str">
        <f t="shared" si="15"/>
        <v>内部装修状况</v>
      </c>
      <c r="AA37" s="1350">
        <f t="shared" si="3"/>
        <v>1</v>
      </c>
      <c r="AB37" s="1350">
        <f t="shared" si="4"/>
        <v>1</v>
      </c>
      <c r="AC37" s="1350">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93"/>
      <c r="Q38" s="704">
        <f t="shared" si="11"/>
        <v>111</v>
      </c>
      <c r="R38" s="705" t="s">
        <v>14</v>
      </c>
      <c r="S38" s="706">
        <f t="shared" si="12"/>
        <v>100</v>
      </c>
      <c r="T38" s="705" t="s">
        <v>14</v>
      </c>
      <c r="U38" s="706">
        <f t="shared" si="13"/>
        <v>100</v>
      </c>
      <c r="V38" s="705" t="s">
        <v>14</v>
      </c>
      <c r="W38" s="706">
        <f t="shared" si="14"/>
        <v>100</v>
      </c>
      <c r="X38" s="707"/>
      <c r="Y38" s="3693"/>
      <c r="Z38" s="708">
        <f t="shared" si="15"/>
        <v>111</v>
      </c>
      <c r="AA38" s="1350">
        <f t="shared" si="3"/>
        <v>1</v>
      </c>
      <c r="AB38" s="1350">
        <f t="shared" si="4"/>
        <v>1</v>
      </c>
      <c r="AC38" s="1350">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93"/>
      <c r="Q39" s="1349">
        <f t="shared" si="11"/>
        <v>111</v>
      </c>
      <c r="R39" s="702" t="s">
        <v>14</v>
      </c>
      <c r="S39" s="703">
        <f t="shared" si="12"/>
        <v>100</v>
      </c>
      <c r="T39" s="702" t="s">
        <v>14</v>
      </c>
      <c r="U39" s="703">
        <f t="shared" si="13"/>
        <v>100</v>
      </c>
      <c r="V39" s="702" t="s">
        <v>14</v>
      </c>
      <c r="W39" s="703">
        <f t="shared" si="14"/>
        <v>100</v>
      </c>
      <c r="X39" s="1352"/>
      <c r="Y39" s="3693"/>
      <c r="Z39" s="1353">
        <f t="shared" si="15"/>
        <v>111</v>
      </c>
      <c r="AA39" s="1350">
        <f t="shared" si="3"/>
        <v>1</v>
      </c>
      <c r="AB39" s="1350">
        <f t="shared" si="4"/>
        <v>1</v>
      </c>
      <c r="AC39" s="1350">
        <f t="shared" si="5"/>
        <v>1</v>
      </c>
    </row>
    <row r="40" spans="1:29" ht="15.75" hidden="1" thickBot="1">
      <c r="A40" s="427"/>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694"/>
      <c r="Q40" s="1349">
        <f t="shared" si="11"/>
        <v>111</v>
      </c>
      <c r="R40" s="702" t="s">
        <v>14</v>
      </c>
      <c r="S40" s="703">
        <f t="shared" si="12"/>
        <v>100</v>
      </c>
      <c r="T40" s="702" t="s">
        <v>14</v>
      </c>
      <c r="U40" s="703">
        <f t="shared" si="13"/>
        <v>100</v>
      </c>
      <c r="V40" s="702" t="s">
        <v>14</v>
      </c>
      <c r="W40" s="703">
        <f t="shared" si="14"/>
        <v>100</v>
      </c>
      <c r="X40" s="1352"/>
      <c r="Y40" s="3694"/>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686" t="str">
        <f>A41</f>
        <v>成交单价（元/平方米）</v>
      </c>
      <c r="Q41" s="3686"/>
      <c r="R41" s="3687">
        <f>E41</f>
        <v>0</v>
      </c>
      <c r="S41" s="3687"/>
      <c r="T41" s="3687">
        <f>G41</f>
        <v>0</v>
      </c>
      <c r="U41" s="3687"/>
      <c r="V41" s="3687">
        <f>I41</f>
        <v>0</v>
      </c>
      <c r="W41" s="3687"/>
      <c r="X41" s="687"/>
      <c r="Y41" s="709"/>
      <c r="Z41" s="687"/>
      <c r="AA41" s="687"/>
      <c r="AB41" s="687"/>
      <c r="AC41" s="687"/>
    </row>
    <row r="42" spans="1:29" ht="15.75" thickBot="1">
      <c r="A42" s="435" t="s">
        <v>1793</v>
      </c>
      <c r="B42" s="436"/>
      <c r="C42" s="1157" t="e">
        <f>R43</f>
        <v>#N/A</v>
      </c>
      <c r="D42" s="2313" t="s">
        <v>2138</v>
      </c>
      <c r="E42" s="1158" t="e">
        <f>R42</f>
        <v>#N/A</v>
      </c>
      <c r="F42" s="2314"/>
      <c r="G42" s="1157" t="e">
        <f>T42</f>
        <v>#N/A</v>
      </c>
      <c r="H42" s="2314"/>
      <c r="I42" s="1158" t="e">
        <f>V42</f>
        <v>#N/A</v>
      </c>
      <c r="J42" s="2314"/>
      <c r="K42" s="2316">
        <f>F42+H42+J42</f>
        <v>0</v>
      </c>
      <c r="L42" s="923"/>
      <c r="M42" s="924"/>
      <c r="N42" s="911"/>
      <c r="O42" s="924"/>
      <c r="P42" s="3686" t="str">
        <f>A42</f>
        <v>比较价值（元/平方米）</v>
      </c>
      <c r="Q42" s="3686"/>
      <c r="R42" s="3687" t="e">
        <f>IF(F1="售价",ROUND(PRODUCT(R41,AA7:AA40),0),ROUND(PRODUCT(R41,AA7:AA40),1))</f>
        <v>#N/A</v>
      </c>
      <c r="S42" s="3687"/>
      <c r="T42" s="3687" t="e">
        <f>IF(F1="售价",ROUND(PRODUCT(T41,AB7:AB40),0),ROUND(PRODUCT(T41,AB7:AB40),1))</f>
        <v>#N/A</v>
      </c>
      <c r="U42" s="3687"/>
      <c r="V42" s="3687" t="e">
        <f>IF(F1="售价",ROUND(PRODUCT(V41,AC7:AC40),0),ROUND(PRODUCT(V41,AC7:AC40),1))</f>
        <v>#N/A</v>
      </c>
      <c r="W42" s="3687"/>
      <c r="X42" s="687"/>
      <c r="Y42" s="687"/>
      <c r="Z42" s="687"/>
      <c r="AA42" s="687"/>
      <c r="AB42" s="687"/>
      <c r="AC42" s="687"/>
    </row>
    <row r="43" spans="1:29" ht="15.75" thickBot="1">
      <c r="A43" s="439" t="s">
        <v>1794</v>
      </c>
      <c r="B43" s="440"/>
      <c r="C43" s="1160" t="e">
        <f>R43</f>
        <v>#N/A</v>
      </c>
      <c r="D43" s="1160"/>
      <c r="E43" s="1160"/>
      <c r="F43" s="1160"/>
      <c r="G43" s="1160"/>
      <c r="H43" s="1160"/>
      <c r="I43" s="1160"/>
      <c r="J43" s="1160"/>
      <c r="K43" s="712"/>
      <c r="L43" s="923"/>
      <c r="M43" s="924"/>
      <c r="N43" s="924"/>
      <c r="O43" s="924"/>
      <c r="P43" s="3683" t="str">
        <f>A43</f>
        <v>估价对象XX用房的比较价值（楼面单价，元/平方米）</v>
      </c>
      <c r="Q43" s="3684"/>
      <c r="R43" s="3685" t="e">
        <f>IF(F1="售价",ROUND(IF(D42="简单平均",AVERAGE(R42:V42),R42*F42+T42*H42+V42*J42),0),ROUND(IF(D42="简单平均",AVERAGE(R42:V42),R42*F42+T42*H42+V42*J42),1))</f>
        <v>#N/A</v>
      </c>
      <c r="S43" s="3685"/>
      <c r="T43" s="3685"/>
      <c r="U43" s="3685"/>
      <c r="V43" s="3685"/>
      <c r="W43" s="3685"/>
      <c r="X43" s="687"/>
      <c r="Y43" s="687"/>
      <c r="Z43" s="687"/>
      <c r="AA43" s="687"/>
      <c r="AB43" s="687"/>
      <c r="AC43" s="687"/>
    </row>
    <row r="44" spans="1:29">
      <c r="A44" s="2716"/>
      <c r="B44" s="2716"/>
      <c r="C44" s="2716"/>
      <c r="D44" s="2716"/>
      <c r="E44" s="2716"/>
      <c r="F44" s="2716"/>
      <c r="G44" s="2720"/>
      <c r="H44" s="2716"/>
      <c r="I44" s="2716"/>
      <c r="J44" s="2716"/>
      <c r="K44" s="2721"/>
      <c r="L44" s="886"/>
      <c r="M44" s="924"/>
      <c r="N44" s="924"/>
      <c r="O44" s="924"/>
    </row>
    <row r="45" spans="1:29">
      <c r="A45" s="2716"/>
      <c r="B45" s="2716"/>
      <c r="C45" s="2716"/>
      <c r="D45" s="2716"/>
      <c r="E45" s="2716"/>
      <c r="F45" s="2716"/>
      <c r="G45" s="2716"/>
      <c r="H45" s="2716"/>
      <c r="I45" s="2716"/>
      <c r="J45" s="2716"/>
      <c r="K45" s="2721"/>
      <c r="L45" s="886"/>
      <c r="M45" s="924"/>
      <c r="N45" s="924"/>
      <c r="O45" s="924"/>
    </row>
    <row r="46" spans="1:29" ht="13.5" customHeight="1">
      <c r="A46" s="2716"/>
      <c r="B46" s="2716"/>
      <c r="C46" s="444" t="s">
        <v>1795</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721"/>
      <c r="L46" s="886"/>
      <c r="M46" s="924"/>
      <c r="N46" s="924"/>
      <c r="O46" s="924"/>
    </row>
    <row r="47" spans="1:29" ht="13.5" customHeight="1">
      <c r="A47" s="2716"/>
      <c r="B47" s="2716"/>
      <c r="C47" s="444" t="s">
        <v>1796</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721"/>
      <c r="L47" s="886"/>
      <c r="M47" s="924"/>
      <c r="N47" s="924"/>
      <c r="O47" s="924"/>
    </row>
    <row r="48" spans="1:29" s="449" customFormat="1" ht="13.5" customHeight="1">
      <c r="A48" s="2719"/>
      <c r="B48" s="2719"/>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7"/>
      <c r="M48" s="925"/>
      <c r="N48" s="925"/>
      <c r="O48" s="925"/>
    </row>
    <row r="49" spans="1:17" s="449" customFormat="1">
      <c r="A49" s="2719"/>
      <c r="B49" s="2722"/>
      <c r="C49" s="2723"/>
      <c r="D49" s="2719"/>
      <c r="E49" s="2719"/>
      <c r="F49" s="2719"/>
      <c r="G49" s="2719"/>
      <c r="H49" s="2719"/>
      <c r="I49" s="2719"/>
      <c r="J49" s="2719"/>
      <c r="K49" s="2724"/>
      <c r="L49" s="927"/>
      <c r="M49" s="925"/>
      <c r="N49" s="925"/>
      <c r="O49" s="925"/>
    </row>
    <row r="50" spans="1:17">
      <c r="A50" s="2716"/>
      <c r="B50" s="2722"/>
      <c r="C50" s="2723"/>
      <c r="D50" s="2716"/>
      <c r="E50" s="2716"/>
      <c r="F50" s="2716"/>
      <c r="G50" s="2716"/>
      <c r="H50" s="2716"/>
      <c r="I50" s="2716"/>
      <c r="J50" s="2716"/>
      <c r="K50" s="2721"/>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2023-5</v>
      </c>
      <c r="D52" s="1182">
        <f>EDATE(C52,-1)</f>
        <v>45017</v>
      </c>
      <c r="E52" s="1182">
        <f t="shared" ref="E52:O52" si="16">EDATE(D52,-1)</f>
        <v>44986</v>
      </c>
      <c r="F52" s="1182">
        <f t="shared" si="16"/>
        <v>44958</v>
      </c>
      <c r="G52" s="1182">
        <f t="shared" si="16"/>
        <v>44927</v>
      </c>
      <c r="H52" s="1182">
        <f t="shared" si="16"/>
        <v>44896</v>
      </c>
      <c r="I52" s="1182">
        <f t="shared" si="16"/>
        <v>44866</v>
      </c>
      <c r="J52" s="1182">
        <f t="shared" si="16"/>
        <v>44835</v>
      </c>
      <c r="K52" s="1182">
        <f t="shared" si="16"/>
        <v>44805</v>
      </c>
      <c r="L52" s="1182">
        <f t="shared" si="16"/>
        <v>44774</v>
      </c>
      <c r="M52" s="1182">
        <f t="shared" si="16"/>
        <v>44743</v>
      </c>
      <c r="N52" s="1182">
        <f t="shared" si="16"/>
        <v>44713</v>
      </c>
      <c r="O52" s="1182">
        <f t="shared" si="16"/>
        <v>44682</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1716</v>
      </c>
      <c r="B54" s="463"/>
      <c r="C54" s="464"/>
      <c r="D54" s="465"/>
      <c r="E54" s="465"/>
      <c r="F54" s="465"/>
      <c r="G54" s="465"/>
      <c r="H54" s="465"/>
      <c r="I54" s="465"/>
      <c r="J54" s="465"/>
      <c r="K54" s="465"/>
      <c r="L54" s="465"/>
      <c r="M54" s="466"/>
      <c r="N54" s="2761"/>
      <c r="O54" s="2762"/>
      <c r="P54" s="451"/>
      <c r="Q54" s="451"/>
    </row>
    <row r="55" spans="1:17" s="108" customFormat="1" ht="15">
      <c r="A55" s="468" t="s">
        <v>1681</v>
      </c>
      <c r="B55" s="457"/>
      <c r="C55" s="469" t="s">
        <v>1776</v>
      </c>
      <c r="D55" s="3449" t="s">
        <v>3527</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1719</v>
      </c>
      <c r="B57" s="475" t="s">
        <v>1685</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t="s">
        <v>3514</v>
      </c>
      <c r="D59" s="530" t="s">
        <v>3515</v>
      </c>
      <c r="E59" s="530" t="s">
        <v>3516</v>
      </c>
      <c r="F59" s="3450" t="s">
        <v>3518</v>
      </c>
      <c r="G59" s="530" t="s">
        <v>3517</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1813</v>
      </c>
      <c r="C76" s="605" t="s">
        <v>1799</v>
      </c>
      <c r="D76" s="605" t="s">
        <v>1800</v>
      </c>
      <c r="E76" s="605" t="s">
        <v>1801</v>
      </c>
      <c r="F76" s="605" t="s">
        <v>1802</v>
      </c>
      <c r="G76" s="605" t="s">
        <v>1803</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4"/>
      <c r="B87" s="516"/>
      <c r="C87" s="517"/>
      <c r="D87" s="517"/>
      <c r="E87" s="517"/>
      <c r="F87" s="517"/>
      <c r="G87" s="538"/>
      <c r="H87" s="538"/>
      <c r="I87" s="538"/>
      <c r="J87" s="538"/>
      <c r="K87" s="538"/>
      <c r="L87" s="538"/>
      <c r="M87" s="539"/>
      <c r="N87" s="931"/>
      <c r="O87" s="931"/>
      <c r="P87" s="42"/>
      <c r="Q87" s="451"/>
    </row>
    <row r="88" spans="1:17">
      <c r="A88" s="474" t="s">
        <v>1694</v>
      </c>
      <c r="B88" s="475" t="s">
        <v>1736</v>
      </c>
      <c r="C88" s="3453" t="s">
        <v>3529</v>
      </c>
      <c r="D88" s="3453" t="s">
        <v>3519</v>
      </c>
      <c r="E88" s="3453" t="s">
        <v>3520</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1737</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1738</v>
      </c>
      <c r="C93" s="3451" t="s">
        <v>3521</v>
      </c>
      <c r="D93" s="3451" t="s">
        <v>3522</v>
      </c>
      <c r="E93" s="3454" t="s">
        <v>3523</v>
      </c>
      <c r="F93" s="3454" t="s">
        <v>3524</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1740</v>
      </c>
      <c r="C95" s="3451" t="s">
        <v>3447</v>
      </c>
      <c r="D95" s="3451" t="s">
        <v>3449</v>
      </c>
      <c r="E95" s="3451" t="s">
        <v>3450</v>
      </c>
      <c r="F95" s="3454" t="s">
        <v>3451</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1741</v>
      </c>
      <c r="C100" s="3451" t="s">
        <v>3525</v>
      </c>
      <c r="D100" s="3451" t="s">
        <v>3526</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1742</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1744</v>
      </c>
      <c r="C104" s="3451" t="s">
        <v>3447</v>
      </c>
      <c r="D104" s="3451" t="s">
        <v>3449</v>
      </c>
      <c r="E104" s="3451" t="s">
        <v>3450</v>
      </c>
      <c r="F104" s="3454" t="s">
        <v>3451</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1830</v>
      </c>
      <c r="C106" s="525" t="s">
        <v>1721</v>
      </c>
      <c r="D106" s="525" t="s">
        <v>1722</v>
      </c>
      <c r="E106" s="525" t="s">
        <v>1723</v>
      </c>
      <c r="F106" s="525" t="s">
        <v>1724</v>
      </c>
      <c r="G106" s="525" t="s">
        <v>1725</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4"/>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18">
      <c r="A7" s="1477"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0" t="s">
        <v>901</v>
      </c>
    </row>
    <row r="9" spans="1:1" ht="18.75">
      <c r="A9" s="1479" t="s">
        <v>902</v>
      </c>
    </row>
    <row r="10" spans="1:1" ht="18">
      <c r="A10" s="1477"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2023年5月30日（评估专业人员实地查勘之日）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3326</v>
      </c>
      <c r="C1" s="1221" t="s">
        <v>1662</v>
      </c>
      <c r="D1" s="1222"/>
      <c r="E1" s="3424" t="s">
        <v>3513</v>
      </c>
      <c r="F1" s="1876" t="s">
        <v>3462</v>
      </c>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IF(B37="元/平方米",ROUND(C39*D3/10000,0),ROUND(F3*C39/10000,0)),IF(B37="元/平方米",ROUND(C39*D3/10000,0),ROUND(F3*C39/10000,0))-D2),IF(E1="单套模式",IF(C2="——",IF(B37="元/平方米",ROUND(C39*D3/10000,0),ROUND(F3*C39/10000,0)),IF(B37="元/平方米",ROUND(C39*D3/10000,0),ROUND(F3*C39/10000,0))-D2)))</f>
        <v>0</v>
      </c>
      <c r="C2" s="1878" t="s">
        <v>43</v>
      </c>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5"/>
      <c r="M2" s="2726"/>
      <c r="N2" s="2726"/>
      <c r="O2" s="2726"/>
      <c r="P2" s="1162"/>
      <c r="Q2" s="696"/>
      <c r="R2" s="696"/>
      <c r="S2" s="696"/>
      <c r="T2" s="696"/>
      <c r="U2" s="696"/>
      <c r="V2" s="696"/>
      <c r="W2" s="696"/>
      <c r="X2" s="696"/>
      <c r="Y2" s="696"/>
      <c r="Z2" s="696"/>
      <c r="AA2" s="696"/>
      <c r="AB2" s="696"/>
      <c r="AC2" s="697"/>
    </row>
    <row r="3" spans="1:29" s="352" customFormat="1" ht="28.5" customHeight="1" thickBot="1">
      <c r="A3" s="203" t="s">
        <v>1464</v>
      </c>
      <c r="B3" s="556"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5"/>
      <c r="M3" s="2726">
        <f>IF(C2="——",IF(B37="元/平方米",ROUND(C39*D3/10000,0),ROUND(F3*C39/10000,0)),IF(B37="元/平方米",ROUND(C39*D3/10000,0),ROUND(F3*C39/10000,0))-D2)</f>
        <v>0</v>
      </c>
      <c r="N3" s="2726"/>
      <c r="O3" s="2726"/>
      <c r="P3" s="1162"/>
      <c r="Q3" s="696"/>
      <c r="R3" s="696"/>
      <c r="S3" s="696"/>
      <c r="T3" s="696"/>
      <c r="U3" s="696"/>
      <c r="V3" s="696"/>
      <c r="W3" s="696"/>
      <c r="X3" s="696"/>
      <c r="Y3" s="696"/>
      <c r="Z3" s="696"/>
      <c r="AA3" s="696"/>
      <c r="AB3" s="713"/>
      <c r="AC3" s="710"/>
    </row>
    <row r="4" spans="1:29" ht="15">
      <c r="A4" s="355" t="s">
        <v>1769</v>
      </c>
      <c r="B4" s="356"/>
      <c r="C4" s="3701" t="s">
        <v>1770</v>
      </c>
      <c r="D4" s="3702"/>
      <c r="E4" s="3703" t="s">
        <v>1771</v>
      </c>
      <c r="F4" s="3704"/>
      <c r="G4" s="3701" t="s">
        <v>1772</v>
      </c>
      <c r="H4" s="3702"/>
      <c r="I4" s="3701" t="s">
        <v>1773</v>
      </c>
      <c r="J4" s="3702"/>
      <c r="K4" s="557" t="s">
        <v>1774</v>
      </c>
      <c r="L4" s="2706"/>
      <c r="M4" s="2707"/>
      <c r="N4" s="2707"/>
      <c r="O4" s="2707"/>
      <c r="P4" s="3705" t="s">
        <v>1775</v>
      </c>
      <c r="Q4" s="3706"/>
      <c r="R4" s="3711" t="s">
        <v>1771</v>
      </c>
      <c r="S4" s="3712"/>
      <c r="T4" s="3711" t="s">
        <v>1772</v>
      </c>
      <c r="U4" s="3712"/>
      <c r="V4" s="3717" t="s">
        <v>1773</v>
      </c>
      <c r="W4" s="3717"/>
      <c r="X4" s="1352"/>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7"/>
      <c r="L5" s="2706"/>
      <c r="M5" s="2707"/>
      <c r="N5" s="2707"/>
      <c r="O5" s="2707"/>
      <c r="P5" s="3707"/>
      <c r="Q5" s="3708"/>
      <c r="R5" s="3713"/>
      <c r="S5" s="3714"/>
      <c r="T5" s="3713"/>
      <c r="U5" s="3714"/>
      <c r="V5" s="3717"/>
      <c r="W5" s="3717"/>
      <c r="X5" s="1352"/>
      <c r="Y5" s="3713"/>
      <c r="Z5" s="3714"/>
      <c r="AA5" s="3699"/>
      <c r="AB5" s="3699"/>
      <c r="AC5" s="3699"/>
    </row>
    <row r="6" spans="1:29" ht="15.75" thickBot="1">
      <c r="A6" s="360"/>
      <c r="B6" s="361"/>
      <c r="C6" s="3718" t="s">
        <v>1677</v>
      </c>
      <c r="D6" s="3719"/>
      <c r="E6" s="3725" t="s">
        <v>1677</v>
      </c>
      <c r="F6" s="3726"/>
      <c r="G6" s="3718" t="s">
        <v>1677</v>
      </c>
      <c r="H6" s="3719"/>
      <c r="I6" s="3718" t="s">
        <v>1677</v>
      </c>
      <c r="J6" s="3719"/>
      <c r="K6" s="557" t="s">
        <v>1678</v>
      </c>
      <c r="L6" s="2706"/>
      <c r="M6" s="2707"/>
      <c r="N6" s="2707"/>
      <c r="O6" s="2707"/>
      <c r="P6" s="3709"/>
      <c r="Q6" s="3710"/>
      <c r="R6" s="3713"/>
      <c r="S6" s="3714"/>
      <c r="T6" s="3715"/>
      <c r="U6" s="3716"/>
      <c r="V6" s="3717"/>
      <c r="W6" s="3717"/>
      <c r="X6" s="1352"/>
      <c r="Y6" s="3715"/>
      <c r="Z6" s="3716"/>
      <c r="AA6" s="3700"/>
      <c r="AB6" s="3700"/>
      <c r="AC6" s="3700"/>
    </row>
    <row r="7" spans="1:29" s="108" customFormat="1" ht="15.75" thickBot="1">
      <c r="A7" s="362" t="s">
        <v>1679</v>
      </c>
      <c r="B7" s="363"/>
      <c r="C7" s="364">
        <f>'数据-取费表'!B2</f>
        <v>45076</v>
      </c>
      <c r="D7" s="365">
        <v>100</v>
      </c>
      <c r="E7" s="366">
        <f>C7</f>
        <v>45076</v>
      </c>
      <c r="F7" s="367">
        <f>SUMIF(48:48,YEAR(E7)&amp;"-"&amp;MONTH(E7),49:49)</f>
        <v>100</v>
      </c>
      <c r="G7" s="366">
        <f>E7</f>
        <v>45076</v>
      </c>
      <c r="H7" s="365">
        <f>SUMIF(48:48,YEAR(G7)&amp;"-"&amp;MONTH(G7),49:49)</f>
        <v>100</v>
      </c>
      <c r="I7" s="366">
        <f>C7</f>
        <v>45076</v>
      </c>
      <c r="J7" s="365">
        <f>SUMIF(48:48,YEAR(I7)&amp;"-"&amp;MONTH(I7),49:49)</f>
        <v>100</v>
      </c>
      <c r="K7" s="558"/>
      <c r="L7" s="2708"/>
      <c r="M7" s="2709"/>
      <c r="N7" s="2709"/>
      <c r="O7" s="2709"/>
      <c r="P7" s="3722" t="s">
        <v>1680</v>
      </c>
      <c r="Q7" s="3724"/>
      <c r="R7" s="698" t="s">
        <v>14</v>
      </c>
      <c r="S7" s="699">
        <f t="shared" ref="S7:S14" si="0">F7</f>
        <v>100</v>
      </c>
      <c r="T7" s="698" t="s">
        <v>14</v>
      </c>
      <c r="U7" s="699">
        <f t="shared" ref="U7:U14" si="1">H7</f>
        <v>100</v>
      </c>
      <c r="V7" s="698" t="s">
        <v>14</v>
      </c>
      <c r="W7" s="699">
        <f t="shared" ref="W7:W14" si="2">J7</f>
        <v>100</v>
      </c>
      <c r="X7" s="700"/>
      <c r="Y7" s="3722" t="s">
        <v>1680</v>
      </c>
      <c r="Z7" s="3723"/>
      <c r="AA7" s="701">
        <f>D7/F7</f>
        <v>1</v>
      </c>
      <c r="AB7" s="701">
        <f>D7/H7</f>
        <v>1</v>
      </c>
      <c r="AC7" s="701">
        <f>D7/J7</f>
        <v>1</v>
      </c>
    </row>
    <row r="8" spans="1:29" s="108" customFormat="1" ht="15.75" thickBot="1">
      <c r="A8" s="362" t="s">
        <v>1681</v>
      </c>
      <c r="B8" s="363"/>
      <c r="C8" s="368" t="s">
        <v>3400</v>
      </c>
      <c r="D8" s="365">
        <v>100</v>
      </c>
      <c r="E8" s="368" t="s">
        <v>3412</v>
      </c>
      <c r="F8" s="367">
        <f>SUMIF(51:51,E8,52:52)-SUMIF(51:51,C8,52:52)+100</f>
        <v>102</v>
      </c>
      <c r="G8" s="368" t="s">
        <v>3412</v>
      </c>
      <c r="H8" s="365">
        <f>SUMIF(51:51,G8,52:52)-SUMIF(51:51,C8,52:52)+100</f>
        <v>102</v>
      </c>
      <c r="I8" s="368" t="s">
        <v>3412</v>
      </c>
      <c r="J8" s="365">
        <f>SUMIF(51:51,I8,52:52)-SUMIF(51:51,C8,52:52)+100</f>
        <v>102</v>
      </c>
      <c r="K8" s="558"/>
      <c r="L8" s="2708"/>
      <c r="M8" s="2709"/>
      <c r="N8" s="2709"/>
      <c r="O8" s="2709"/>
      <c r="P8" s="3722" t="s">
        <v>1683</v>
      </c>
      <c r="Q8" s="3723"/>
      <c r="R8" s="698" t="s">
        <v>14</v>
      </c>
      <c r="S8" s="699">
        <f t="shared" si="0"/>
        <v>102</v>
      </c>
      <c r="T8" s="698" t="s">
        <v>14</v>
      </c>
      <c r="U8" s="699">
        <f t="shared" si="1"/>
        <v>102</v>
      </c>
      <c r="V8" s="698" t="s">
        <v>14</v>
      </c>
      <c r="W8" s="699">
        <f t="shared" si="2"/>
        <v>102</v>
      </c>
      <c r="X8" s="700"/>
      <c r="Y8" s="3722" t="s">
        <v>1683</v>
      </c>
      <c r="Z8" s="3723"/>
      <c r="AA8" s="701">
        <f t="shared" ref="AA8:AA36" si="3">D8/F8</f>
        <v>0.98039215686274506</v>
      </c>
      <c r="AB8" s="701">
        <f t="shared" ref="AB8:AB36" si="4">D8/H8</f>
        <v>0.98039215686274506</v>
      </c>
      <c r="AC8" s="701">
        <f t="shared" ref="AC8:AC36" si="5">D8/J8</f>
        <v>0.98039215686274506</v>
      </c>
    </row>
    <row r="9" spans="1:29" s="108" customFormat="1">
      <c r="A9" s="60" t="s">
        <v>1684</v>
      </c>
      <c r="B9" s="585" t="s">
        <v>1685</v>
      </c>
      <c r="C9" s="3456" t="s">
        <v>3540</v>
      </c>
      <c r="D9" s="126">
        <v>100</v>
      </c>
      <c r="E9" s="373" t="s">
        <v>3539</v>
      </c>
      <c r="F9" s="126">
        <f>SUMIF(53:53,E9,54:54)-SUMIF(53:53,C9,54:54)+100</f>
        <v>100</v>
      </c>
      <c r="G9" s="373" t="s">
        <v>3539</v>
      </c>
      <c r="H9" s="126">
        <f>SUMIF(53:53,G9,54:54)-SUMIF(53:53,C9,54:54)+100</f>
        <v>100</v>
      </c>
      <c r="I9" s="373" t="s">
        <v>3539</v>
      </c>
      <c r="J9" s="126">
        <f>SUMIF(53:53,I9,54:54)-SUMIF(53:53,C9,54:54)+100</f>
        <v>100</v>
      </c>
      <c r="K9" s="558"/>
      <c r="L9" s="2708"/>
      <c r="M9" s="2709"/>
      <c r="N9" s="2709"/>
      <c r="O9" s="2709"/>
      <c r="P9" s="3686" t="s">
        <v>1686</v>
      </c>
      <c r="Q9" s="1340" t="str">
        <f t="shared" ref="Q9:Q14" si="6">B9</f>
        <v>用途</v>
      </c>
      <c r="R9" s="698" t="s">
        <v>14</v>
      </c>
      <c r="S9" s="699">
        <f t="shared" si="0"/>
        <v>100</v>
      </c>
      <c r="T9" s="698" t="s">
        <v>14</v>
      </c>
      <c r="U9" s="699">
        <f t="shared" si="1"/>
        <v>100</v>
      </c>
      <c r="V9" s="698" t="s">
        <v>14</v>
      </c>
      <c r="W9" s="699">
        <f t="shared" si="2"/>
        <v>100</v>
      </c>
      <c r="X9" s="700"/>
      <c r="Y9" s="3561" t="s">
        <v>1687</v>
      </c>
      <c r="Z9" s="52" t="str">
        <f t="shared" ref="Z9:Z14" si="7">Q9</f>
        <v>用途</v>
      </c>
      <c r="AA9" s="701">
        <f t="shared" si="3"/>
        <v>1</v>
      </c>
      <c r="AB9" s="701">
        <f t="shared" si="4"/>
        <v>1</v>
      </c>
      <c r="AC9" s="701">
        <f t="shared" si="5"/>
        <v>1</v>
      </c>
    </row>
    <row r="10" spans="1:29" s="378" customFormat="1" ht="27.75" thickBot="1">
      <c r="A10" s="586"/>
      <c r="B10" s="587" t="s">
        <v>1688</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686"/>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686"/>
      <c r="Q11" s="1340">
        <f t="shared" si="6"/>
        <v>111</v>
      </c>
      <c r="R11" s="698" t="s">
        <v>14</v>
      </c>
      <c r="S11" s="699">
        <f t="shared" si="0"/>
        <v>100</v>
      </c>
      <c r="T11" s="698" t="s">
        <v>14</v>
      </c>
      <c r="U11" s="699">
        <f t="shared" si="1"/>
        <v>100</v>
      </c>
      <c r="V11" s="698" t="s">
        <v>14</v>
      </c>
      <c r="W11" s="699">
        <f t="shared" si="2"/>
        <v>100</v>
      </c>
      <c r="X11" s="700"/>
      <c r="Y11" s="3561"/>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686"/>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686"/>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
      <c r="A14" s="355" t="s">
        <v>1690</v>
      </c>
      <c r="B14" s="574" t="s">
        <v>1833</v>
      </c>
      <c r="C14" s="1967" t="str">
        <f>IF(B1="工业",估价对象房地状况!G4,估价对象房地状况!C6)</f>
        <v>较好</v>
      </c>
      <c r="D14" s="392">
        <v>100</v>
      </c>
      <c r="E14" s="393" t="s">
        <v>3386</v>
      </c>
      <c r="F14" s="394">
        <f>SUMIF(63:63,E15,64:64)-SUMIF(63:63,C15,64:64)+100</f>
        <v>100</v>
      </c>
      <c r="G14" s="393" t="s">
        <v>3386</v>
      </c>
      <c r="H14" s="392">
        <f>SUMIF(63:63,G15,64:64)-SUMIF(63:63,C15,64:64)+100</f>
        <v>100</v>
      </c>
      <c r="I14" s="393" t="s">
        <v>3386</v>
      </c>
      <c r="J14" s="392">
        <f>SUMIF(63:63,I15,64:64)-SUMIF(63:63,C15,64:64)+100</f>
        <v>100</v>
      </c>
      <c r="K14" s="561">
        <v>2</v>
      </c>
      <c r="L14" s="2713"/>
      <c r="M14" s="2707"/>
      <c r="N14" s="2707"/>
      <c r="O14" s="2707"/>
      <c r="P14" s="3688" t="s">
        <v>1691</v>
      </c>
      <c r="Q14" s="1349" t="str">
        <f t="shared" si="6"/>
        <v>交通便捷度</v>
      </c>
      <c r="R14" s="702" t="s">
        <v>14</v>
      </c>
      <c r="S14" s="703">
        <f t="shared" si="0"/>
        <v>100</v>
      </c>
      <c r="T14" s="702" t="s">
        <v>14</v>
      </c>
      <c r="U14" s="703">
        <f t="shared" si="1"/>
        <v>100</v>
      </c>
      <c r="V14" s="702" t="s">
        <v>14</v>
      </c>
      <c r="W14" s="703">
        <f t="shared" si="2"/>
        <v>100</v>
      </c>
      <c r="X14" s="1352"/>
      <c r="Y14" s="3688" t="s">
        <v>1691</v>
      </c>
      <c r="Z14" s="1353" t="str">
        <f t="shared" si="7"/>
        <v>交通便捷度</v>
      </c>
      <c r="AA14" s="1350">
        <f t="shared" si="3"/>
        <v>1</v>
      </c>
      <c r="AB14" s="1350">
        <f t="shared" si="4"/>
        <v>1</v>
      </c>
      <c r="AC14" s="1350">
        <f t="shared" si="5"/>
        <v>1</v>
      </c>
    </row>
    <row r="15" spans="1:29" ht="15">
      <c r="A15" s="358"/>
      <c r="B15" s="592"/>
      <c r="C15" s="398" t="s">
        <v>3386</v>
      </c>
      <c r="D15" s="399"/>
      <c r="E15" s="398" t="s">
        <v>3386</v>
      </c>
      <c r="F15" s="400"/>
      <c r="G15" s="398" t="s">
        <v>3386</v>
      </c>
      <c r="H15" s="401"/>
      <c r="I15" s="398" t="s">
        <v>3386</v>
      </c>
      <c r="J15" s="399"/>
      <c r="K15" s="562"/>
      <c r="L15" s="2713"/>
      <c r="M15" s="2707"/>
      <c r="N15" s="2707"/>
      <c r="O15" s="2707"/>
      <c r="P15" s="3689"/>
      <c r="Q15" s="1349"/>
      <c r="R15" s="702"/>
      <c r="S15" s="703"/>
      <c r="T15" s="702"/>
      <c r="U15" s="703"/>
      <c r="V15" s="702"/>
      <c r="W15" s="703"/>
      <c r="X15" s="1352"/>
      <c r="Y15" s="3689"/>
      <c r="Z15" s="1353"/>
      <c r="AA15" s="1350">
        <v>1</v>
      </c>
      <c r="AB15" s="1350">
        <v>1</v>
      </c>
      <c r="AC15" s="1350">
        <v>1</v>
      </c>
    </row>
    <row r="16" spans="1:29" ht="15">
      <c r="A16" s="358"/>
      <c r="B16" s="576" t="s">
        <v>1812</v>
      </c>
      <c r="C16" s="1897" t="str">
        <f>IF(B1="工业",估价对象房地状况!G5,估价对象房地状况!C7)</f>
        <v>较好</v>
      </c>
      <c r="D16" s="406">
        <v>100</v>
      </c>
      <c r="E16" s="408" t="s">
        <v>3386</v>
      </c>
      <c r="F16" s="409">
        <f>SUMIF(65:65,E17,66:66)-SUMIF(65:65,C17,66:66)+100</f>
        <v>100</v>
      </c>
      <c r="G16" s="408" t="s">
        <v>3386</v>
      </c>
      <c r="H16" s="406">
        <f>SUMIF(65:65,G17,66:66)-SUMIF(65:65,C17,66:66)+100</f>
        <v>100</v>
      </c>
      <c r="I16" s="408" t="s">
        <v>3386</v>
      </c>
      <c r="J16" s="406">
        <f>SUMIF(65:65,I17,66:66)-SUMIF(65:65,C17,66:66)+100</f>
        <v>100</v>
      </c>
      <c r="K16" s="561">
        <v>2</v>
      </c>
      <c r="L16" s="2713"/>
      <c r="M16" s="2707"/>
      <c r="N16" s="2707"/>
      <c r="O16" s="2707"/>
      <c r="P16" s="3689"/>
      <c r="Q16" s="1349" t="str">
        <f>B16</f>
        <v>公共配套设施</v>
      </c>
      <c r="R16" s="702" t="s">
        <v>14</v>
      </c>
      <c r="S16" s="703">
        <f>F16</f>
        <v>100</v>
      </c>
      <c r="T16" s="702" t="s">
        <v>14</v>
      </c>
      <c r="U16" s="703">
        <f>H16</f>
        <v>100</v>
      </c>
      <c r="V16" s="702" t="s">
        <v>14</v>
      </c>
      <c r="W16" s="703">
        <f>J16</f>
        <v>100</v>
      </c>
      <c r="X16" s="1352"/>
      <c r="Y16" s="3689"/>
      <c r="Z16" s="1353" t="str">
        <f>Q16</f>
        <v>公共配套设施</v>
      </c>
      <c r="AA16" s="1350">
        <f t="shared" si="3"/>
        <v>1</v>
      </c>
      <c r="AB16" s="1350">
        <f t="shared" si="4"/>
        <v>1</v>
      </c>
      <c r="AC16" s="1350">
        <f t="shared" si="5"/>
        <v>1</v>
      </c>
    </row>
    <row r="17" spans="1:29" ht="15">
      <c r="A17" s="358"/>
      <c r="B17" s="577"/>
      <c r="C17" s="1898" t="s">
        <v>3386</v>
      </c>
      <c r="D17" s="399"/>
      <c r="E17" s="398" t="s">
        <v>3386</v>
      </c>
      <c r="F17" s="400"/>
      <c r="G17" s="398" t="s">
        <v>3386</v>
      </c>
      <c r="H17" s="399"/>
      <c r="I17" s="398" t="s">
        <v>3386</v>
      </c>
      <c r="J17" s="399"/>
      <c r="K17" s="562"/>
      <c r="L17" s="2713"/>
      <c r="M17" s="2707"/>
      <c r="N17" s="2707"/>
      <c r="O17" s="2707"/>
      <c r="P17" s="3689"/>
      <c r="Q17" s="1349"/>
      <c r="R17" s="702"/>
      <c r="S17" s="703"/>
      <c r="T17" s="702"/>
      <c r="U17" s="703"/>
      <c r="V17" s="702"/>
      <c r="W17" s="703"/>
      <c r="X17" s="1352"/>
      <c r="Y17" s="3689"/>
      <c r="Z17" s="1353"/>
      <c r="AA17" s="1350">
        <v>1</v>
      </c>
      <c r="AB17" s="1350">
        <v>1</v>
      </c>
      <c r="AC17" s="1350">
        <v>1</v>
      </c>
    </row>
    <row r="18" spans="1:29" ht="15">
      <c r="A18" s="358"/>
      <c r="B18" s="578" t="s">
        <v>1813</v>
      </c>
      <c r="C18" s="1897" t="str">
        <f>IF(B1="工业",估价对象房地状况!G6,估价对象房地状况!C8)</f>
        <v>七通</v>
      </c>
      <c r="D18" s="401">
        <v>100</v>
      </c>
      <c r="E18" s="403" t="s">
        <v>3390</v>
      </c>
      <c r="F18" s="409">
        <f>SUMIF(67:67,E19,68:68)-SUMIF(67:67,C19,68:68)+100</f>
        <v>100</v>
      </c>
      <c r="G18" s="403" t="s">
        <v>3390</v>
      </c>
      <c r="H18" s="406">
        <f>SUMIF(67:67,G19,68:68)-SUMIF(67:67,C19,68:68)+100</f>
        <v>100</v>
      </c>
      <c r="I18" s="403" t="s">
        <v>3390</v>
      </c>
      <c r="J18" s="406">
        <f>SUMIF(67:67,I19,68:68)-SUMIF(67:67,C19,68:68)+100</f>
        <v>100</v>
      </c>
      <c r="K18" s="561">
        <v>1</v>
      </c>
      <c r="L18" s="2713"/>
      <c r="M18" s="2707"/>
      <c r="N18" s="2707"/>
      <c r="O18" s="2707"/>
      <c r="P18" s="3689"/>
      <c r="Q18" s="1349" t="str">
        <f>B18</f>
        <v>基础设施水平</v>
      </c>
      <c r="R18" s="702" t="s">
        <v>14</v>
      </c>
      <c r="S18" s="703">
        <f>F18</f>
        <v>100</v>
      </c>
      <c r="T18" s="702" t="s">
        <v>14</v>
      </c>
      <c r="U18" s="703">
        <f>H18</f>
        <v>100</v>
      </c>
      <c r="V18" s="702" t="s">
        <v>14</v>
      </c>
      <c r="W18" s="703">
        <f>J18</f>
        <v>100</v>
      </c>
      <c r="X18" s="1352"/>
      <c r="Y18" s="3689"/>
      <c r="Z18" s="1353" t="str">
        <f>Q18</f>
        <v>基础设施水平</v>
      </c>
      <c r="AA18" s="1350">
        <f t="shared" ref="AA18" si="8">D18/F18</f>
        <v>1</v>
      </c>
      <c r="AB18" s="1350">
        <f t="shared" ref="AB18" si="9">D18/H18</f>
        <v>1</v>
      </c>
      <c r="AC18" s="1350">
        <f t="shared" ref="AC18" si="10">D18/J18</f>
        <v>1</v>
      </c>
    </row>
    <row r="19" spans="1:29" ht="15">
      <c r="A19" s="358"/>
      <c r="B19" s="578"/>
      <c r="C19" s="1898" t="s">
        <v>3390</v>
      </c>
      <c r="D19" s="401"/>
      <c r="E19" s="1898" t="s">
        <v>3390</v>
      </c>
      <c r="F19" s="404"/>
      <c r="G19" s="1898" t="s">
        <v>3390</v>
      </c>
      <c r="H19" s="399"/>
      <c r="I19" s="1898" t="s">
        <v>3390</v>
      </c>
      <c r="J19" s="399"/>
      <c r="K19" s="1127"/>
      <c r="L19" s="2713"/>
      <c r="M19" s="2707"/>
      <c r="N19" s="2707"/>
      <c r="O19" s="2707"/>
      <c r="P19" s="3689"/>
      <c r="Q19" s="1349"/>
      <c r="R19" s="702"/>
      <c r="S19" s="703"/>
      <c r="T19" s="702"/>
      <c r="U19" s="703"/>
      <c r="V19" s="702"/>
      <c r="W19" s="703"/>
      <c r="X19" s="1352"/>
      <c r="Y19" s="3689"/>
      <c r="Z19" s="1353"/>
      <c r="AA19" s="1350">
        <v>1</v>
      </c>
      <c r="AB19" s="1350">
        <v>1</v>
      </c>
      <c r="AC19" s="1350">
        <v>1</v>
      </c>
    </row>
    <row r="20" spans="1:29" ht="15">
      <c r="A20" s="358"/>
      <c r="B20" s="576" t="s">
        <v>1834</v>
      </c>
      <c r="C20" s="1897" t="str">
        <f>IF(B1="工业",估价对象房地状况!G7,估价对象房地状况!C9)</f>
        <v>较好</v>
      </c>
      <c r="D20" s="406">
        <v>100</v>
      </c>
      <c r="E20" s="408" t="s">
        <v>3386</v>
      </c>
      <c r="F20" s="409">
        <f>SUMIF(69:69,E21,70:70)-SUMIF(69:69,C21,70:70)+100</f>
        <v>100</v>
      </c>
      <c r="G20" s="408" t="s">
        <v>3386</v>
      </c>
      <c r="H20" s="401">
        <f>SUMIF(69:69,G21,70:70)-SUMIF(69:69,C21,70:70)+100</f>
        <v>100</v>
      </c>
      <c r="I20" s="408" t="s">
        <v>3386</v>
      </c>
      <c r="J20" s="401">
        <f>SUMIF(69:69,I21,70:70)-SUMIF(69:69,C21,70:70)+100</f>
        <v>100</v>
      </c>
      <c r="K20" s="561">
        <v>2</v>
      </c>
      <c r="L20" s="2713"/>
      <c r="M20" s="2707"/>
      <c r="N20" s="2707"/>
      <c r="O20" s="2707"/>
      <c r="P20" s="3689"/>
      <c r="Q20" s="1349" t="str">
        <f>B20</f>
        <v>自然及人文环境</v>
      </c>
      <c r="R20" s="702" t="s">
        <v>14</v>
      </c>
      <c r="S20" s="703">
        <f>F20</f>
        <v>100</v>
      </c>
      <c r="T20" s="702" t="s">
        <v>14</v>
      </c>
      <c r="U20" s="703">
        <f>H20</f>
        <v>100</v>
      </c>
      <c r="V20" s="702" t="s">
        <v>14</v>
      </c>
      <c r="W20" s="703">
        <f>J20</f>
        <v>100</v>
      </c>
      <c r="X20" s="1352"/>
      <c r="Y20" s="3689"/>
      <c r="Z20" s="1353" t="str">
        <f>Q20</f>
        <v>自然及人文环境</v>
      </c>
      <c r="AA20" s="1350">
        <f t="shared" si="3"/>
        <v>1</v>
      </c>
      <c r="AB20" s="1350">
        <f t="shared" si="4"/>
        <v>1</v>
      </c>
      <c r="AC20" s="1350">
        <f t="shared" si="5"/>
        <v>1</v>
      </c>
    </row>
    <row r="21" spans="1:29" ht="15">
      <c r="A21" s="358"/>
      <c r="B21" s="577"/>
      <c r="C21" s="398" t="s">
        <v>3386</v>
      </c>
      <c r="D21" s="399"/>
      <c r="E21" s="398" t="s">
        <v>3386</v>
      </c>
      <c r="F21" s="400"/>
      <c r="G21" s="398" t="s">
        <v>3386</v>
      </c>
      <c r="H21" s="399"/>
      <c r="I21" s="398" t="s">
        <v>3386</v>
      </c>
      <c r="J21" s="399"/>
      <c r="K21" s="562"/>
      <c r="L21" s="2713"/>
      <c r="M21" s="2707"/>
      <c r="N21" s="2707"/>
      <c r="O21" s="2707"/>
      <c r="P21" s="3689"/>
      <c r="Q21" s="1349"/>
      <c r="R21" s="702"/>
      <c r="S21" s="703"/>
      <c r="T21" s="702"/>
      <c r="U21" s="703"/>
      <c r="V21" s="702"/>
      <c r="W21" s="703"/>
      <c r="X21" s="1352"/>
      <c r="Y21" s="3689"/>
      <c r="Z21" s="1353"/>
      <c r="AA21" s="1350">
        <v>1</v>
      </c>
      <c r="AB21" s="1350">
        <v>1</v>
      </c>
      <c r="AC21" s="1350">
        <v>1</v>
      </c>
    </row>
    <row r="22" spans="1:29" ht="15.75" thickBot="1">
      <c r="A22" s="358"/>
      <c r="B22" s="576" t="s">
        <v>1835</v>
      </c>
      <c r="C22" s="563" t="s">
        <v>3531</v>
      </c>
      <c r="D22" s="401">
        <v>100</v>
      </c>
      <c r="E22" s="563" t="s">
        <v>3531</v>
      </c>
      <c r="F22" s="412">
        <f>SUMIF(71:71,E22,72:72)-SUMIF(71:71,C22,72:72)+100</f>
        <v>100</v>
      </c>
      <c r="G22" s="563" t="s">
        <v>3531</v>
      </c>
      <c r="H22" s="386">
        <f>SUMIF(71:71,G22,72:72)-SUMIF(71:71,C22,72:72)+100</f>
        <v>100</v>
      </c>
      <c r="I22" s="563" t="s">
        <v>3531</v>
      </c>
      <c r="J22" s="386">
        <f>SUMIF(71:71,I22,72:72)-SUMIF(71:71,C22,72:72)+100</f>
        <v>100</v>
      </c>
      <c r="K22" s="559">
        <v>5</v>
      </c>
      <c r="L22" s="2713"/>
      <c r="M22" s="2707"/>
      <c r="N22" s="2707"/>
      <c r="O22" s="2707"/>
      <c r="P22" s="3689"/>
      <c r="Q22" s="1349" t="str">
        <f>B22</f>
        <v>楼层</v>
      </c>
      <c r="R22" s="702" t="s">
        <v>14</v>
      </c>
      <c r="S22" s="703">
        <f>F22</f>
        <v>100</v>
      </c>
      <c r="T22" s="702" t="s">
        <v>14</v>
      </c>
      <c r="U22" s="703">
        <f>H22</f>
        <v>100</v>
      </c>
      <c r="V22" s="702" t="s">
        <v>14</v>
      </c>
      <c r="W22" s="703">
        <f>J22</f>
        <v>100</v>
      </c>
      <c r="X22" s="1352"/>
      <c r="Y22" s="3689"/>
      <c r="Z22" s="1353" t="str">
        <f>Q22</f>
        <v>楼层</v>
      </c>
      <c r="AA22" s="1350">
        <f t="shared" si="3"/>
        <v>1</v>
      </c>
      <c r="AB22" s="1350">
        <f t="shared" si="4"/>
        <v>1</v>
      </c>
      <c r="AC22" s="1350">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689"/>
      <c r="Q23" s="1349">
        <f>B23</f>
        <v>111</v>
      </c>
      <c r="R23" s="702" t="s">
        <v>14</v>
      </c>
      <c r="S23" s="703">
        <f>F23</f>
        <v>100</v>
      </c>
      <c r="T23" s="702" t="s">
        <v>14</v>
      </c>
      <c r="U23" s="703">
        <f>H23</f>
        <v>100</v>
      </c>
      <c r="V23" s="702" t="s">
        <v>14</v>
      </c>
      <c r="W23" s="703">
        <f>J23</f>
        <v>100</v>
      </c>
      <c r="X23" s="1352"/>
      <c r="Y23" s="3689"/>
      <c r="Z23" s="1353">
        <f>Q23</f>
        <v>111</v>
      </c>
      <c r="AA23" s="1350">
        <f t="shared" si="3"/>
        <v>1</v>
      </c>
      <c r="AB23" s="1350">
        <f t="shared" si="4"/>
        <v>1</v>
      </c>
      <c r="AC23" s="1350">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689"/>
      <c r="Q24" s="1349">
        <f t="shared" ref="Q24:Q36" si="11">B24</f>
        <v>111</v>
      </c>
      <c r="R24" s="702" t="s">
        <v>14</v>
      </c>
      <c r="S24" s="703">
        <f>F24</f>
        <v>100</v>
      </c>
      <c r="T24" s="702" t="s">
        <v>14</v>
      </c>
      <c r="U24" s="703">
        <f>H24</f>
        <v>100</v>
      </c>
      <c r="V24" s="702" t="s">
        <v>14</v>
      </c>
      <c r="W24" s="703">
        <f>J24</f>
        <v>100</v>
      </c>
      <c r="X24" s="1352"/>
      <c r="Y24" s="3689"/>
      <c r="Z24" s="1353">
        <f>Q24</f>
        <v>111</v>
      </c>
      <c r="AA24" s="1350">
        <f t="shared" si="3"/>
        <v>1</v>
      </c>
      <c r="AB24" s="1350">
        <f t="shared" si="4"/>
        <v>1</v>
      </c>
      <c r="AC24" s="1350">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708"/>
      <c r="M25" s="2709"/>
      <c r="N25" s="2709"/>
      <c r="O25" s="2709"/>
      <c r="P25" s="3689"/>
      <c r="Q25" s="1340">
        <f t="shared" si="11"/>
        <v>111</v>
      </c>
      <c r="R25" s="698" t="s">
        <v>14</v>
      </c>
      <c r="S25" s="699">
        <f>F25</f>
        <v>100</v>
      </c>
      <c r="T25" s="698" t="s">
        <v>14</v>
      </c>
      <c r="U25" s="699">
        <f>H25</f>
        <v>100</v>
      </c>
      <c r="V25" s="698" t="s">
        <v>14</v>
      </c>
      <c r="W25" s="699">
        <f>J25</f>
        <v>100</v>
      </c>
      <c r="X25" s="700"/>
      <c r="Y25" s="3689"/>
      <c r="Z25" s="52">
        <f>Q25</f>
        <v>111</v>
      </c>
      <c r="AA25" s="1350">
        <f>D25/F25</f>
        <v>1</v>
      </c>
      <c r="AB25" s="1350">
        <f>D25/H25</f>
        <v>1</v>
      </c>
      <c r="AC25" s="1350">
        <f>D25/J25</f>
        <v>1</v>
      </c>
    </row>
    <row r="26" spans="1:29" ht="28.5">
      <c r="A26" s="597" t="s">
        <v>1694</v>
      </c>
      <c r="B26" s="62" t="s">
        <v>1836</v>
      </c>
      <c r="C26" s="1968" t="str">
        <f>B1</f>
        <v>车库</v>
      </c>
      <c r="D26" s="399">
        <v>100</v>
      </c>
      <c r="E26" s="398" t="s">
        <v>3326</v>
      </c>
      <c r="F26" s="400">
        <f>SUMIF(79:79,E26,80:80)-SUMIF(79:79,C26,80:80)+100</f>
        <v>100</v>
      </c>
      <c r="G26" s="398" t="s">
        <v>3326</v>
      </c>
      <c r="H26" s="399">
        <f>SUMIF(79:79,G26,80:80)-SUMIF(79:79,C26,80:80)+100</f>
        <v>100</v>
      </c>
      <c r="I26" s="398" t="s">
        <v>3326</v>
      </c>
      <c r="J26" s="399">
        <f>SUMIF(79:79,I26,80:80)-SUMIF(79:79,C26,80:80)+100</f>
        <v>100</v>
      </c>
      <c r="K26" s="559">
        <v>2</v>
      </c>
      <c r="L26" s="2713"/>
      <c r="M26" s="2707"/>
      <c r="N26" s="2707"/>
      <c r="O26" s="2707"/>
      <c r="P26" s="3745" t="s">
        <v>1696</v>
      </c>
      <c r="Q26" s="1349" t="str">
        <f t="shared" si="11"/>
        <v>配套类型</v>
      </c>
      <c r="R26" s="702" t="s">
        <v>14</v>
      </c>
      <c r="S26" s="703">
        <f t="shared" ref="S26:S36" si="12">F26</f>
        <v>100</v>
      </c>
      <c r="T26" s="702" t="s">
        <v>14</v>
      </c>
      <c r="U26" s="703">
        <f t="shared" ref="U26:U36" si="13">H26</f>
        <v>100</v>
      </c>
      <c r="V26" s="702" t="s">
        <v>14</v>
      </c>
      <c r="W26" s="703">
        <f t="shared" ref="W26:W36" si="14">J26</f>
        <v>100</v>
      </c>
      <c r="X26" s="1352"/>
      <c r="Y26" s="3693" t="s">
        <v>1696</v>
      </c>
      <c r="Z26" s="1353" t="str">
        <f t="shared" ref="Z26:Z36" si="15">Q26</f>
        <v>配套类型</v>
      </c>
      <c r="AA26" s="1350">
        <f t="shared" si="3"/>
        <v>1</v>
      </c>
      <c r="AB26" s="1350">
        <f t="shared" si="4"/>
        <v>1</v>
      </c>
      <c r="AC26" s="1350">
        <f t="shared" si="5"/>
        <v>1</v>
      </c>
    </row>
    <row r="27" spans="1:29" s="422" customFormat="1" ht="15">
      <c r="A27" s="598"/>
      <c r="B27" s="599" t="s">
        <v>1837</v>
      </c>
      <c r="C27" s="600"/>
      <c r="D27" s="127">
        <v>100</v>
      </c>
      <c r="E27" s="600"/>
      <c r="F27" s="412">
        <f>SUMIF(81:81,E27,82:82)-SUMIF(81:81,C27,82:82)+100</f>
        <v>100</v>
      </c>
      <c r="G27" s="600"/>
      <c r="H27" s="386">
        <f>SUMIF(81:81,G27,82:82)-SUMIF(81:81,C27,82:82)+100</f>
        <v>100</v>
      </c>
      <c r="I27" s="600"/>
      <c r="J27" s="386">
        <f>SUMIF(81:81,I27,82:82)-SUMIF(81:81,C27,82:82)+100</f>
        <v>100</v>
      </c>
      <c r="K27" s="560"/>
      <c r="L27" s="2712"/>
      <c r="M27" s="2714"/>
      <c r="N27" s="2714"/>
      <c r="O27" s="2714"/>
      <c r="P27" s="3693"/>
      <c r="Q27" s="704" t="str">
        <f t="shared" si="11"/>
        <v>项目停车位配比</v>
      </c>
      <c r="R27" s="705" t="s">
        <v>14</v>
      </c>
      <c r="S27" s="706">
        <f t="shared" si="12"/>
        <v>100</v>
      </c>
      <c r="T27" s="705" t="s">
        <v>14</v>
      </c>
      <c r="U27" s="706">
        <f t="shared" si="13"/>
        <v>100</v>
      </c>
      <c r="V27" s="705" t="s">
        <v>14</v>
      </c>
      <c r="W27" s="706">
        <f t="shared" si="14"/>
        <v>100</v>
      </c>
      <c r="X27" s="707"/>
      <c r="Y27" s="3693"/>
      <c r="Z27" s="708" t="str">
        <f t="shared" si="15"/>
        <v>项目停车位配比</v>
      </c>
      <c r="AA27" s="1350">
        <f t="shared" si="3"/>
        <v>1</v>
      </c>
      <c r="AB27" s="1350">
        <f t="shared" si="4"/>
        <v>1</v>
      </c>
      <c r="AC27" s="1350">
        <f t="shared" si="5"/>
        <v>1</v>
      </c>
    </row>
    <row r="28" spans="1:29" ht="15">
      <c r="A28" s="601"/>
      <c r="B28" s="599" t="s">
        <v>1838</v>
      </c>
      <c r="C28" s="411" t="s">
        <v>3448</v>
      </c>
      <c r="D28" s="386">
        <v>100</v>
      </c>
      <c r="E28" s="411" t="s">
        <v>3448</v>
      </c>
      <c r="F28" s="412">
        <f>SUMIF(83:83,E28,84:84)-SUMIF(83:83,C28,84:84)+100</f>
        <v>100</v>
      </c>
      <c r="G28" s="411" t="s">
        <v>3448</v>
      </c>
      <c r="H28" s="386">
        <f>SUMIF(83:83,G28,84:84)-SUMIF(83:83,C28,84:84)+100</f>
        <v>100</v>
      </c>
      <c r="I28" s="411" t="s">
        <v>3448</v>
      </c>
      <c r="J28" s="386">
        <f>SUMIF(83:83,I28,84:84)-SUMIF(83:83,C28,84:84)+100</f>
        <v>100</v>
      </c>
      <c r="K28" s="559">
        <v>2</v>
      </c>
      <c r="L28" s="2713"/>
      <c r="M28" s="2707"/>
      <c r="N28" s="2707"/>
      <c r="O28" s="2707"/>
      <c r="P28" s="3693"/>
      <c r="Q28" s="1349" t="str">
        <f t="shared" si="11"/>
        <v>公共部分装修</v>
      </c>
      <c r="R28" s="702" t="s">
        <v>14</v>
      </c>
      <c r="S28" s="703">
        <f t="shared" si="12"/>
        <v>100</v>
      </c>
      <c r="T28" s="702" t="s">
        <v>14</v>
      </c>
      <c r="U28" s="703">
        <f t="shared" si="13"/>
        <v>100</v>
      </c>
      <c r="V28" s="702" t="s">
        <v>14</v>
      </c>
      <c r="W28" s="703">
        <f t="shared" si="14"/>
        <v>100</v>
      </c>
      <c r="X28" s="1352"/>
      <c r="Y28" s="3693"/>
      <c r="Z28" s="1353" t="str">
        <f t="shared" si="15"/>
        <v>公共部分装修</v>
      </c>
      <c r="AA28" s="1350">
        <f t="shared" si="3"/>
        <v>1</v>
      </c>
      <c r="AB28" s="1350">
        <f t="shared" si="4"/>
        <v>1</v>
      </c>
      <c r="AC28" s="1350">
        <f t="shared" si="5"/>
        <v>1</v>
      </c>
    </row>
    <row r="29" spans="1:29" ht="15">
      <c r="A29" s="601"/>
      <c r="B29" s="599"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693"/>
      <c r="Q29" s="1349" t="str">
        <f t="shared" si="11"/>
        <v>成新率</v>
      </c>
      <c r="R29" s="702" t="s">
        <v>14</v>
      </c>
      <c r="S29" s="703">
        <f t="shared" si="12"/>
        <v>100</v>
      </c>
      <c r="T29" s="702" t="s">
        <v>14</v>
      </c>
      <c r="U29" s="703">
        <f t="shared" si="13"/>
        <v>100</v>
      </c>
      <c r="V29" s="702" t="s">
        <v>14</v>
      </c>
      <c r="W29" s="703">
        <f t="shared" si="14"/>
        <v>100</v>
      </c>
      <c r="X29" s="1352"/>
      <c r="Y29" s="3693"/>
      <c r="Z29" s="1353" t="str">
        <f t="shared" si="15"/>
        <v>成新率</v>
      </c>
      <c r="AA29" s="1350">
        <f t="shared" si="3"/>
        <v>1</v>
      </c>
      <c r="AB29" s="1350">
        <f t="shared" si="4"/>
        <v>1</v>
      </c>
      <c r="AC29" s="1350">
        <f t="shared" si="5"/>
        <v>1</v>
      </c>
    </row>
    <row r="30" spans="1:29" ht="15">
      <c r="A30" s="601"/>
      <c r="B30" s="599" t="s">
        <v>1840</v>
      </c>
      <c r="C30" s="602" t="s">
        <v>3453</v>
      </c>
      <c r="D30" s="386">
        <v>100</v>
      </c>
      <c r="E30" s="602" t="s">
        <v>3453</v>
      </c>
      <c r="F30" s="412">
        <f>SUMIF(88:88,E30,89:89)-SUMIF(88:88,C30,89:89)+100</f>
        <v>100</v>
      </c>
      <c r="G30" s="602" t="s">
        <v>3453</v>
      </c>
      <c r="H30" s="386">
        <f>SUMIF(88:88,E30,89:89)-SUMIF(88:88,C30,89:89)+100</f>
        <v>100</v>
      </c>
      <c r="I30" s="602" t="s">
        <v>3453</v>
      </c>
      <c r="J30" s="386">
        <f>SUMIF(88:88,E30,89:89)-SUMIF(88:88,C30,89:89)+100</f>
        <v>100</v>
      </c>
      <c r="K30" s="559">
        <v>2</v>
      </c>
      <c r="L30" s="2713"/>
      <c r="M30" s="2707"/>
      <c r="N30" s="2707"/>
      <c r="O30" s="2707"/>
      <c r="P30" s="3693"/>
      <c r="Q30" s="1349" t="str">
        <f t="shared" si="11"/>
        <v>物业等级</v>
      </c>
      <c r="R30" s="702" t="s">
        <v>14</v>
      </c>
      <c r="S30" s="703">
        <f t="shared" si="12"/>
        <v>100</v>
      </c>
      <c r="T30" s="702" t="s">
        <v>14</v>
      </c>
      <c r="U30" s="703">
        <f t="shared" si="13"/>
        <v>100</v>
      </c>
      <c r="V30" s="702" t="s">
        <v>14</v>
      </c>
      <c r="W30" s="703">
        <f t="shared" si="14"/>
        <v>100</v>
      </c>
      <c r="X30" s="1352"/>
      <c r="Y30" s="3693"/>
      <c r="Z30" s="1353" t="str">
        <f t="shared" si="15"/>
        <v>物业等级</v>
      </c>
      <c r="AA30" s="1350">
        <f t="shared" si="3"/>
        <v>1</v>
      </c>
      <c r="AB30" s="1350">
        <f t="shared" si="4"/>
        <v>1</v>
      </c>
      <c r="AC30" s="1350">
        <f t="shared" si="5"/>
        <v>1</v>
      </c>
    </row>
    <row r="31" spans="1:29" s="108" customFormat="1" ht="15">
      <c r="A31" s="603"/>
      <c r="B31" s="599" t="s">
        <v>1841</v>
      </c>
      <c r="C31" s="420"/>
      <c r="D31" s="127">
        <v>100</v>
      </c>
      <c r="E31" s="420"/>
      <c r="F31" s="412">
        <f>LOOKUP(E31,91:91,92:92)-LOOKUP(C31,91:91,92:92)+100</f>
        <v>100</v>
      </c>
      <c r="G31" s="420"/>
      <c r="H31" s="386">
        <f>LOOKUP(G31,91:91,92:92)-LOOKUP(C31,91:91,92:92)+100</f>
        <v>100</v>
      </c>
      <c r="I31" s="420"/>
      <c r="J31" s="386">
        <f>LOOKUP(I31,91:91,92:92)-LOOKUP(C31,91:91,92:92)+100</f>
        <v>100</v>
      </c>
      <c r="K31" s="559">
        <v>1</v>
      </c>
      <c r="L31" s="2708"/>
      <c r="M31" s="2709"/>
      <c r="N31" s="2709"/>
      <c r="O31" s="2709"/>
      <c r="P31" s="3693"/>
      <c r="Q31" s="1340" t="str">
        <f t="shared" si="11"/>
        <v>停车位面积</v>
      </c>
      <c r="R31" s="698" t="s">
        <v>14</v>
      </c>
      <c r="S31" s="699">
        <f t="shared" si="12"/>
        <v>100</v>
      </c>
      <c r="T31" s="698" t="s">
        <v>14</v>
      </c>
      <c r="U31" s="699">
        <f t="shared" si="13"/>
        <v>100</v>
      </c>
      <c r="V31" s="698" t="s">
        <v>14</v>
      </c>
      <c r="W31" s="699">
        <f t="shared" si="14"/>
        <v>100</v>
      </c>
      <c r="X31" s="700"/>
      <c r="Y31" s="3693"/>
      <c r="Z31" s="52" t="str">
        <f t="shared" si="15"/>
        <v>停车位面积</v>
      </c>
      <c r="AA31" s="701">
        <f t="shared" si="3"/>
        <v>1</v>
      </c>
      <c r="AB31" s="701">
        <f t="shared" si="4"/>
        <v>1</v>
      </c>
      <c r="AC31" s="701">
        <f t="shared" si="5"/>
        <v>1</v>
      </c>
    </row>
    <row r="32" spans="1:29" ht="15">
      <c r="A32" s="601"/>
      <c r="B32" s="599" t="s">
        <v>1842</v>
      </c>
      <c r="C32" s="411" t="s">
        <v>3535</v>
      </c>
      <c r="D32" s="386">
        <v>100</v>
      </c>
      <c r="E32" s="411" t="s">
        <v>3535</v>
      </c>
      <c r="F32" s="412">
        <f>SUMIF(93:93,E32,94:94)-SUMIF(93:93,C32,94:94)+100</f>
        <v>100</v>
      </c>
      <c r="G32" s="411" t="s">
        <v>3535</v>
      </c>
      <c r="H32" s="386">
        <f>SUMIF(93:93,G32,94:94)-SUMIF(93:93,C32,94:94)+100</f>
        <v>100</v>
      </c>
      <c r="I32" s="411" t="s">
        <v>3535</v>
      </c>
      <c r="J32" s="386">
        <f>SUMIF(93:93,I32,94:94)-SUMIF(93:93,C32,94:94)+100</f>
        <v>100</v>
      </c>
      <c r="K32" s="559">
        <v>5</v>
      </c>
      <c r="L32" s="2713"/>
      <c r="M32" s="2707"/>
      <c r="N32" s="2707"/>
      <c r="O32" s="2707"/>
      <c r="P32" s="3693" t="s">
        <v>1696</v>
      </c>
      <c r="Q32" s="1349" t="str">
        <f t="shared" si="11"/>
        <v>车位类型</v>
      </c>
      <c r="R32" s="702" t="s">
        <v>14</v>
      </c>
      <c r="S32" s="703">
        <f t="shared" si="12"/>
        <v>100</v>
      </c>
      <c r="T32" s="702" t="s">
        <v>14</v>
      </c>
      <c r="U32" s="703">
        <f t="shared" si="13"/>
        <v>100</v>
      </c>
      <c r="V32" s="702" t="s">
        <v>14</v>
      </c>
      <c r="W32" s="703">
        <f t="shared" si="14"/>
        <v>100</v>
      </c>
      <c r="X32" s="1352"/>
      <c r="Y32" s="3693" t="s">
        <v>1696</v>
      </c>
      <c r="Z32" s="1353" t="str">
        <f t="shared" si="15"/>
        <v>车位类型</v>
      </c>
      <c r="AA32" s="1350">
        <f t="shared" si="3"/>
        <v>1</v>
      </c>
      <c r="AB32" s="1350">
        <f t="shared" si="4"/>
        <v>1</v>
      </c>
      <c r="AC32" s="1350">
        <f t="shared" si="5"/>
        <v>1</v>
      </c>
    </row>
    <row r="33" spans="1:29" ht="15.75" thickBot="1">
      <c r="A33" s="601"/>
      <c r="B33" s="599" t="s">
        <v>1843</v>
      </c>
      <c r="C33" s="411" t="s">
        <v>3373</v>
      </c>
      <c r="D33" s="386">
        <v>100</v>
      </c>
      <c r="E33" s="411" t="s">
        <v>3373</v>
      </c>
      <c r="F33" s="412">
        <f>SUMIF(95:95,E33,96:96)-SUMIF(95:95,C33,96:96)+100</f>
        <v>100</v>
      </c>
      <c r="G33" s="411" t="s">
        <v>3373</v>
      </c>
      <c r="H33" s="386">
        <f>SUMIF(95:95,G33,96:96)-SUMIF(95:95,C33,96:96)+100</f>
        <v>100</v>
      </c>
      <c r="I33" s="411" t="s">
        <v>3373</v>
      </c>
      <c r="J33" s="386">
        <f>SUMIF(95:95,I33,96:96)-SUMIF(95:95,C33,96:96)+100</f>
        <v>100</v>
      </c>
      <c r="K33" s="559">
        <v>10</v>
      </c>
      <c r="L33" s="2713"/>
      <c r="M33" s="2707"/>
      <c r="N33" s="2707"/>
      <c r="O33" s="2707"/>
      <c r="P33" s="3693"/>
      <c r="Q33" s="1349" t="str">
        <f t="shared" si="11"/>
        <v>是否直接入户</v>
      </c>
      <c r="R33" s="702" t="s">
        <v>14</v>
      </c>
      <c r="S33" s="703">
        <f t="shared" si="12"/>
        <v>100</v>
      </c>
      <c r="T33" s="702" t="s">
        <v>14</v>
      </c>
      <c r="U33" s="703">
        <f t="shared" si="13"/>
        <v>100</v>
      </c>
      <c r="V33" s="702" t="s">
        <v>14</v>
      </c>
      <c r="W33" s="703">
        <f t="shared" si="14"/>
        <v>100</v>
      </c>
      <c r="X33" s="1352"/>
      <c r="Y33" s="3693"/>
      <c r="Z33" s="1353" t="str">
        <f t="shared" si="15"/>
        <v>是否直接入户</v>
      </c>
      <c r="AA33" s="1350">
        <f t="shared" si="3"/>
        <v>1</v>
      </c>
      <c r="AB33" s="1350">
        <f t="shared" si="4"/>
        <v>1</v>
      </c>
      <c r="AC33" s="1350">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693"/>
      <c r="Q34" s="1349">
        <f t="shared" si="11"/>
        <v>111</v>
      </c>
      <c r="R34" s="702" t="s">
        <v>14</v>
      </c>
      <c r="S34" s="703">
        <f t="shared" si="12"/>
        <v>100</v>
      </c>
      <c r="T34" s="702" t="s">
        <v>14</v>
      </c>
      <c r="U34" s="703">
        <f t="shared" si="13"/>
        <v>100</v>
      </c>
      <c r="V34" s="702" t="s">
        <v>14</v>
      </c>
      <c r="W34" s="703">
        <f t="shared" si="14"/>
        <v>100</v>
      </c>
      <c r="X34" s="1352"/>
      <c r="Y34" s="3693"/>
      <c r="Z34" s="1353">
        <f t="shared" si="15"/>
        <v>111</v>
      </c>
      <c r="AA34" s="1350">
        <f t="shared" si="3"/>
        <v>1</v>
      </c>
      <c r="AB34" s="1350">
        <f t="shared" si="4"/>
        <v>1</v>
      </c>
      <c r="AC34" s="1350">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693"/>
      <c r="Q35" s="704">
        <f t="shared" si="11"/>
        <v>111</v>
      </c>
      <c r="R35" s="705" t="s">
        <v>14</v>
      </c>
      <c r="S35" s="706">
        <f t="shared" si="12"/>
        <v>100</v>
      </c>
      <c r="T35" s="705" t="s">
        <v>14</v>
      </c>
      <c r="U35" s="706">
        <f t="shared" si="13"/>
        <v>100</v>
      </c>
      <c r="V35" s="705" t="s">
        <v>14</v>
      </c>
      <c r="W35" s="706">
        <f t="shared" si="14"/>
        <v>100</v>
      </c>
      <c r="X35" s="707"/>
      <c r="Y35" s="3693"/>
      <c r="Z35" s="708">
        <f t="shared" si="15"/>
        <v>111</v>
      </c>
      <c r="AA35" s="1350">
        <f t="shared" si="3"/>
        <v>1</v>
      </c>
      <c r="AB35" s="1350">
        <f t="shared" si="4"/>
        <v>1</v>
      </c>
      <c r="AC35" s="1350">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693"/>
      <c r="Q36" s="1349">
        <f t="shared" si="11"/>
        <v>111</v>
      </c>
      <c r="R36" s="702" t="s">
        <v>14</v>
      </c>
      <c r="S36" s="703">
        <f t="shared" si="12"/>
        <v>100</v>
      </c>
      <c r="T36" s="702" t="s">
        <v>14</v>
      </c>
      <c r="U36" s="703">
        <f t="shared" si="13"/>
        <v>100</v>
      </c>
      <c r="V36" s="702" t="s">
        <v>14</v>
      </c>
      <c r="W36" s="703">
        <f t="shared" si="14"/>
        <v>100</v>
      </c>
      <c r="X36" s="1352"/>
      <c r="Y36" s="3693"/>
      <c r="Z36" s="1353">
        <f t="shared" si="15"/>
        <v>111</v>
      </c>
      <c r="AA36" s="1350">
        <f t="shared" si="3"/>
        <v>1</v>
      </c>
      <c r="AB36" s="1350">
        <f t="shared" si="4"/>
        <v>1</v>
      </c>
      <c r="AC36" s="1350">
        <f t="shared" si="5"/>
        <v>1</v>
      </c>
    </row>
    <row r="37" spans="1:29" ht="15">
      <c r="A37" s="428" t="s">
        <v>1844</v>
      </c>
      <c r="B37" s="1969" t="s">
        <v>3541</v>
      </c>
      <c r="C37" s="1151" t="s">
        <v>0</v>
      </c>
      <c r="D37" s="1152"/>
      <c r="E37" s="1153"/>
      <c r="F37" s="1154"/>
      <c r="G37" s="1155"/>
      <c r="H37" s="1156"/>
      <c r="I37" s="1153"/>
      <c r="J37" s="1156"/>
      <c r="K37" s="565"/>
      <c r="L37" s="2715"/>
      <c r="M37" s="2716"/>
      <c r="N37" s="2707"/>
      <c r="O37" s="2716"/>
      <c r="P37" s="3686" t="str">
        <f>A37</f>
        <v>成交单价</v>
      </c>
      <c r="Q37" s="3686"/>
      <c r="R37" s="3687">
        <f>E37</f>
        <v>0</v>
      </c>
      <c r="S37" s="3687"/>
      <c r="T37" s="3687">
        <f>G37</f>
        <v>0</v>
      </c>
      <c r="U37" s="3687"/>
      <c r="V37" s="3687">
        <f>I37</f>
        <v>0</v>
      </c>
      <c r="W37" s="3687"/>
      <c r="X37" s="687"/>
      <c r="Y37" s="709"/>
      <c r="Z37" s="687"/>
      <c r="AA37" s="687"/>
      <c r="AB37" s="687"/>
      <c r="AC37" s="687"/>
    </row>
    <row r="38" spans="1:29" ht="15.75" thickBot="1">
      <c r="A38" s="435" t="s">
        <v>1845</v>
      </c>
      <c r="B38" s="436" t="str">
        <f>B37</f>
        <v>元/车位</v>
      </c>
      <c r="C38" s="1157">
        <f>R39</f>
        <v>0</v>
      </c>
      <c r="D38" s="2313" t="s">
        <v>2138</v>
      </c>
      <c r="E38" s="1158">
        <f>R38</f>
        <v>0</v>
      </c>
      <c r="F38" s="2314"/>
      <c r="G38" s="1157">
        <f>T38</f>
        <v>0</v>
      </c>
      <c r="H38" s="2314"/>
      <c r="I38" s="1158">
        <f>V38</f>
        <v>0</v>
      </c>
      <c r="J38" s="2314"/>
      <c r="K38" s="2316">
        <f>F38+H38+J38</f>
        <v>0</v>
      </c>
      <c r="L38" s="2715"/>
      <c r="M38" s="2716"/>
      <c r="N38" s="2716"/>
      <c r="O38" s="2716"/>
      <c r="P38" s="3686" t="str">
        <f>A38</f>
        <v>比较价值（元/平方米）</v>
      </c>
      <c r="Q38" s="3686"/>
      <c r="R38" s="3687">
        <f>IF(F1="售价",ROUND(PRODUCT(R37,AA7:AA36),0),ROUND(PRODUCT(R37,AA7:AA36),1))</f>
        <v>0</v>
      </c>
      <c r="S38" s="3687"/>
      <c r="T38" s="3687">
        <f>IF(F1="售价",ROUND(PRODUCT(T37,AB7:AB36),0),ROUND(PRODUCT(T37,AB7:AB36),1))</f>
        <v>0</v>
      </c>
      <c r="U38" s="3687"/>
      <c r="V38" s="3687">
        <f>IF(F1="售价",ROUND(PRODUCT(V37,AC7:AC36),0),ROUND(PRODUCT(V37,AC7:AC36),1))</f>
        <v>0</v>
      </c>
      <c r="W38" s="3687"/>
      <c r="X38" s="687"/>
      <c r="Y38" s="687"/>
      <c r="Z38" s="687"/>
      <c r="AA38" s="687"/>
      <c r="AB38" s="687"/>
      <c r="AC38" s="687"/>
    </row>
    <row r="39" spans="1:29" ht="15.75" thickBot="1">
      <c r="A39" s="439" t="s">
        <v>1846</v>
      </c>
      <c r="B39" s="440"/>
      <c r="C39" s="1160">
        <f>R39</f>
        <v>0</v>
      </c>
      <c r="D39" s="1160"/>
      <c r="E39" s="1160"/>
      <c r="F39" s="1160"/>
      <c r="G39" s="1160"/>
      <c r="H39" s="1160"/>
      <c r="I39" s="1160"/>
      <c r="J39" s="1160"/>
      <c r="K39" s="566"/>
      <c r="L39" s="2715"/>
      <c r="M39" s="2716"/>
      <c r="N39" s="2716"/>
      <c r="O39" s="2716"/>
      <c r="P39" s="3683" t="str">
        <f>A39</f>
        <v>估价对象XX用房的比较价值（楼面单价，元/平方米）</v>
      </c>
      <c r="Q39" s="3684"/>
      <c r="R39" s="3746">
        <f>IF(F1="售价",ROUND(IF(D38="简单平均",AVERAGE(R38:W38),R38*F38+T38*H38+V38*J38),0),ROUND(IF(D38="简单平均",AVERAGE(R38:V38),R38*F38+T38*H38+V38*J38),1))</f>
        <v>0</v>
      </c>
      <c r="S39" s="3746"/>
      <c r="T39" s="3746"/>
      <c r="U39" s="3746"/>
      <c r="V39" s="3746"/>
      <c r="W39" s="3746"/>
      <c r="X39" s="687"/>
      <c r="Y39" s="687"/>
      <c r="Z39" s="687"/>
      <c r="AA39" s="687"/>
      <c r="AB39" s="687"/>
      <c r="AC39" s="687"/>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3" t="s">
        <v>1850</v>
      </c>
      <c r="B47" s="924"/>
      <c r="C47" s="937"/>
      <c r="D47" s="937"/>
      <c r="E47" s="937"/>
      <c r="F47" s="1164"/>
      <c r="G47" s="1164"/>
      <c r="H47" s="937"/>
      <c r="I47" s="937"/>
      <c r="J47" s="937"/>
      <c r="K47" s="938"/>
      <c r="L47" s="939"/>
      <c r="M47" s="937"/>
      <c r="N47" s="2760"/>
      <c r="O47" s="2760"/>
      <c r="P47" s="2749"/>
      <c r="Q47" s="2730"/>
      <c r="R47" s="2716"/>
      <c r="S47" s="2716"/>
      <c r="T47" s="2716"/>
      <c r="U47" s="2716"/>
      <c r="V47" s="2716"/>
      <c r="W47" s="2716"/>
      <c r="X47" s="2716"/>
      <c r="Y47" s="2716"/>
      <c r="Z47" s="2716"/>
      <c r="AA47" s="2716"/>
      <c r="AB47" s="2716"/>
      <c r="AC47" s="2716"/>
    </row>
    <row r="48" spans="1:29" s="455" customFormat="1" ht="15">
      <c r="A48" s="452" t="s">
        <v>1851</v>
      </c>
      <c r="B48" s="453"/>
      <c r="C48" s="1181" t="str">
        <f>YEAR(C7)&amp;"-"&amp;MONTH(C7)</f>
        <v>2023-5</v>
      </c>
      <c r="D48" s="1182">
        <f>EDATE(C48,-1)</f>
        <v>45017</v>
      </c>
      <c r="E48" s="1182">
        <f t="shared" ref="E48:O48" si="16">EDATE(D48,-1)</f>
        <v>44986</v>
      </c>
      <c r="F48" s="1182">
        <f t="shared" si="16"/>
        <v>44958</v>
      </c>
      <c r="G48" s="1182">
        <f t="shared" si="16"/>
        <v>44927</v>
      </c>
      <c r="H48" s="1182">
        <f t="shared" si="16"/>
        <v>44896</v>
      </c>
      <c r="I48" s="1182">
        <f t="shared" si="16"/>
        <v>44866</v>
      </c>
      <c r="J48" s="1182">
        <f t="shared" si="16"/>
        <v>44835</v>
      </c>
      <c r="K48" s="1182">
        <f t="shared" si="16"/>
        <v>44805</v>
      </c>
      <c r="L48" s="1182">
        <f t="shared" si="16"/>
        <v>44774</v>
      </c>
      <c r="M48" s="1182">
        <f t="shared" si="16"/>
        <v>44743</v>
      </c>
      <c r="N48" s="1182">
        <f t="shared" si="16"/>
        <v>44713</v>
      </c>
      <c r="O48" s="1182">
        <f t="shared" si="16"/>
        <v>44682</v>
      </c>
      <c r="P48" s="2750"/>
      <c r="Q48" s="2732"/>
      <c r="R48" s="2732"/>
      <c r="S48" s="2732"/>
      <c r="T48" s="2732"/>
      <c r="U48" s="2732"/>
      <c r="V48" s="2732"/>
      <c r="W48" s="2732"/>
      <c r="X48" s="2732"/>
      <c r="Y48" s="2732"/>
      <c r="Z48" s="2732"/>
      <c r="AA48" s="2732"/>
      <c r="AB48" s="2732"/>
      <c r="AC48" s="2732"/>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1716</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1681</v>
      </c>
      <c r="B51" s="457"/>
      <c r="C51" s="469" t="s">
        <v>1776</v>
      </c>
      <c r="D51" s="3449" t="s">
        <v>3530</v>
      </c>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4">
        <v>100</v>
      </c>
      <c r="D52" s="459">
        <v>102</v>
      </c>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1719</v>
      </c>
      <c r="B53" s="475" t="s">
        <v>1685</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1688</v>
      </c>
      <c r="C55" s="530" t="s">
        <v>3514</v>
      </c>
      <c r="D55" s="530" t="s">
        <v>3515</v>
      </c>
      <c r="E55" s="530" t="s">
        <v>3516</v>
      </c>
      <c r="F55" s="3450" t="s">
        <v>3518</v>
      </c>
      <c r="G55" s="530" t="s">
        <v>3517</v>
      </c>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v>100</v>
      </c>
      <c r="D56" s="483">
        <f>C56-2</f>
        <v>98</v>
      </c>
      <c r="E56" s="483">
        <f>D56-2</f>
        <v>96</v>
      </c>
      <c r="F56" s="483">
        <f>E56-2</f>
        <v>94</v>
      </c>
      <c r="G56" s="483">
        <f>F56-2</f>
        <v>92</v>
      </c>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5">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1727</v>
      </c>
      <c r="C65" s="525" t="s">
        <v>1721</v>
      </c>
      <c r="D65" s="525" t="s">
        <v>1722</v>
      </c>
      <c r="E65" s="525" t="s">
        <v>1723</v>
      </c>
      <c r="F65" s="525" t="s">
        <v>1724</v>
      </c>
      <c r="G65" s="525" t="s">
        <v>1725</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1813</v>
      </c>
      <c r="C67" s="605" t="s">
        <v>1799</v>
      </c>
      <c r="D67" s="605" t="s">
        <v>1800</v>
      </c>
      <c r="E67" s="605" t="s">
        <v>1801</v>
      </c>
      <c r="F67" s="605" t="s">
        <v>1802</v>
      </c>
      <c r="G67" s="605" t="s">
        <v>1803</v>
      </c>
      <c r="H67" s="486"/>
      <c r="I67" s="486"/>
      <c r="J67" s="486"/>
      <c r="K67" s="486"/>
      <c r="L67" s="486"/>
      <c r="M67" s="1126"/>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5"/>
      <c r="I68" s="605"/>
      <c r="J68" s="605"/>
      <c r="K68" s="605"/>
      <c r="L68" s="605"/>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1733</v>
      </c>
      <c r="C69" s="525" t="s">
        <v>1721</v>
      </c>
      <c r="D69" s="525" t="s">
        <v>1722</v>
      </c>
      <c r="E69" s="525" t="s">
        <v>1723</v>
      </c>
      <c r="F69" s="525" t="s">
        <v>1724</v>
      </c>
      <c r="G69" s="525" t="s">
        <v>1725</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1852</v>
      </c>
      <c r="C71" s="3451" t="s">
        <v>3532</v>
      </c>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95</v>
      </c>
      <c r="E72" s="491">
        <f>D72-$K22</f>
        <v>90</v>
      </c>
      <c r="F72" s="491">
        <f>E72-$K22</f>
        <v>85</v>
      </c>
      <c r="G72" s="491">
        <f>F72-$K22</f>
        <v>80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1694</v>
      </c>
      <c r="B79" s="475" t="s">
        <v>1853</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1854</v>
      </c>
      <c r="C81" s="606"/>
      <c r="D81" s="606"/>
      <c r="E81" s="606"/>
      <c r="F81" s="606"/>
      <c r="G81" s="606"/>
      <c r="H81" s="606"/>
      <c r="I81" s="606"/>
      <c r="J81" s="606"/>
      <c r="K81" s="607"/>
      <c r="L81" s="608"/>
      <c r="M81" s="609"/>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1740</v>
      </c>
      <c r="C83" s="3451" t="s">
        <v>3447</v>
      </c>
      <c r="D83" s="3451" t="s">
        <v>3449</v>
      </c>
      <c r="E83" s="3451" t="s">
        <v>3450</v>
      </c>
      <c r="F83" s="3454" t="s">
        <v>3451</v>
      </c>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8"/>
      <c r="J86" s="568"/>
      <c r="K86" s="569"/>
      <c r="L86" s="570"/>
      <c r="M86" s="571"/>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1856</v>
      </c>
      <c r="C88" s="3453" t="s">
        <v>3533</v>
      </c>
      <c r="D88" s="3453" t="s">
        <v>3534</v>
      </c>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1857</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46"/>
      <c r="O92" s="2746"/>
      <c r="P92" s="2754"/>
      <c r="Q92" s="2737"/>
      <c r="R92" s="2738"/>
      <c r="S92" s="2738"/>
      <c r="T92" s="2738"/>
      <c r="U92" s="2738"/>
      <c r="V92" s="2738"/>
      <c r="W92" s="2738"/>
      <c r="X92" s="2738"/>
      <c r="Y92" s="2738"/>
      <c r="Z92" s="2738"/>
      <c r="AA92" s="2738"/>
      <c r="AB92" s="2738"/>
      <c r="AC92" s="2738"/>
    </row>
    <row r="93" spans="1:29" ht="15" thickTop="1">
      <c r="A93" s="546"/>
      <c r="B93" s="485" t="s">
        <v>1858</v>
      </c>
      <c r="C93" s="3451" t="s">
        <v>3536</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1859</v>
      </c>
      <c r="C95" s="3453" t="s">
        <v>3537</v>
      </c>
      <c r="D95" s="3453" t="s">
        <v>3538</v>
      </c>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90</v>
      </c>
      <c r="E96" s="491">
        <f>D96-$K33</f>
        <v>80</v>
      </c>
      <c r="F96" s="491">
        <f>E96-$K33</f>
        <v>70</v>
      </c>
      <c r="G96" s="491">
        <f>F96-$K33</f>
        <v>60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1">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3327</v>
      </c>
      <c r="C1" s="1221" t="s">
        <v>1662</v>
      </c>
      <c r="D1" s="1222"/>
      <c r="E1" s="3424"/>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1464</v>
      </c>
      <c r="B3" s="556" t="e">
        <f>IF(C2="——",C37,ROUND(B2*10000/D3,0))</f>
        <v>#DIV/0!</v>
      </c>
      <c r="C3" s="354" t="s">
        <v>1768</v>
      </c>
      <c r="D3" s="353">
        <f>SUMIF('数据-汇总表'!$C19:$C33,D1,'数据-汇总表'!$E19:$E33)</f>
        <v>0</v>
      </c>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1769</v>
      </c>
      <c r="B4" s="356"/>
      <c r="C4" s="3701" t="s">
        <v>1770</v>
      </c>
      <c r="D4" s="3702"/>
      <c r="E4" s="3703" t="s">
        <v>1771</v>
      </c>
      <c r="F4" s="3704"/>
      <c r="G4" s="3701" t="s">
        <v>1772</v>
      </c>
      <c r="H4" s="3702"/>
      <c r="I4" s="3701" t="s">
        <v>1773</v>
      </c>
      <c r="J4" s="3702"/>
      <c r="K4" s="557" t="s">
        <v>1774</v>
      </c>
      <c r="L4" s="2706"/>
      <c r="M4" s="2707"/>
      <c r="N4" s="2707"/>
      <c r="O4" s="2707"/>
      <c r="P4" s="3705" t="s">
        <v>1775</v>
      </c>
      <c r="Q4" s="3706"/>
      <c r="R4" s="3711" t="s">
        <v>1771</v>
      </c>
      <c r="S4" s="3712"/>
      <c r="T4" s="3711" t="s">
        <v>1772</v>
      </c>
      <c r="U4" s="3712"/>
      <c r="V4" s="3717" t="s">
        <v>1773</v>
      </c>
      <c r="W4" s="3717"/>
      <c r="X4" s="1352"/>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7"/>
      <c r="L5" s="2706"/>
      <c r="M5" s="2707"/>
      <c r="N5" s="2707"/>
      <c r="O5" s="2707"/>
      <c r="P5" s="3707"/>
      <c r="Q5" s="3708"/>
      <c r="R5" s="3713"/>
      <c r="S5" s="3714"/>
      <c r="T5" s="3713"/>
      <c r="U5" s="3714"/>
      <c r="V5" s="3717"/>
      <c r="W5" s="3717"/>
      <c r="X5" s="1352"/>
      <c r="Y5" s="3713"/>
      <c r="Z5" s="3714"/>
      <c r="AA5" s="3699"/>
      <c r="AB5" s="3699"/>
      <c r="AC5" s="3699"/>
    </row>
    <row r="6" spans="1:29" ht="15.75" thickBot="1">
      <c r="A6" s="360"/>
      <c r="B6" s="361"/>
      <c r="C6" s="3718" t="s">
        <v>1677</v>
      </c>
      <c r="D6" s="3719"/>
      <c r="E6" s="3725" t="s">
        <v>1677</v>
      </c>
      <c r="F6" s="3726"/>
      <c r="G6" s="3718" t="s">
        <v>1677</v>
      </c>
      <c r="H6" s="3719"/>
      <c r="I6" s="3718" t="s">
        <v>1677</v>
      </c>
      <c r="J6" s="3719"/>
      <c r="K6" s="557" t="s">
        <v>1678</v>
      </c>
      <c r="L6" s="2706"/>
      <c r="M6" s="2707"/>
      <c r="N6" s="2707"/>
      <c r="O6" s="2707"/>
      <c r="P6" s="3709"/>
      <c r="Q6" s="3710"/>
      <c r="R6" s="3713"/>
      <c r="S6" s="3714"/>
      <c r="T6" s="3715"/>
      <c r="U6" s="3716"/>
      <c r="V6" s="3717"/>
      <c r="W6" s="3717"/>
      <c r="X6" s="1352"/>
      <c r="Y6" s="3715"/>
      <c r="Z6" s="3716"/>
      <c r="AA6" s="3700"/>
      <c r="AB6" s="3700"/>
      <c r="AC6" s="3700"/>
    </row>
    <row r="7" spans="1:29" s="108" customFormat="1" ht="15.75" thickBot="1">
      <c r="A7" s="362" t="s">
        <v>1679</v>
      </c>
      <c r="B7" s="363"/>
      <c r="C7" s="364">
        <f>'数据-取费表'!B2</f>
        <v>45076</v>
      </c>
      <c r="D7" s="365">
        <v>100</v>
      </c>
      <c r="E7" s="366">
        <f>C7</f>
        <v>45076</v>
      </c>
      <c r="F7" s="367">
        <f>SUMIF(46:46,YEAR(E7)&amp;"-"&amp;MONTH(E7),47:47)</f>
        <v>100</v>
      </c>
      <c r="G7" s="1970">
        <f>C7</f>
        <v>45076</v>
      </c>
      <c r="H7" s="365">
        <f>SUMIF(46:46,YEAR(G7)&amp;"-"&amp;MONTH(G7),47:47)</f>
        <v>100</v>
      </c>
      <c r="I7" s="366">
        <f>C7</f>
        <v>45076</v>
      </c>
      <c r="J7" s="365">
        <f>SUMIF(46:46,YEAR(I7)&amp;"-"&amp;MONTH(I7),47:47)</f>
        <v>100</v>
      </c>
      <c r="K7" s="558"/>
      <c r="L7" s="2708"/>
      <c r="M7" s="2709"/>
      <c r="N7" s="2709"/>
      <c r="O7" s="2709"/>
      <c r="P7" s="3722" t="s">
        <v>1680</v>
      </c>
      <c r="Q7" s="3724"/>
      <c r="R7" s="698" t="s">
        <v>14</v>
      </c>
      <c r="S7" s="699">
        <f t="shared" ref="S7:S14" si="0">F7</f>
        <v>100</v>
      </c>
      <c r="T7" s="698" t="s">
        <v>14</v>
      </c>
      <c r="U7" s="699">
        <f t="shared" ref="U7:U14" si="1">H7</f>
        <v>100</v>
      </c>
      <c r="V7" s="698" t="s">
        <v>14</v>
      </c>
      <c r="W7" s="699">
        <f t="shared" ref="W7:W14" si="2">J7</f>
        <v>100</v>
      </c>
      <c r="X7" s="700"/>
      <c r="Y7" s="3722" t="s">
        <v>1680</v>
      </c>
      <c r="Z7" s="3723"/>
      <c r="AA7" s="701">
        <f>D7/F7</f>
        <v>1</v>
      </c>
      <c r="AB7" s="701">
        <f>D7/H7</f>
        <v>1</v>
      </c>
      <c r="AC7" s="701">
        <f>D7/J7</f>
        <v>1</v>
      </c>
    </row>
    <row r="8" spans="1:29" s="108" customFormat="1" ht="15.75" thickBot="1">
      <c r="A8" s="362" t="s">
        <v>1681</v>
      </c>
      <c r="B8" s="363"/>
      <c r="C8" s="368" t="s">
        <v>3400</v>
      </c>
      <c r="D8" s="365">
        <v>100</v>
      </c>
      <c r="E8" s="368" t="s">
        <v>3412</v>
      </c>
      <c r="F8" s="367">
        <f>SUMIF(49:49,E8,50:50)-SUMIF(49:49,C8,50:50)+100</f>
        <v>102</v>
      </c>
      <c r="G8" s="368" t="s">
        <v>3412</v>
      </c>
      <c r="H8" s="365">
        <f>SUMIF(49:49,G8,50:50)-SUMIF(49:49,C8,50:50)+100</f>
        <v>102</v>
      </c>
      <c r="I8" s="368" t="s">
        <v>3412</v>
      </c>
      <c r="J8" s="365">
        <f>SUMIF(49:49,I8,50:50)-SUMIF(49:49,C8,50:50)+100</f>
        <v>102</v>
      </c>
      <c r="K8" s="558"/>
      <c r="L8" s="2708"/>
      <c r="M8" s="2709"/>
      <c r="N8" s="2709"/>
      <c r="O8" s="2709"/>
      <c r="P8" s="3722" t="s">
        <v>1683</v>
      </c>
      <c r="Q8" s="3723"/>
      <c r="R8" s="698" t="s">
        <v>14</v>
      </c>
      <c r="S8" s="699">
        <f t="shared" si="0"/>
        <v>102</v>
      </c>
      <c r="T8" s="698" t="s">
        <v>14</v>
      </c>
      <c r="U8" s="699">
        <f t="shared" si="1"/>
        <v>102</v>
      </c>
      <c r="V8" s="698" t="s">
        <v>14</v>
      </c>
      <c r="W8" s="699">
        <f t="shared" si="2"/>
        <v>102</v>
      </c>
      <c r="X8" s="700"/>
      <c r="Y8" s="3722" t="s">
        <v>1683</v>
      </c>
      <c r="Z8" s="3723"/>
      <c r="AA8" s="701">
        <f t="shared" ref="AA8:AA34" si="3">D8/F8</f>
        <v>0.98039215686274506</v>
      </c>
      <c r="AB8" s="701">
        <f t="shared" ref="AB8:AB34" si="4">D8/H8</f>
        <v>0.98039215686274506</v>
      </c>
      <c r="AC8" s="701">
        <f t="shared" ref="AC8:AC34" si="5">D8/J8</f>
        <v>0.98039215686274506</v>
      </c>
    </row>
    <row r="9" spans="1:29" s="108" customFormat="1">
      <c r="A9" s="369" t="s">
        <v>1684</v>
      </c>
      <c r="B9" s="63" t="s">
        <v>1685</v>
      </c>
      <c r="C9" s="3456" t="s">
        <v>3547</v>
      </c>
      <c r="D9" s="126">
        <v>100</v>
      </c>
      <c r="E9" s="373" t="s">
        <v>3327</v>
      </c>
      <c r="F9" s="372">
        <f>SUMIF(51:51,E9,52:52)-SUMIF(51:51,C9,52:52)+100</f>
        <v>100</v>
      </c>
      <c r="G9" s="373" t="s">
        <v>3327</v>
      </c>
      <c r="H9" s="126">
        <f>SUMIF(51:51,G9,52:52)-SUMIF(51:51,C9,52:52)+100</f>
        <v>100</v>
      </c>
      <c r="I9" s="373" t="s">
        <v>3327</v>
      </c>
      <c r="J9" s="126">
        <f>SUMIF(51:51,I9,52:52)-SUMIF(51:51,C9,52:52)+100</f>
        <v>100</v>
      </c>
      <c r="K9" s="558"/>
      <c r="L9" s="2708"/>
      <c r="M9" s="2709"/>
      <c r="N9" s="2709"/>
      <c r="O9" s="2763"/>
      <c r="P9" s="3686" t="s">
        <v>1686</v>
      </c>
      <c r="Q9" s="1340" t="str">
        <f t="shared" ref="Q9:Q14" si="6">B9</f>
        <v>用途</v>
      </c>
      <c r="R9" s="698" t="s">
        <v>14</v>
      </c>
      <c r="S9" s="699">
        <f t="shared" si="0"/>
        <v>100</v>
      </c>
      <c r="T9" s="698" t="s">
        <v>14</v>
      </c>
      <c r="U9" s="699">
        <f t="shared" si="1"/>
        <v>100</v>
      </c>
      <c r="V9" s="698" t="s">
        <v>14</v>
      </c>
      <c r="W9" s="699">
        <f t="shared" si="2"/>
        <v>100</v>
      </c>
      <c r="X9" s="700"/>
      <c r="Y9" s="3561" t="s">
        <v>1687</v>
      </c>
      <c r="Z9" s="52" t="str">
        <f t="shared" ref="Z9:Z14" si="7">Q9</f>
        <v>用途</v>
      </c>
      <c r="AA9" s="701">
        <f t="shared" si="3"/>
        <v>1</v>
      </c>
      <c r="AB9" s="701">
        <f t="shared" si="4"/>
        <v>1</v>
      </c>
      <c r="AC9" s="701">
        <f t="shared" si="5"/>
        <v>1</v>
      </c>
    </row>
    <row r="10" spans="1:29" s="378" customFormat="1" ht="27.75" thickBot="1">
      <c r="A10" s="374"/>
      <c r="B10" s="375" t="s">
        <v>1688</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686"/>
      <c r="Q10" s="1340" t="str">
        <f t="shared" si="6"/>
        <v>土地使用年限（年）</v>
      </c>
      <c r="R10" s="698" t="s">
        <v>14</v>
      </c>
      <c r="S10" s="699">
        <f t="shared" si="0"/>
        <v>100</v>
      </c>
      <c r="T10" s="698" t="s">
        <v>14</v>
      </c>
      <c r="U10" s="699">
        <f t="shared" si="1"/>
        <v>100</v>
      </c>
      <c r="V10" s="698" t="s">
        <v>14</v>
      </c>
      <c r="W10" s="699">
        <f t="shared" si="2"/>
        <v>100</v>
      </c>
      <c r="X10" s="700"/>
      <c r="Y10" s="3561"/>
      <c r="Z10" s="52" t="str">
        <f t="shared" si="7"/>
        <v>土地使用年限（年）</v>
      </c>
      <c r="AA10" s="701">
        <f t="shared" si="3"/>
        <v>1</v>
      </c>
      <c r="AB10" s="701">
        <f t="shared" si="4"/>
        <v>1</v>
      </c>
      <c r="AC10" s="701">
        <f t="shared" si="5"/>
        <v>1</v>
      </c>
    </row>
    <row r="11" spans="1:29" ht="15" hidden="1">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686"/>
      <c r="Q11" s="1340">
        <f t="shared" si="6"/>
        <v>111</v>
      </c>
      <c r="R11" s="698" t="s">
        <v>14</v>
      </c>
      <c r="S11" s="699">
        <f t="shared" si="0"/>
        <v>100</v>
      </c>
      <c r="T11" s="698" t="s">
        <v>14</v>
      </c>
      <c r="U11" s="699">
        <f t="shared" si="1"/>
        <v>100</v>
      </c>
      <c r="V11" s="698" t="s">
        <v>14</v>
      </c>
      <c r="W11" s="699">
        <f t="shared" si="2"/>
        <v>100</v>
      </c>
      <c r="X11" s="700"/>
      <c r="Y11" s="3561"/>
      <c r="Z11" s="52">
        <f t="shared" si="7"/>
        <v>111</v>
      </c>
      <c r="AA11" s="701">
        <f t="shared" si="3"/>
        <v>1</v>
      </c>
      <c r="AB11" s="701">
        <f t="shared" si="4"/>
        <v>1</v>
      </c>
      <c r="AC11" s="701">
        <f t="shared" si="5"/>
        <v>1</v>
      </c>
    </row>
    <row r="12" spans="1:29" s="108" customFormat="1" ht="15" hidden="1">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686"/>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75" hidden="1" thickBot="1">
      <c r="A13" s="379"/>
      <c r="B13" s="1890">
        <v>111</v>
      </c>
      <c r="C13" s="385"/>
      <c r="D13" s="386">
        <v>100</v>
      </c>
      <c r="E13" s="420"/>
      <c r="F13" s="376">
        <f>SUMIF(59:59,E13,60:60)-SUMIF(59:59,C13,60:60)+100</f>
        <v>100</v>
      </c>
      <c r="G13" s="1971"/>
      <c r="H13" s="389">
        <f>SUMIF(59:59,G13,60:60)-SUMIF(59:59,C13,60:60)+100</f>
        <v>100</v>
      </c>
      <c r="I13" s="420"/>
      <c r="J13" s="386">
        <f>SUMIF(59:59,I13,60:60)-SUMIF(59:59,C13,60:60)+100</f>
        <v>100</v>
      </c>
      <c r="K13" s="560"/>
      <c r="L13" s="2713"/>
      <c r="M13" s="2707"/>
      <c r="N13" s="2707"/>
      <c r="O13" s="2765"/>
      <c r="P13" s="3686"/>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
      <c r="A14" s="391" t="s">
        <v>1690</v>
      </c>
      <c r="B14" s="61" t="s">
        <v>1833</v>
      </c>
      <c r="C14" s="1967" t="str">
        <f>IF(B1="工业",估价对象房地状况!G4,估价对象房地状况!C6)</f>
        <v>较好</v>
      </c>
      <c r="D14" s="392">
        <v>100</v>
      </c>
      <c r="E14" s="393" t="s">
        <v>3386</v>
      </c>
      <c r="F14" s="394">
        <f>SUMIF(61:61,E15,62:62)-SUMIF(61:61,C15,62:62)+100</f>
        <v>100</v>
      </c>
      <c r="G14" s="393" t="s">
        <v>3386</v>
      </c>
      <c r="H14" s="392">
        <f>SUMIF(61:61,G15,62:62)-SUMIF(61:61,C15,62:62)+100</f>
        <v>100</v>
      </c>
      <c r="I14" s="393" t="s">
        <v>3386</v>
      </c>
      <c r="J14" s="392">
        <f>SUMIF(61:61,I15,62:62)-SUMIF(61:61,C15,62:62)+100</f>
        <v>100</v>
      </c>
      <c r="K14" s="561">
        <v>2</v>
      </c>
      <c r="L14" s="2713"/>
      <c r="M14" s="2707"/>
      <c r="N14" s="2707"/>
      <c r="O14" s="2765"/>
      <c r="P14" s="3688" t="s">
        <v>1691</v>
      </c>
      <c r="Q14" s="1349" t="str">
        <f t="shared" si="6"/>
        <v>交通便捷度</v>
      </c>
      <c r="R14" s="702" t="s">
        <v>14</v>
      </c>
      <c r="S14" s="703">
        <f t="shared" si="0"/>
        <v>100</v>
      </c>
      <c r="T14" s="702" t="s">
        <v>14</v>
      </c>
      <c r="U14" s="703">
        <f t="shared" si="1"/>
        <v>100</v>
      </c>
      <c r="V14" s="702" t="s">
        <v>14</v>
      </c>
      <c r="W14" s="703">
        <f t="shared" si="2"/>
        <v>100</v>
      </c>
      <c r="X14" s="1352"/>
      <c r="Y14" s="3688" t="s">
        <v>1691</v>
      </c>
      <c r="Z14" s="1353" t="str">
        <f t="shared" si="7"/>
        <v>交通便捷度</v>
      </c>
      <c r="AA14" s="1350">
        <f t="shared" si="3"/>
        <v>1</v>
      </c>
      <c r="AB14" s="1350">
        <f t="shared" si="4"/>
        <v>1</v>
      </c>
      <c r="AC14" s="1350">
        <f t="shared" si="5"/>
        <v>1</v>
      </c>
    </row>
    <row r="15" spans="1:29" ht="15">
      <c r="A15" s="379"/>
      <c r="B15" s="397"/>
      <c r="C15" s="398" t="s">
        <v>3386</v>
      </c>
      <c r="D15" s="399"/>
      <c r="E15" s="398" t="s">
        <v>3386</v>
      </c>
      <c r="F15" s="400"/>
      <c r="G15" s="398" t="s">
        <v>3386</v>
      </c>
      <c r="H15" s="401"/>
      <c r="I15" s="398" t="s">
        <v>3386</v>
      </c>
      <c r="J15" s="399"/>
      <c r="K15" s="562"/>
      <c r="L15" s="2713"/>
      <c r="M15" s="2707"/>
      <c r="N15" s="2707"/>
      <c r="O15" s="2765"/>
      <c r="P15" s="3689"/>
      <c r="Q15" s="1349"/>
      <c r="R15" s="702"/>
      <c r="S15" s="703"/>
      <c r="T15" s="702"/>
      <c r="U15" s="703"/>
      <c r="V15" s="702"/>
      <c r="W15" s="703"/>
      <c r="X15" s="1352"/>
      <c r="Y15" s="3689"/>
      <c r="Z15" s="1353"/>
      <c r="AA15" s="1350">
        <v>1</v>
      </c>
      <c r="AB15" s="1350">
        <v>1</v>
      </c>
      <c r="AC15" s="1350">
        <v>1</v>
      </c>
    </row>
    <row r="16" spans="1:29" ht="15">
      <c r="A16" s="379"/>
      <c r="B16" s="402" t="s">
        <v>1812</v>
      </c>
      <c r="C16" s="1897" t="str">
        <f>IF(B1="工业",估价对象房地状况!G5,估价对象房地状况!C7)</f>
        <v>较好</v>
      </c>
      <c r="D16" s="406">
        <v>100</v>
      </c>
      <c r="E16" s="408" t="s">
        <v>3386</v>
      </c>
      <c r="F16" s="409">
        <f>SUMIF(63:63,E17,64:64)-SUMIF(63:63,C17,64:64)+100</f>
        <v>100</v>
      </c>
      <c r="G16" s="408" t="s">
        <v>3386</v>
      </c>
      <c r="H16" s="406">
        <f>SUMIF(63:63,G17,64:64)-SUMIF(63:63,C17,64:64)+100</f>
        <v>100</v>
      </c>
      <c r="I16" s="408" t="s">
        <v>3386</v>
      </c>
      <c r="J16" s="406">
        <f>SUMIF(63:63,I17,64:64)-SUMIF(63:63,C17,64:64)+100</f>
        <v>100</v>
      </c>
      <c r="K16" s="561">
        <v>2</v>
      </c>
      <c r="L16" s="2713"/>
      <c r="M16" s="2707"/>
      <c r="N16" s="2707"/>
      <c r="O16" s="2765"/>
      <c r="P16" s="3689"/>
      <c r="Q16" s="1349" t="str">
        <f>B16</f>
        <v>公共配套设施</v>
      </c>
      <c r="R16" s="702" t="s">
        <v>14</v>
      </c>
      <c r="S16" s="703">
        <f>F16</f>
        <v>100</v>
      </c>
      <c r="T16" s="702" t="s">
        <v>14</v>
      </c>
      <c r="U16" s="703">
        <f>H16</f>
        <v>100</v>
      </c>
      <c r="V16" s="702" t="s">
        <v>14</v>
      </c>
      <c r="W16" s="703">
        <f>J16</f>
        <v>100</v>
      </c>
      <c r="X16" s="1352"/>
      <c r="Y16" s="3689"/>
      <c r="Z16" s="1353" t="str">
        <f>Q16</f>
        <v>公共配套设施</v>
      </c>
      <c r="AA16" s="1350">
        <f t="shared" si="3"/>
        <v>1</v>
      </c>
      <c r="AB16" s="1350">
        <f t="shared" si="4"/>
        <v>1</v>
      </c>
      <c r="AC16" s="1350">
        <f t="shared" si="5"/>
        <v>1</v>
      </c>
    </row>
    <row r="17" spans="1:29" ht="15">
      <c r="A17" s="379"/>
      <c r="B17" s="407"/>
      <c r="C17" s="1898" t="s">
        <v>3386</v>
      </c>
      <c r="D17" s="399"/>
      <c r="E17" s="398" t="s">
        <v>3386</v>
      </c>
      <c r="F17" s="400"/>
      <c r="G17" s="398" t="s">
        <v>3386</v>
      </c>
      <c r="H17" s="399"/>
      <c r="I17" s="398" t="s">
        <v>3386</v>
      </c>
      <c r="J17" s="399"/>
      <c r="K17" s="562"/>
      <c r="L17" s="2713"/>
      <c r="M17" s="2707"/>
      <c r="N17" s="2707"/>
      <c r="O17" s="2765"/>
      <c r="P17" s="3689"/>
      <c r="Q17" s="1349"/>
      <c r="R17" s="702"/>
      <c r="S17" s="703"/>
      <c r="T17" s="702"/>
      <c r="U17" s="703"/>
      <c r="V17" s="702"/>
      <c r="W17" s="703"/>
      <c r="X17" s="1352"/>
      <c r="Y17" s="3689"/>
      <c r="Z17" s="1353"/>
      <c r="AA17" s="1350">
        <v>1</v>
      </c>
      <c r="AB17" s="1350">
        <v>1</v>
      </c>
      <c r="AC17" s="1350">
        <v>1</v>
      </c>
    </row>
    <row r="18" spans="1:29" ht="15">
      <c r="A18" s="379"/>
      <c r="B18" s="1128" t="s">
        <v>1813</v>
      </c>
      <c r="C18" s="1897" t="str">
        <f>IF(B1="工业",估价对象房地状况!G6,估价对象房地状况!C8)</f>
        <v>七通</v>
      </c>
      <c r="D18" s="406">
        <v>100</v>
      </c>
      <c r="E18" s="403" t="s">
        <v>3390</v>
      </c>
      <c r="F18" s="409">
        <f>SUMIF(65:65,E19,66:66)-SUMIF(65:65,C19,66:66)+100</f>
        <v>100</v>
      </c>
      <c r="G18" s="403" t="s">
        <v>3390</v>
      </c>
      <c r="H18" s="406">
        <f>SUMIF(65:65,G19,66:66)-SUMIF(65:65,C19,66:66)+100</f>
        <v>100</v>
      </c>
      <c r="I18" s="403" t="s">
        <v>3390</v>
      </c>
      <c r="J18" s="406">
        <f>SUMIF(65:65,I19,66:66)-SUMIF(65:65,C19,66:66)+100</f>
        <v>100</v>
      </c>
      <c r="K18" s="561">
        <v>1</v>
      </c>
      <c r="L18" s="2713"/>
      <c r="M18" s="2707"/>
      <c r="N18" s="2707"/>
      <c r="O18" s="2765"/>
      <c r="P18" s="3689"/>
      <c r="Q18" s="1349" t="str">
        <f>B18</f>
        <v>基础设施水平</v>
      </c>
      <c r="R18" s="702" t="s">
        <v>14</v>
      </c>
      <c r="S18" s="703">
        <f>F18</f>
        <v>100</v>
      </c>
      <c r="T18" s="702" t="s">
        <v>14</v>
      </c>
      <c r="U18" s="703">
        <f>H18</f>
        <v>100</v>
      </c>
      <c r="V18" s="702" t="s">
        <v>14</v>
      </c>
      <c r="W18" s="703">
        <f>J18</f>
        <v>100</v>
      </c>
      <c r="X18" s="1352"/>
      <c r="Y18" s="3689"/>
      <c r="Z18" s="1353" t="str">
        <f>Q18</f>
        <v>基础设施水平</v>
      </c>
      <c r="AA18" s="1350">
        <f t="shared" ref="AA18" si="8">D18/F18</f>
        <v>1</v>
      </c>
      <c r="AB18" s="1350">
        <f t="shared" ref="AB18" si="9">D18/H18</f>
        <v>1</v>
      </c>
      <c r="AC18" s="1350">
        <f t="shared" ref="AC18" si="10">D18/J18</f>
        <v>1</v>
      </c>
    </row>
    <row r="19" spans="1:29" ht="15">
      <c r="A19" s="379"/>
      <c r="B19" s="1128"/>
      <c r="C19" s="1898" t="s">
        <v>3390</v>
      </c>
      <c r="D19" s="401"/>
      <c r="E19" s="1898" t="s">
        <v>3390</v>
      </c>
      <c r="F19" s="404"/>
      <c r="G19" s="1898" t="s">
        <v>3390</v>
      </c>
      <c r="H19" s="399"/>
      <c r="I19" s="1898" t="s">
        <v>3390</v>
      </c>
      <c r="J19" s="399"/>
      <c r="K19" s="1127"/>
      <c r="L19" s="2713"/>
      <c r="M19" s="2707"/>
      <c r="N19" s="2707"/>
      <c r="O19" s="2765"/>
      <c r="P19" s="3689"/>
      <c r="Q19" s="1349"/>
      <c r="R19" s="702"/>
      <c r="S19" s="703"/>
      <c r="T19" s="702"/>
      <c r="U19" s="703"/>
      <c r="V19" s="702"/>
      <c r="W19" s="703"/>
      <c r="X19" s="1352"/>
      <c r="Y19" s="3689"/>
      <c r="Z19" s="1353"/>
      <c r="AA19" s="1350">
        <v>1</v>
      </c>
      <c r="AB19" s="1350">
        <v>1</v>
      </c>
      <c r="AC19" s="1350">
        <v>1</v>
      </c>
    </row>
    <row r="20" spans="1:29" ht="15">
      <c r="A20" s="379"/>
      <c r="B20" s="402" t="s">
        <v>1834</v>
      </c>
      <c r="C20" s="1897" t="str">
        <f>IF(B1="工业",估价对象房地状况!G7,估价对象房地状况!C9)</f>
        <v>较好</v>
      </c>
      <c r="D20" s="406">
        <v>100</v>
      </c>
      <c r="E20" s="408" t="s">
        <v>3386</v>
      </c>
      <c r="F20" s="409">
        <f>SUMIF(67:67,E21,68:68)-SUMIF(67:67,C21,68:68)+100</f>
        <v>100</v>
      </c>
      <c r="G20" s="408" t="s">
        <v>3386</v>
      </c>
      <c r="H20" s="401">
        <f>SUMIF(67:67,G21,68:68)-SUMIF(67:67,C21,68:68)+100</f>
        <v>100</v>
      </c>
      <c r="I20" s="408" t="s">
        <v>3386</v>
      </c>
      <c r="J20" s="401">
        <f>SUMIF(67:67,I21,68:68)-SUMIF(67:67,C21,68:68)+100</f>
        <v>100</v>
      </c>
      <c r="K20" s="561">
        <v>2</v>
      </c>
      <c r="L20" s="2713"/>
      <c r="M20" s="2707"/>
      <c r="N20" s="2707"/>
      <c r="O20" s="2765"/>
      <c r="P20" s="3689"/>
      <c r="Q20" s="1349" t="str">
        <f>B20</f>
        <v>自然及人文环境</v>
      </c>
      <c r="R20" s="702" t="s">
        <v>14</v>
      </c>
      <c r="S20" s="703">
        <f>F20</f>
        <v>100</v>
      </c>
      <c r="T20" s="702" t="s">
        <v>14</v>
      </c>
      <c r="U20" s="703">
        <f>H20</f>
        <v>100</v>
      </c>
      <c r="V20" s="702" t="s">
        <v>14</v>
      </c>
      <c r="W20" s="703">
        <f>J20</f>
        <v>100</v>
      </c>
      <c r="X20" s="1352"/>
      <c r="Y20" s="3689"/>
      <c r="Z20" s="1353" t="str">
        <f>Q20</f>
        <v>自然及人文环境</v>
      </c>
      <c r="AA20" s="1350">
        <f t="shared" si="3"/>
        <v>1</v>
      </c>
      <c r="AB20" s="1350">
        <f t="shared" si="4"/>
        <v>1</v>
      </c>
      <c r="AC20" s="1350">
        <f t="shared" si="5"/>
        <v>1</v>
      </c>
    </row>
    <row r="21" spans="1:29" ht="15">
      <c r="A21" s="379"/>
      <c r="B21" s="407"/>
      <c r="C21" s="398" t="s">
        <v>3386</v>
      </c>
      <c r="D21" s="399"/>
      <c r="E21" s="398" t="s">
        <v>3386</v>
      </c>
      <c r="F21" s="400"/>
      <c r="G21" s="398" t="s">
        <v>3386</v>
      </c>
      <c r="H21" s="399"/>
      <c r="I21" s="398" t="s">
        <v>3386</v>
      </c>
      <c r="J21" s="399"/>
      <c r="K21" s="562"/>
      <c r="L21" s="2713"/>
      <c r="M21" s="2707"/>
      <c r="N21" s="2707"/>
      <c r="O21" s="2765"/>
      <c r="P21" s="3689"/>
      <c r="Q21" s="1349"/>
      <c r="R21" s="702"/>
      <c r="S21" s="703"/>
      <c r="T21" s="702"/>
      <c r="U21" s="703"/>
      <c r="V21" s="702"/>
      <c r="W21" s="703"/>
      <c r="X21" s="1352"/>
      <c r="Y21" s="3689"/>
      <c r="Z21" s="1353"/>
      <c r="AA21" s="1350">
        <v>1</v>
      </c>
      <c r="AB21" s="1350">
        <v>1</v>
      </c>
      <c r="AC21" s="1350">
        <v>1</v>
      </c>
    </row>
    <row r="22" spans="1:29" ht="15.75" thickBot="1">
      <c r="A22" s="379"/>
      <c r="B22" s="402" t="s">
        <v>1835</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689"/>
      <c r="Q22" s="1349" t="str">
        <f>B22</f>
        <v>楼层</v>
      </c>
      <c r="R22" s="702" t="s">
        <v>14</v>
      </c>
      <c r="S22" s="703">
        <f>F22</f>
        <v>100</v>
      </c>
      <c r="T22" s="702" t="s">
        <v>14</v>
      </c>
      <c r="U22" s="703">
        <f>H22</f>
        <v>100</v>
      </c>
      <c r="V22" s="702" t="s">
        <v>14</v>
      </c>
      <c r="W22" s="703">
        <f>J22</f>
        <v>100</v>
      </c>
      <c r="X22" s="1352"/>
      <c r="Y22" s="3689"/>
      <c r="Z22" s="1353" t="str">
        <f>Q22</f>
        <v>楼层</v>
      </c>
      <c r="AA22" s="1350">
        <f t="shared" si="3"/>
        <v>1</v>
      </c>
      <c r="AB22" s="1350">
        <f t="shared" si="4"/>
        <v>1</v>
      </c>
      <c r="AC22" s="1350">
        <f t="shared" si="5"/>
        <v>1</v>
      </c>
    </row>
    <row r="23" spans="1:29" ht="15" hidden="1">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689"/>
      <c r="Q23" s="1349">
        <f>B23</f>
        <v>111</v>
      </c>
      <c r="R23" s="702" t="s">
        <v>14</v>
      </c>
      <c r="S23" s="703">
        <f>F23</f>
        <v>100</v>
      </c>
      <c r="T23" s="702" t="s">
        <v>14</v>
      </c>
      <c r="U23" s="703">
        <f>H23</f>
        <v>100</v>
      </c>
      <c r="V23" s="702" t="s">
        <v>14</v>
      </c>
      <c r="W23" s="703">
        <f>J23</f>
        <v>100</v>
      </c>
      <c r="X23" s="1352"/>
      <c r="Y23" s="3689"/>
      <c r="Z23" s="1353">
        <f>Q23</f>
        <v>111</v>
      </c>
      <c r="AA23" s="1350">
        <f t="shared" si="3"/>
        <v>1</v>
      </c>
      <c r="AB23" s="1350">
        <f t="shared" si="4"/>
        <v>1</v>
      </c>
      <c r="AC23" s="1350">
        <f t="shared" si="5"/>
        <v>1</v>
      </c>
    </row>
    <row r="24" spans="1:29" ht="15" hidden="1">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689"/>
      <c r="Q24" s="1349">
        <f t="shared" ref="Q24:Q34" si="11">B24</f>
        <v>111</v>
      </c>
      <c r="R24" s="702" t="s">
        <v>14</v>
      </c>
      <c r="S24" s="703">
        <f>F24</f>
        <v>100</v>
      </c>
      <c r="T24" s="702" t="s">
        <v>14</v>
      </c>
      <c r="U24" s="703">
        <f>H24</f>
        <v>100</v>
      </c>
      <c r="V24" s="702" t="s">
        <v>14</v>
      </c>
      <c r="W24" s="703">
        <f>J24</f>
        <v>100</v>
      </c>
      <c r="X24" s="1352"/>
      <c r="Y24" s="3689"/>
      <c r="Z24" s="1353">
        <f>Q24</f>
        <v>111</v>
      </c>
      <c r="AA24" s="1350">
        <f t="shared" si="3"/>
        <v>1</v>
      </c>
      <c r="AB24" s="1350">
        <f t="shared" si="4"/>
        <v>1</v>
      </c>
      <c r="AC24" s="1350">
        <f t="shared" si="5"/>
        <v>1</v>
      </c>
    </row>
    <row r="25" spans="1:29" s="108" customFormat="1" ht="15.75" hidden="1" thickBot="1">
      <c r="A25" s="382"/>
      <c r="B25" s="1890">
        <v>111</v>
      </c>
      <c r="C25" s="1972"/>
      <c r="D25" s="610">
        <v>100</v>
      </c>
      <c r="E25" s="1972"/>
      <c r="F25" s="611">
        <f>SUMIF(75:75,E25,76:76)-SUMIF(75:75,C25,76:76)+100</f>
        <v>100</v>
      </c>
      <c r="G25" s="1972"/>
      <c r="H25" s="610">
        <f>SUMIF(75:75,G25,76:76)-SUMIF(75:75,C25,76:76)+100</f>
        <v>100</v>
      </c>
      <c r="I25" s="1972"/>
      <c r="J25" s="610">
        <f>SUMIF(75:75,I25,76:76)-SUMIF(75:75,C25,76:76)+100</f>
        <v>100</v>
      </c>
      <c r="K25" s="560"/>
      <c r="L25" s="2708"/>
      <c r="M25" s="2709"/>
      <c r="N25" s="2709"/>
      <c r="O25" s="2763"/>
      <c r="P25" s="3689"/>
      <c r="Q25" s="1340">
        <f t="shared" si="11"/>
        <v>111</v>
      </c>
      <c r="R25" s="698" t="s">
        <v>14</v>
      </c>
      <c r="S25" s="699">
        <f>F25</f>
        <v>100</v>
      </c>
      <c r="T25" s="698" t="s">
        <v>14</v>
      </c>
      <c r="U25" s="699">
        <f>H25</f>
        <v>100</v>
      </c>
      <c r="V25" s="698" t="s">
        <v>14</v>
      </c>
      <c r="W25" s="699">
        <f>J25</f>
        <v>100</v>
      </c>
      <c r="X25" s="700"/>
      <c r="Y25" s="3689"/>
      <c r="Z25" s="52">
        <f>Q25</f>
        <v>111</v>
      </c>
      <c r="AA25" s="1350">
        <f>D25/F25</f>
        <v>1</v>
      </c>
      <c r="AB25" s="1350">
        <f>D25/H25</f>
        <v>1</v>
      </c>
      <c r="AC25" s="1350">
        <f>D25/J25</f>
        <v>1</v>
      </c>
    </row>
    <row r="26" spans="1:29" ht="28.5">
      <c r="A26" s="417" t="s">
        <v>1694</v>
      </c>
      <c r="B26" s="63" t="s">
        <v>1838</v>
      </c>
      <c r="C26" s="1963" t="s">
        <v>3448</v>
      </c>
      <c r="D26" s="418">
        <v>100</v>
      </c>
      <c r="E26" s="1963" t="s">
        <v>3448</v>
      </c>
      <c r="F26" s="612">
        <f>SUMIF(77:77,E26,78:78)-SUMIF(77:77,C26,78:78)+100</f>
        <v>100</v>
      </c>
      <c r="G26" s="1963" t="s">
        <v>3448</v>
      </c>
      <c r="H26" s="418">
        <f>SUMIF(77:77,G26,78:78)-SUMIF(77:77,C26,78:78)+100</f>
        <v>100</v>
      </c>
      <c r="I26" s="1963" t="s">
        <v>3448</v>
      </c>
      <c r="J26" s="418">
        <f>SUMIF(77:77,I26,78:78)-SUMIF(77:77,C26,78:78)+100</f>
        <v>100</v>
      </c>
      <c r="K26" s="559">
        <v>2</v>
      </c>
      <c r="L26" s="2713"/>
      <c r="M26" s="2707"/>
      <c r="N26" s="2707"/>
      <c r="O26" s="2765"/>
      <c r="P26" s="3745"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693" t="s">
        <v>1696</v>
      </c>
      <c r="Z26" s="1353" t="str">
        <f t="shared" ref="Z26:Z34" si="15">Q26</f>
        <v>公共部分装修</v>
      </c>
      <c r="AA26" s="1350">
        <f t="shared" si="3"/>
        <v>1</v>
      </c>
      <c r="AB26" s="1350">
        <f t="shared" si="4"/>
        <v>1</v>
      </c>
      <c r="AC26" s="1350">
        <f t="shared" si="5"/>
        <v>1</v>
      </c>
    </row>
    <row r="27" spans="1:29" s="422" customFormat="1" ht="15">
      <c r="A27" s="419"/>
      <c r="B27" s="375" t="s">
        <v>1839</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693"/>
      <c r="Q27" s="704" t="str">
        <f t="shared" si="11"/>
        <v>成新率</v>
      </c>
      <c r="R27" s="705" t="s">
        <v>14</v>
      </c>
      <c r="S27" s="706">
        <f t="shared" si="12"/>
        <v>100</v>
      </c>
      <c r="T27" s="705" t="s">
        <v>14</v>
      </c>
      <c r="U27" s="706">
        <f t="shared" si="13"/>
        <v>100</v>
      </c>
      <c r="V27" s="705" t="s">
        <v>14</v>
      </c>
      <c r="W27" s="706">
        <f t="shared" si="14"/>
        <v>100</v>
      </c>
      <c r="X27" s="707"/>
      <c r="Y27" s="3693"/>
      <c r="Z27" s="708" t="str">
        <f t="shared" si="15"/>
        <v>成新率</v>
      </c>
      <c r="AA27" s="1350">
        <f t="shared" si="3"/>
        <v>1</v>
      </c>
      <c r="AB27" s="1350">
        <f t="shared" si="4"/>
        <v>1</v>
      </c>
      <c r="AC27" s="1350">
        <f t="shared" si="5"/>
        <v>1</v>
      </c>
    </row>
    <row r="28" spans="1:29" ht="15">
      <c r="A28" s="423"/>
      <c r="B28" s="375" t="s">
        <v>1840</v>
      </c>
      <c r="C28" s="411" t="s">
        <v>3453</v>
      </c>
      <c r="D28" s="386">
        <v>100</v>
      </c>
      <c r="E28" s="411" t="s">
        <v>3453</v>
      </c>
      <c r="F28" s="412">
        <f>SUMIF(82:82,E28,83:83)-SUMIF(82:82,C28,83:83)+100</f>
        <v>100</v>
      </c>
      <c r="G28" s="411" t="s">
        <v>3453</v>
      </c>
      <c r="H28" s="386">
        <f>SUMIF(82:82,G28,83:83)-SUMIF(82:82,C28,83:83)+100</f>
        <v>100</v>
      </c>
      <c r="I28" s="411" t="s">
        <v>3453</v>
      </c>
      <c r="J28" s="386">
        <f>SUMIF(82:82,I28,83:83)-SUMIF(82:82,C28,83:83)+100</f>
        <v>100</v>
      </c>
      <c r="K28" s="559">
        <v>2</v>
      </c>
      <c r="L28" s="2713"/>
      <c r="M28" s="2707"/>
      <c r="N28" s="2707"/>
      <c r="O28" s="2765"/>
      <c r="P28" s="3693"/>
      <c r="Q28" s="1349" t="str">
        <f t="shared" si="11"/>
        <v>物业等级</v>
      </c>
      <c r="R28" s="702" t="s">
        <v>14</v>
      </c>
      <c r="S28" s="703">
        <f t="shared" si="12"/>
        <v>100</v>
      </c>
      <c r="T28" s="702" t="s">
        <v>14</v>
      </c>
      <c r="U28" s="703">
        <f t="shared" si="13"/>
        <v>100</v>
      </c>
      <c r="V28" s="702" t="s">
        <v>14</v>
      </c>
      <c r="W28" s="703">
        <f t="shared" si="14"/>
        <v>100</v>
      </c>
      <c r="X28" s="1352"/>
      <c r="Y28" s="3693"/>
      <c r="Z28" s="1353" t="str">
        <f t="shared" si="15"/>
        <v>物业等级</v>
      </c>
      <c r="AA28" s="1350">
        <f t="shared" si="3"/>
        <v>1</v>
      </c>
      <c r="AB28" s="1350">
        <f t="shared" si="4"/>
        <v>1</v>
      </c>
      <c r="AC28" s="1350">
        <f t="shared" si="5"/>
        <v>1</v>
      </c>
    </row>
    <row r="29" spans="1:29" ht="15">
      <c r="A29" s="423"/>
      <c r="B29" s="375" t="s">
        <v>1860</v>
      </c>
      <c r="C29" s="602" t="s">
        <v>3372</v>
      </c>
      <c r="D29" s="386">
        <v>100</v>
      </c>
      <c r="E29" s="602" t="s">
        <v>3372</v>
      </c>
      <c r="F29" s="412">
        <f>SUMIF(84:84,E29,85:85)-SUMIF(84:84,C29,85:85)+100</f>
        <v>100</v>
      </c>
      <c r="G29" s="602" t="s">
        <v>3372</v>
      </c>
      <c r="H29" s="386">
        <f>SUMIF(84:84,G29,85:85)-SUMIF(84:84,C29,85:85)+100</f>
        <v>100</v>
      </c>
      <c r="I29" s="602" t="s">
        <v>3372</v>
      </c>
      <c r="J29" s="386">
        <f>SUMIF(84:84,I29,85:85)-SUMIF(84:84,C29,85:85)+100</f>
        <v>100</v>
      </c>
      <c r="K29" s="559">
        <v>2</v>
      </c>
      <c r="L29" s="2713"/>
      <c r="M29" s="2707"/>
      <c r="N29" s="2707"/>
      <c r="O29" s="2765"/>
      <c r="P29" s="3693"/>
      <c r="Q29" s="1349" t="str">
        <f t="shared" si="11"/>
        <v>有无电梯</v>
      </c>
      <c r="R29" s="702" t="s">
        <v>14</v>
      </c>
      <c r="S29" s="703">
        <f t="shared" si="12"/>
        <v>100</v>
      </c>
      <c r="T29" s="702" t="s">
        <v>14</v>
      </c>
      <c r="U29" s="703">
        <f t="shared" si="13"/>
        <v>100</v>
      </c>
      <c r="V29" s="702" t="s">
        <v>14</v>
      </c>
      <c r="W29" s="703">
        <f t="shared" si="14"/>
        <v>100</v>
      </c>
      <c r="X29" s="1352"/>
      <c r="Y29" s="3693"/>
      <c r="Z29" s="1353" t="str">
        <f t="shared" si="15"/>
        <v>有无电梯</v>
      </c>
      <c r="AA29" s="1350">
        <f t="shared" si="3"/>
        <v>1</v>
      </c>
      <c r="AB29" s="1350">
        <f t="shared" si="4"/>
        <v>1</v>
      </c>
      <c r="AC29" s="1350">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693"/>
      <c r="Q30" s="1349" t="str">
        <f t="shared" si="11"/>
        <v>建筑面积</v>
      </c>
      <c r="R30" s="702" t="s">
        <v>14</v>
      </c>
      <c r="S30" s="703">
        <f t="shared" si="12"/>
        <v>100</v>
      </c>
      <c r="T30" s="702" t="s">
        <v>14</v>
      </c>
      <c r="U30" s="703">
        <f t="shared" si="13"/>
        <v>100</v>
      </c>
      <c r="V30" s="702" t="s">
        <v>14</v>
      </c>
      <c r="W30" s="703">
        <f t="shared" si="14"/>
        <v>100</v>
      </c>
      <c r="X30" s="1352"/>
      <c r="Y30" s="3693"/>
      <c r="Z30" s="1353" t="str">
        <f t="shared" si="15"/>
        <v>建筑面积</v>
      </c>
      <c r="AA30" s="1350">
        <f t="shared" si="3"/>
        <v>1</v>
      </c>
      <c r="AB30" s="1350">
        <f t="shared" si="4"/>
        <v>1</v>
      </c>
      <c r="AC30" s="1350">
        <f t="shared" si="5"/>
        <v>1</v>
      </c>
    </row>
    <row r="31" spans="1:29" s="108" customFormat="1" ht="15.75" thickBot="1">
      <c r="A31" s="424"/>
      <c r="B31" s="375" t="s">
        <v>1862</v>
      </c>
      <c r="C31" s="602" t="s">
        <v>3380</v>
      </c>
      <c r="D31" s="127">
        <v>100</v>
      </c>
      <c r="E31" s="602" t="s">
        <v>3380</v>
      </c>
      <c r="F31" s="412">
        <f>SUMIF(89:89,E31,90:90)-SUMIF(89:89,C31,90:90)+100</f>
        <v>100</v>
      </c>
      <c r="G31" s="602" t="s">
        <v>3380</v>
      </c>
      <c r="H31" s="386">
        <f>SUMIF(89:89,G31,90:90)-SUMIF(89:89,C31,90:90)+100</f>
        <v>100</v>
      </c>
      <c r="I31" s="602" t="s">
        <v>3380</v>
      </c>
      <c r="J31" s="386">
        <f>SUMIF(89:89,I31,90:90)-SUMIF(89:89,C31,90:90)+100</f>
        <v>100</v>
      </c>
      <c r="K31" s="559">
        <v>2</v>
      </c>
      <c r="L31" s="2708"/>
      <c r="M31" s="2709"/>
      <c r="N31" s="2709"/>
      <c r="O31" s="2763"/>
      <c r="P31" s="3693"/>
      <c r="Q31" s="1340" t="str">
        <f t="shared" si="11"/>
        <v>是否封闭</v>
      </c>
      <c r="R31" s="698" t="s">
        <v>14</v>
      </c>
      <c r="S31" s="699">
        <f t="shared" si="12"/>
        <v>100</v>
      </c>
      <c r="T31" s="698" t="s">
        <v>14</v>
      </c>
      <c r="U31" s="699">
        <f t="shared" si="13"/>
        <v>100</v>
      </c>
      <c r="V31" s="698" t="s">
        <v>14</v>
      </c>
      <c r="W31" s="699">
        <f t="shared" si="14"/>
        <v>100</v>
      </c>
      <c r="X31" s="700"/>
      <c r="Y31" s="3693"/>
      <c r="Z31" s="52" t="str">
        <f t="shared" si="15"/>
        <v>是否封闭</v>
      </c>
      <c r="AA31" s="701">
        <f t="shared" si="3"/>
        <v>1</v>
      </c>
      <c r="AB31" s="701">
        <f t="shared" si="4"/>
        <v>1</v>
      </c>
      <c r="AC31" s="701">
        <f t="shared" si="5"/>
        <v>1</v>
      </c>
    </row>
    <row r="32" spans="1:29" ht="15" hidden="1">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693" t="s">
        <v>1696</v>
      </c>
      <c r="Q32" s="1349">
        <f t="shared" si="11"/>
        <v>111</v>
      </c>
      <c r="R32" s="702" t="s">
        <v>14</v>
      </c>
      <c r="S32" s="703">
        <f t="shared" si="12"/>
        <v>100</v>
      </c>
      <c r="T32" s="702" t="s">
        <v>14</v>
      </c>
      <c r="U32" s="703">
        <f t="shared" si="13"/>
        <v>100</v>
      </c>
      <c r="V32" s="702" t="s">
        <v>14</v>
      </c>
      <c r="W32" s="703">
        <f t="shared" si="14"/>
        <v>100</v>
      </c>
      <c r="X32" s="1352"/>
      <c r="Y32" s="3693" t="s">
        <v>1696</v>
      </c>
      <c r="Z32" s="1353">
        <f t="shared" si="15"/>
        <v>111</v>
      </c>
      <c r="AA32" s="1350">
        <f t="shared" si="3"/>
        <v>1</v>
      </c>
      <c r="AB32" s="1350">
        <f t="shared" si="4"/>
        <v>1</v>
      </c>
      <c r="AC32" s="1350">
        <f t="shared" si="5"/>
        <v>1</v>
      </c>
    </row>
    <row r="33" spans="1:30" ht="15" hidden="1">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693"/>
      <c r="Q33" s="1349">
        <f t="shared" si="11"/>
        <v>111</v>
      </c>
      <c r="R33" s="702" t="s">
        <v>14</v>
      </c>
      <c r="S33" s="703">
        <f t="shared" si="12"/>
        <v>100</v>
      </c>
      <c r="T33" s="702" t="s">
        <v>14</v>
      </c>
      <c r="U33" s="703">
        <f t="shared" si="13"/>
        <v>100</v>
      </c>
      <c r="V33" s="702" t="s">
        <v>14</v>
      </c>
      <c r="W33" s="703">
        <f t="shared" si="14"/>
        <v>100</v>
      </c>
      <c r="X33" s="1352"/>
      <c r="Y33" s="3693"/>
      <c r="Z33" s="1353">
        <f t="shared" si="15"/>
        <v>111</v>
      </c>
      <c r="AA33" s="1350">
        <f t="shared" si="3"/>
        <v>1</v>
      </c>
      <c r="AB33" s="1350">
        <f t="shared" si="4"/>
        <v>1</v>
      </c>
      <c r="AC33" s="1350">
        <f t="shared" si="5"/>
        <v>1</v>
      </c>
    </row>
    <row r="34" spans="1:30" ht="15.75" hidden="1" thickBot="1">
      <c r="A34" s="427"/>
      <c r="B34" s="1892">
        <v>111</v>
      </c>
      <c r="C34" s="388"/>
      <c r="D34" s="389">
        <v>100</v>
      </c>
      <c r="E34" s="1971"/>
      <c r="F34" s="390">
        <f>SUMIF(95:95,E34,96:96)-SUMIF(95:95,C34,96:96)+100</f>
        <v>100</v>
      </c>
      <c r="G34" s="1971"/>
      <c r="H34" s="389">
        <f>SUMIF(95:95,G34,96:96)-SUMIF(95:95,C34,96:96)+100</f>
        <v>100</v>
      </c>
      <c r="I34" s="1971"/>
      <c r="J34" s="389">
        <f>SUMIF(95:95,I34,96:96)-SUMIF(95:95,C34,96:96)+100</f>
        <v>100</v>
      </c>
      <c r="K34" s="560"/>
      <c r="L34" s="2713"/>
      <c r="M34" s="2707"/>
      <c r="N34" s="2707"/>
      <c r="O34" s="2765"/>
      <c r="P34" s="3693"/>
      <c r="Q34" s="1349">
        <f t="shared" si="11"/>
        <v>111</v>
      </c>
      <c r="R34" s="702" t="s">
        <v>14</v>
      </c>
      <c r="S34" s="703">
        <f t="shared" si="12"/>
        <v>100</v>
      </c>
      <c r="T34" s="702" t="s">
        <v>14</v>
      </c>
      <c r="U34" s="703">
        <f t="shared" si="13"/>
        <v>100</v>
      </c>
      <c r="V34" s="702" t="s">
        <v>14</v>
      </c>
      <c r="W34" s="703">
        <f t="shared" si="14"/>
        <v>100</v>
      </c>
      <c r="X34" s="1352"/>
      <c r="Y34" s="3693"/>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15"/>
      <c r="M35" s="2716"/>
      <c r="N35" s="2707"/>
      <c r="O35" s="2716"/>
      <c r="P35" s="3686" t="str">
        <f>A35</f>
        <v>成交单价（元/平方米）</v>
      </c>
      <c r="Q35" s="3686"/>
      <c r="R35" s="3687">
        <f>E35</f>
        <v>0</v>
      </c>
      <c r="S35" s="3687"/>
      <c r="T35" s="3687">
        <f>G35</f>
        <v>0</v>
      </c>
      <c r="U35" s="3687"/>
      <c r="V35" s="3687">
        <f>I35</f>
        <v>0</v>
      </c>
      <c r="W35" s="3687"/>
      <c r="X35" s="687"/>
      <c r="Y35" s="709"/>
      <c r="Z35" s="687"/>
      <c r="AA35" s="687"/>
      <c r="AB35" s="687"/>
      <c r="AC35" s="687"/>
    </row>
    <row r="36" spans="1:30" ht="15.75" thickBot="1">
      <c r="A36" s="435" t="s">
        <v>1793</v>
      </c>
      <c r="B36" s="436"/>
      <c r="C36" s="1157">
        <f>R37</f>
        <v>0</v>
      </c>
      <c r="D36" s="2313" t="s">
        <v>2138</v>
      </c>
      <c r="E36" s="1158">
        <f>R36</f>
        <v>0</v>
      </c>
      <c r="F36" s="2314"/>
      <c r="G36" s="1157">
        <f>T36</f>
        <v>0</v>
      </c>
      <c r="H36" s="2314"/>
      <c r="I36" s="1158">
        <f>V36</f>
        <v>0</v>
      </c>
      <c r="J36" s="2314"/>
      <c r="K36" s="2316">
        <f>F36+H36+J36</f>
        <v>0</v>
      </c>
      <c r="L36" s="2715"/>
      <c r="M36" s="2716"/>
      <c r="N36" s="2707"/>
      <c r="O36" s="2716"/>
      <c r="P36" s="3686" t="str">
        <f>A36</f>
        <v>比较价值（元/平方米）</v>
      </c>
      <c r="Q36" s="3686"/>
      <c r="R36" s="3687">
        <f>IF(F1="售价",ROUND(PRODUCT(R35,AA7:AA34),0),ROUND(PRODUCT(R35,AA7:AA34),1))</f>
        <v>0</v>
      </c>
      <c r="S36" s="3687"/>
      <c r="T36" s="3687">
        <f>IF(F1="售价",ROUND(PRODUCT(T35,AB7:AB34),0),ROUND(PRODUCT(T35,AB7:AB34),1))</f>
        <v>0</v>
      </c>
      <c r="U36" s="3687"/>
      <c r="V36" s="3687">
        <f>IF(F1="售价",ROUND(PRODUCT(V35,AC7:AC34),0),ROUND(PRODUCT(V35,AC7:AC34),1))</f>
        <v>0</v>
      </c>
      <c r="W36" s="3687"/>
      <c r="X36" s="687"/>
      <c r="Y36" s="687"/>
      <c r="Z36" s="687"/>
      <c r="AA36" s="687"/>
      <c r="AB36" s="687"/>
      <c r="AC36" s="687"/>
    </row>
    <row r="37" spans="1:30" ht="15.75" thickBot="1">
      <c r="A37" s="439" t="s">
        <v>1794</v>
      </c>
      <c r="B37" s="440"/>
      <c r="C37" s="1160">
        <f>R37</f>
        <v>0</v>
      </c>
      <c r="D37" s="1160"/>
      <c r="E37" s="1160"/>
      <c r="F37" s="1160"/>
      <c r="G37" s="1160"/>
      <c r="H37" s="1160"/>
      <c r="I37" s="1160"/>
      <c r="J37" s="1160"/>
      <c r="K37" s="712"/>
      <c r="L37" s="2715"/>
      <c r="M37" s="2716"/>
      <c r="N37" s="2716"/>
      <c r="O37" s="2716"/>
      <c r="P37" s="3683" t="str">
        <f>A37</f>
        <v>估价对象XX用房的比较价值（楼面单价，元/平方米）</v>
      </c>
      <c r="Q37" s="3684"/>
      <c r="R37" s="3746">
        <f>IF(F1="售价",ROUND(IF(D36="简单平均",AVERAGE(R36:W36),R36*F36+T36*H36+V36*J36),0),ROUND(IF(D36="简单平均",AVERAGE(R36:V36),R36*F36+T36*H36+V36*J36),1))</f>
        <v>0</v>
      </c>
      <c r="S37" s="3746"/>
      <c r="T37" s="3746"/>
      <c r="U37" s="3746"/>
      <c r="V37" s="3746"/>
      <c r="W37" s="3746"/>
      <c r="X37" s="687"/>
      <c r="Y37" s="687"/>
      <c r="Z37" s="687"/>
      <c r="AA37" s="687"/>
      <c r="AB37" s="687"/>
      <c r="AC37" s="687"/>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1" t="s">
        <v>1798</v>
      </c>
      <c r="B45" s="687"/>
      <c r="C45" s="692"/>
      <c r="D45" s="692"/>
      <c r="E45" s="692"/>
      <c r="F45" s="693"/>
      <c r="G45" s="693"/>
      <c r="H45" s="692"/>
      <c r="I45" s="692"/>
      <c r="J45" s="692"/>
      <c r="K45" s="694"/>
      <c r="L45" s="695"/>
      <c r="M45" s="692"/>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1679</v>
      </c>
      <c r="B46" s="453"/>
      <c r="C46" s="1181" t="str">
        <f>YEAR(C7)&amp;"-"&amp;MONTH(C7)</f>
        <v>2023-5</v>
      </c>
      <c r="D46" s="1182">
        <f>EDATE(C46,-1)</f>
        <v>45017</v>
      </c>
      <c r="E46" s="1182">
        <f t="shared" ref="E46:O46" si="16">EDATE(D46,-1)</f>
        <v>44986</v>
      </c>
      <c r="F46" s="1182">
        <f t="shared" si="16"/>
        <v>44958</v>
      </c>
      <c r="G46" s="1182">
        <f t="shared" si="16"/>
        <v>44927</v>
      </c>
      <c r="H46" s="1182">
        <f t="shared" si="16"/>
        <v>44896</v>
      </c>
      <c r="I46" s="1182">
        <f t="shared" si="16"/>
        <v>44866</v>
      </c>
      <c r="J46" s="1182">
        <f t="shared" si="16"/>
        <v>44835</v>
      </c>
      <c r="K46" s="1182">
        <f t="shared" si="16"/>
        <v>44805</v>
      </c>
      <c r="L46" s="1182">
        <f t="shared" si="16"/>
        <v>44774</v>
      </c>
      <c r="M46" s="1182">
        <f t="shared" si="16"/>
        <v>44743</v>
      </c>
      <c r="N46" s="1182">
        <f t="shared" si="16"/>
        <v>44713</v>
      </c>
      <c r="O46" s="1182">
        <f t="shared" si="16"/>
        <v>44682</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1716</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1681</v>
      </c>
      <c r="B49" s="457"/>
      <c r="C49" s="469" t="s">
        <v>1776</v>
      </c>
      <c r="D49" s="3449" t="s">
        <v>3530</v>
      </c>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4">
        <v>100</v>
      </c>
      <c r="D50" s="459">
        <v>102</v>
      </c>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1719</v>
      </c>
      <c r="B51" s="475" t="s">
        <v>1685</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1688</v>
      </c>
      <c r="C53" s="530" t="s">
        <v>3514</v>
      </c>
      <c r="D53" s="530" t="s">
        <v>3515</v>
      </c>
      <c r="E53" s="530" t="s">
        <v>3516</v>
      </c>
      <c r="F53" s="3450" t="s">
        <v>3518</v>
      </c>
      <c r="G53" s="530" t="s">
        <v>3517</v>
      </c>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v>100</v>
      </c>
      <c r="D54" s="483">
        <f>C54-2</f>
        <v>98</v>
      </c>
      <c r="E54" s="483">
        <f>D54-2</f>
        <v>96</v>
      </c>
      <c r="F54" s="483">
        <f>E54-2</f>
        <v>94</v>
      </c>
      <c r="G54" s="483">
        <f>F54-2</f>
        <v>92</v>
      </c>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5">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1863</v>
      </c>
      <c r="C63" s="525" t="s">
        <v>1721</v>
      </c>
      <c r="D63" s="525" t="s">
        <v>1722</v>
      </c>
      <c r="E63" s="525" t="s">
        <v>1723</v>
      </c>
      <c r="F63" s="525" t="s">
        <v>1724</v>
      </c>
      <c r="G63" s="525" t="s">
        <v>1725</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1813</v>
      </c>
      <c r="C65" s="605" t="s">
        <v>1799</v>
      </c>
      <c r="D65" s="605" t="s">
        <v>1800</v>
      </c>
      <c r="E65" s="605" t="s">
        <v>1801</v>
      </c>
      <c r="F65" s="605" t="s">
        <v>1802</v>
      </c>
      <c r="G65" s="605" t="s">
        <v>1803</v>
      </c>
      <c r="H65" s="486"/>
      <c r="I65" s="486"/>
      <c r="J65" s="486"/>
      <c r="K65" s="486"/>
      <c r="L65" s="486"/>
      <c r="M65" s="1126"/>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5"/>
      <c r="I66" s="605"/>
      <c r="J66" s="605"/>
      <c r="K66" s="605"/>
      <c r="L66" s="605"/>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1733</v>
      </c>
      <c r="C67" s="525" t="s">
        <v>1721</v>
      </c>
      <c r="D67" s="525" t="s">
        <v>1722</v>
      </c>
      <c r="E67" s="525" t="s">
        <v>1723</v>
      </c>
      <c r="F67" s="525" t="s">
        <v>1724</v>
      </c>
      <c r="G67" s="525" t="s">
        <v>1725</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1852</v>
      </c>
      <c r="C69" s="3451" t="s">
        <v>3542</v>
      </c>
      <c r="D69" s="3451" t="s">
        <v>3532</v>
      </c>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1694</v>
      </c>
      <c r="B77" s="475" t="s">
        <v>1740</v>
      </c>
      <c r="C77" s="3451" t="s">
        <v>3447</v>
      </c>
      <c r="D77" s="3451" t="s">
        <v>3449</v>
      </c>
      <c r="E77" s="3451" t="s">
        <v>3450</v>
      </c>
      <c r="F77" s="3454" t="s">
        <v>3451</v>
      </c>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5"/>
      <c r="J80" s="605"/>
      <c r="K80" s="613"/>
      <c r="L80" s="614"/>
      <c r="M80" s="615"/>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1856</v>
      </c>
      <c r="C82" s="3451" t="s">
        <v>3543</v>
      </c>
      <c r="D82" s="3451" t="s">
        <v>3544</v>
      </c>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1864</v>
      </c>
      <c r="C84" s="3451" t="s">
        <v>3545</v>
      </c>
      <c r="D84" s="3451" t="s">
        <v>3546</v>
      </c>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1865</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v>10</v>
      </c>
      <c r="E87" s="542">
        <v>20</v>
      </c>
      <c r="F87" s="542">
        <v>30</v>
      </c>
      <c r="G87" s="542">
        <v>40</v>
      </c>
      <c r="H87" s="542">
        <v>50</v>
      </c>
      <c r="I87" s="542">
        <v>100</v>
      </c>
      <c r="J87" s="543">
        <v>200</v>
      </c>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v>100</v>
      </c>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1866</v>
      </c>
      <c r="C89" s="3451" t="s">
        <v>3537</v>
      </c>
      <c r="D89" s="3451" t="s">
        <v>3538</v>
      </c>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v>100</v>
      </c>
      <c r="D90" s="483">
        <f>C90-5</f>
        <v>95</v>
      </c>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1">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3"/>
      <c r="B98" s="933"/>
      <c r="C98" s="933"/>
      <c r="D98" s="933"/>
      <c r="E98" s="933"/>
      <c r="F98" s="933"/>
      <c r="G98" s="933"/>
      <c r="H98" s="933"/>
      <c r="I98" s="933"/>
      <c r="J98" s="933"/>
      <c r="K98" s="934"/>
      <c r="L98" s="935"/>
      <c r="M98" s="933"/>
      <c r="N98" s="2716"/>
      <c r="O98" s="2716"/>
      <c r="P98" s="2716"/>
      <c r="Q98" s="2716"/>
      <c r="R98" s="2716"/>
      <c r="S98" s="2716"/>
      <c r="T98" s="2716"/>
      <c r="U98" s="2716"/>
      <c r="V98" s="2716"/>
      <c r="W98" s="2716"/>
      <c r="X98" s="2716"/>
      <c r="Y98" s="2716"/>
      <c r="Z98" s="2716"/>
      <c r="AA98" s="2716"/>
      <c r="AB98" s="2716"/>
      <c r="AC98" s="2716"/>
      <c r="AD98" s="2716"/>
    </row>
    <row r="99" spans="1:30">
      <c r="A99" s="933"/>
      <c r="B99" s="933"/>
      <c r="C99" s="933"/>
      <c r="D99" s="933"/>
      <c r="E99" s="933"/>
      <c r="F99" s="933"/>
      <c r="G99" s="933"/>
      <c r="H99" s="933"/>
      <c r="I99" s="933"/>
      <c r="J99" s="933"/>
      <c r="K99" s="934"/>
      <c r="L99" s="935"/>
      <c r="M99" s="933"/>
      <c r="N99" s="2716"/>
      <c r="O99" s="2716"/>
      <c r="P99" s="2716"/>
      <c r="Q99" s="2716"/>
      <c r="R99" s="2716"/>
      <c r="S99" s="2716"/>
      <c r="T99" s="2716"/>
      <c r="U99" s="2716"/>
      <c r="V99" s="2716"/>
      <c r="W99" s="2716"/>
      <c r="X99" s="2716"/>
      <c r="Y99" s="2716"/>
      <c r="Z99" s="2716"/>
      <c r="AA99" s="2716"/>
      <c r="AB99" s="2716"/>
      <c r="AC99" s="2716"/>
      <c r="AD99" s="2716"/>
    </row>
    <row r="100" spans="1:30">
      <c r="A100" s="933"/>
      <c r="B100" s="933"/>
      <c r="C100" s="933"/>
      <c r="D100" s="933"/>
      <c r="E100" s="933"/>
      <c r="F100" s="933"/>
      <c r="G100" s="933"/>
      <c r="H100" s="933"/>
      <c r="I100" s="933"/>
      <c r="J100" s="933"/>
      <c r="K100" s="934"/>
      <c r="L100" s="935"/>
      <c r="M100" s="933"/>
      <c r="N100" s="2716"/>
      <c r="O100" s="2716"/>
      <c r="P100" s="2716"/>
      <c r="Q100" s="2716"/>
      <c r="R100" s="2716"/>
      <c r="S100" s="2716"/>
      <c r="T100" s="2716"/>
      <c r="U100" s="2716"/>
      <c r="V100" s="2716"/>
      <c r="W100" s="2716"/>
      <c r="X100" s="2716"/>
      <c r="Y100" s="2716"/>
      <c r="Z100" s="2716"/>
      <c r="AA100" s="2716"/>
      <c r="AB100" s="2716"/>
      <c r="AC100" s="2716"/>
      <c r="AD100" s="2716"/>
    </row>
    <row r="101" spans="1:30">
      <c r="A101" s="933"/>
      <c r="B101" s="933"/>
      <c r="C101" s="933"/>
      <c r="D101" s="933"/>
      <c r="E101" s="933"/>
      <c r="F101" s="933"/>
      <c r="G101" s="933"/>
      <c r="H101" s="933"/>
      <c r="I101" s="933"/>
      <c r="J101" s="933"/>
      <c r="K101" s="934"/>
      <c r="L101" s="935"/>
      <c r="M101" s="933"/>
      <c r="N101" s="2716"/>
      <c r="O101" s="2716"/>
      <c r="P101" s="2716"/>
      <c r="Q101" s="2716"/>
      <c r="R101" s="2716"/>
      <c r="S101" s="2716"/>
      <c r="T101" s="2716"/>
      <c r="U101" s="2716"/>
      <c r="V101" s="2716"/>
      <c r="W101" s="2716"/>
      <c r="X101" s="2716"/>
      <c r="Y101" s="2716"/>
      <c r="Z101" s="2716"/>
      <c r="AA101" s="2716"/>
      <c r="AB101" s="2716"/>
      <c r="AC101" s="2716"/>
      <c r="AD101" s="2716"/>
    </row>
    <row r="102" spans="1:30">
      <c r="A102" s="933"/>
      <c r="B102" s="933"/>
      <c r="C102" s="933"/>
      <c r="D102" s="933"/>
      <c r="E102" s="933"/>
      <c r="F102" s="933"/>
      <c r="G102" s="933"/>
      <c r="H102" s="933"/>
      <c r="I102" s="933"/>
      <c r="J102" s="933"/>
      <c r="K102" s="934"/>
      <c r="L102" s="935"/>
      <c r="M102" s="933"/>
      <c r="N102" s="2716"/>
      <c r="O102" s="2716"/>
      <c r="P102" s="2716"/>
      <c r="Q102" s="2716"/>
      <c r="R102" s="2716"/>
      <c r="S102" s="2716"/>
      <c r="T102" s="2716"/>
      <c r="U102" s="2716"/>
      <c r="V102" s="2716"/>
      <c r="W102" s="2716"/>
      <c r="X102" s="2716"/>
      <c r="Y102" s="2716"/>
      <c r="Z102" s="2716"/>
      <c r="AA102" s="2716"/>
      <c r="AB102" s="2716"/>
      <c r="AC102" s="2716"/>
      <c r="AD102" s="2716"/>
    </row>
    <row r="103" spans="1:30">
      <c r="A103" s="933"/>
      <c r="B103" s="933"/>
      <c r="C103" s="933"/>
      <c r="D103" s="933"/>
      <c r="E103" s="933"/>
      <c r="F103" s="933"/>
      <c r="G103" s="933"/>
      <c r="H103" s="933"/>
      <c r="I103" s="933"/>
      <c r="J103" s="933"/>
      <c r="K103" s="934"/>
      <c r="L103" s="935"/>
      <c r="M103" s="933"/>
      <c r="N103" s="933"/>
      <c r="O103" s="933"/>
      <c r="P103" s="2716"/>
      <c r="Q103" s="2716"/>
      <c r="R103" s="2716"/>
      <c r="S103" s="2716"/>
      <c r="T103" s="2716"/>
      <c r="U103" s="2716"/>
      <c r="V103" s="2716"/>
      <c r="W103" s="2716"/>
      <c r="X103" s="2716"/>
      <c r="Y103" s="2716"/>
      <c r="Z103" s="2716"/>
      <c r="AA103" s="2716"/>
      <c r="AB103" s="2716"/>
      <c r="AC103" s="2716"/>
      <c r="AD103" s="2716"/>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G65" sqref="G6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6" t="e">
        <f>F65</f>
        <v>#DIV/0!</v>
      </c>
      <c r="C2" s="904"/>
      <c r="D2" s="904"/>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c r="AD2" s="351"/>
    </row>
    <row r="3" spans="1:30" s="352" customFormat="1" ht="28.5" customHeight="1" thickBot="1">
      <c r="A3" s="203" t="s">
        <v>1464</v>
      </c>
      <c r="B3" s="556" t="e">
        <f>ROUND(IF(D3="",B2*10000/'数据-汇总表'!E3,B2*10000/D3),0)</f>
        <v>#DIV/0!</v>
      </c>
      <c r="C3" s="203" t="s">
        <v>1869</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30" ht="15">
      <c r="A4" s="355" t="s">
        <v>1769</v>
      </c>
      <c r="B4" s="356"/>
      <c r="C4" s="3701" t="s">
        <v>1770</v>
      </c>
      <c r="D4" s="3702"/>
      <c r="E4" s="3703" t="s">
        <v>1771</v>
      </c>
      <c r="F4" s="3704"/>
      <c r="G4" s="3701" t="s">
        <v>1772</v>
      </c>
      <c r="H4" s="3702"/>
      <c r="I4" s="3701" t="s">
        <v>1773</v>
      </c>
      <c r="J4" s="3702"/>
      <c r="K4" s="557" t="s">
        <v>1774</v>
      </c>
      <c r="L4" s="2706"/>
      <c r="M4" s="2707"/>
      <c r="N4" s="2707"/>
      <c r="O4" s="2707"/>
      <c r="P4" s="3705" t="s">
        <v>1775</v>
      </c>
      <c r="Q4" s="3706"/>
      <c r="R4" s="3711" t="s">
        <v>1771</v>
      </c>
      <c r="S4" s="3712"/>
      <c r="T4" s="3711" t="s">
        <v>1772</v>
      </c>
      <c r="U4" s="3712"/>
      <c r="V4" s="3717" t="s">
        <v>1773</v>
      </c>
      <c r="W4" s="3717"/>
      <c r="X4" s="1352"/>
      <c r="Y4" s="3711" t="s">
        <v>1775</v>
      </c>
      <c r="Z4" s="3712"/>
      <c r="AA4" s="3698" t="s">
        <v>1771</v>
      </c>
      <c r="AB4" s="3699" t="s">
        <v>1772</v>
      </c>
      <c r="AC4" s="3698" t="s">
        <v>1773</v>
      </c>
    </row>
    <row r="5" spans="1:30" ht="15">
      <c r="A5" s="358"/>
      <c r="B5" s="359"/>
      <c r="C5" s="3720" t="s">
        <v>1673</v>
      </c>
      <c r="D5" s="3721"/>
      <c r="E5" s="3727" t="s">
        <v>1674</v>
      </c>
      <c r="F5" s="3728"/>
      <c r="G5" s="3720" t="s">
        <v>1675</v>
      </c>
      <c r="H5" s="3721"/>
      <c r="I5" s="3720" t="s">
        <v>1676</v>
      </c>
      <c r="J5" s="3721"/>
      <c r="K5" s="557"/>
      <c r="L5" s="2706"/>
      <c r="M5" s="2707"/>
      <c r="N5" s="2707"/>
      <c r="O5" s="2707"/>
      <c r="P5" s="3707"/>
      <c r="Q5" s="3708"/>
      <c r="R5" s="3713"/>
      <c r="S5" s="3714"/>
      <c r="T5" s="3713"/>
      <c r="U5" s="3714"/>
      <c r="V5" s="3717"/>
      <c r="W5" s="3717"/>
      <c r="X5" s="1352"/>
      <c r="Y5" s="3713"/>
      <c r="Z5" s="3714"/>
      <c r="AA5" s="3699"/>
      <c r="AB5" s="3699"/>
      <c r="AC5" s="3699"/>
    </row>
    <row r="6" spans="1:30" ht="15.75" thickBot="1">
      <c r="A6" s="360"/>
      <c r="B6" s="361"/>
      <c r="C6" s="3718" t="s">
        <v>1677</v>
      </c>
      <c r="D6" s="3719"/>
      <c r="E6" s="3725" t="s">
        <v>1677</v>
      </c>
      <c r="F6" s="3726"/>
      <c r="G6" s="3718" t="s">
        <v>1677</v>
      </c>
      <c r="H6" s="3719"/>
      <c r="I6" s="3718" t="s">
        <v>1677</v>
      </c>
      <c r="J6" s="3719"/>
      <c r="K6" s="557" t="s">
        <v>1678</v>
      </c>
      <c r="L6" s="2706"/>
      <c r="M6" s="2707"/>
      <c r="N6" s="2707"/>
      <c r="O6" s="2707"/>
      <c r="P6" s="3709"/>
      <c r="Q6" s="3710"/>
      <c r="R6" s="3713"/>
      <c r="S6" s="3714"/>
      <c r="T6" s="3715"/>
      <c r="U6" s="3716"/>
      <c r="V6" s="3717"/>
      <c r="W6" s="3717"/>
      <c r="X6" s="1352"/>
      <c r="Y6" s="3715"/>
      <c r="Z6" s="3716"/>
      <c r="AA6" s="3700"/>
      <c r="AB6" s="3700"/>
      <c r="AC6" s="3700"/>
    </row>
    <row r="7" spans="1:30" s="108" customFormat="1" ht="15.75" thickBot="1">
      <c r="A7" s="362" t="s">
        <v>1679</v>
      </c>
      <c r="B7" s="363"/>
      <c r="C7" s="364">
        <f>'数据-取费表'!B2</f>
        <v>45076</v>
      </c>
      <c r="D7" s="365">
        <v>100</v>
      </c>
      <c r="E7" s="366"/>
      <c r="F7" s="367">
        <f>SUMIF(69:69,YEAR(E7)&amp;"-"&amp;INT((MONTH(E7)+2)/3),70:70)</f>
        <v>0</v>
      </c>
      <c r="G7" s="1970"/>
      <c r="H7" s="365">
        <f>SUMIF(69:69,YEAR(G7)&amp;"-"&amp;INT((MONTH(G7)+2)/3),70:70)</f>
        <v>0</v>
      </c>
      <c r="I7" s="1970"/>
      <c r="J7" s="365">
        <f>SUMIF(69:69,YEAR(I7)&amp;"-"&amp;INT((MONTH(I7)+2)/3),70:70)</f>
        <v>0</v>
      </c>
      <c r="K7" s="558"/>
      <c r="L7" s="2708"/>
      <c r="M7" s="2709"/>
      <c r="N7" s="2709"/>
      <c r="O7" s="2709"/>
      <c r="P7" s="3722" t="s">
        <v>1680</v>
      </c>
      <c r="Q7" s="3724"/>
      <c r="R7" s="698" t="s">
        <v>14</v>
      </c>
      <c r="S7" s="699">
        <f t="shared" ref="S7:S15" si="0">F7</f>
        <v>0</v>
      </c>
      <c r="T7" s="698" t="s">
        <v>14</v>
      </c>
      <c r="U7" s="699">
        <f t="shared" ref="U7:U15" si="1">H7</f>
        <v>0</v>
      </c>
      <c r="V7" s="698" t="s">
        <v>14</v>
      </c>
      <c r="W7" s="699">
        <f t="shared" ref="W7:W15" si="2">J7</f>
        <v>0</v>
      </c>
      <c r="X7" s="700"/>
      <c r="Y7" s="3722" t="s">
        <v>1680</v>
      </c>
      <c r="Z7" s="3723"/>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58"/>
      <c r="L8" s="2708"/>
      <c r="M8" s="2709"/>
      <c r="N8" s="2709"/>
      <c r="O8" s="2709"/>
      <c r="P8" s="3722" t="s">
        <v>1683</v>
      </c>
      <c r="Q8" s="3723"/>
      <c r="R8" s="698" t="s">
        <v>14</v>
      </c>
      <c r="S8" s="699">
        <f t="shared" si="0"/>
        <v>0</v>
      </c>
      <c r="T8" s="698" t="s">
        <v>14</v>
      </c>
      <c r="U8" s="699">
        <f t="shared" si="1"/>
        <v>0</v>
      </c>
      <c r="V8" s="698" t="s">
        <v>14</v>
      </c>
      <c r="W8" s="699">
        <f t="shared" si="2"/>
        <v>0</v>
      </c>
      <c r="X8" s="700"/>
      <c r="Y8" s="3722" t="s">
        <v>1683</v>
      </c>
      <c r="Z8" s="3723"/>
      <c r="AA8" s="701" t="e">
        <f t="shared" ref="AA8:AA45" si="3">D8/F8</f>
        <v>#DIV/0!</v>
      </c>
      <c r="AB8" s="701" t="e">
        <f t="shared" ref="AB8:AB45" si="4">D8/H8</f>
        <v>#DIV/0!</v>
      </c>
      <c r="AC8" s="701"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58"/>
      <c r="L9" s="2708"/>
      <c r="M9" s="2709"/>
      <c r="N9" s="2709"/>
      <c r="O9" s="2763"/>
      <c r="P9" s="3686" t="s">
        <v>1686</v>
      </c>
      <c r="Q9" s="1340" t="str">
        <f t="shared" ref="Q9:Q15" si="6">B9</f>
        <v>用途</v>
      </c>
      <c r="R9" s="698" t="s">
        <v>14</v>
      </c>
      <c r="S9" s="699">
        <f t="shared" si="0"/>
        <v>100</v>
      </c>
      <c r="T9" s="698" t="s">
        <v>14</v>
      </c>
      <c r="U9" s="699">
        <f t="shared" si="1"/>
        <v>100</v>
      </c>
      <c r="V9" s="698" t="s">
        <v>14</v>
      </c>
      <c r="W9" s="699">
        <f t="shared" si="2"/>
        <v>100</v>
      </c>
      <c r="X9" s="700"/>
      <c r="Y9" s="3561"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7"/>
      <c r="L10" s="2710"/>
      <c r="M10" s="2711"/>
      <c r="N10" s="2711"/>
      <c r="O10" s="2764"/>
      <c r="P10" s="3686"/>
      <c r="Q10" s="1340" t="str">
        <f t="shared" si="6"/>
        <v>土地使用年限（年）</v>
      </c>
      <c r="R10" s="698" t="s">
        <v>14</v>
      </c>
      <c r="S10" s="699" t="e">
        <f t="shared" si="0"/>
        <v>#DIV/0!</v>
      </c>
      <c r="T10" s="698" t="s">
        <v>14</v>
      </c>
      <c r="U10" s="699" t="e">
        <f t="shared" si="1"/>
        <v>#DIV/0!</v>
      </c>
      <c r="V10" s="698" t="s">
        <v>14</v>
      </c>
      <c r="W10" s="699" t="e">
        <f t="shared" si="2"/>
        <v>#DIV/0!</v>
      </c>
      <c r="X10" s="700"/>
      <c r="Y10" s="3561"/>
      <c r="Z10" s="52" t="str">
        <f t="shared" si="7"/>
        <v>土地使用年限（年）</v>
      </c>
      <c r="AA10" s="701" t="e">
        <f t="shared" si="3"/>
        <v>#DIV/0!</v>
      </c>
      <c r="AB10" s="701" t="e">
        <f t="shared" si="4"/>
        <v>#DIV/0!</v>
      </c>
      <c r="AC10" s="701"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18"/>
      <c r="L11" s="2712"/>
      <c r="M11" s="2707"/>
      <c r="N11" s="2707"/>
      <c r="O11" s="2765"/>
      <c r="P11" s="3686"/>
      <c r="Q11" s="1340" t="str">
        <f t="shared" si="6"/>
        <v>容积率</v>
      </c>
      <c r="R11" s="698" t="s">
        <v>14</v>
      </c>
      <c r="S11" s="699" t="e">
        <f t="shared" si="0"/>
        <v>#N/A</v>
      </c>
      <c r="T11" s="698" t="s">
        <v>14</v>
      </c>
      <c r="U11" s="699" t="e">
        <f t="shared" si="1"/>
        <v>#N/A</v>
      </c>
      <c r="V11" s="698" t="s">
        <v>14</v>
      </c>
      <c r="W11" s="699" t="e">
        <f t="shared" si="2"/>
        <v>#N/A</v>
      </c>
      <c r="X11" s="700"/>
      <c r="Y11" s="3561"/>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7"/>
      <c r="L12" s="2708"/>
      <c r="M12" s="2709"/>
      <c r="N12" s="2709"/>
      <c r="O12" s="2763"/>
      <c r="P12" s="3686"/>
      <c r="Q12" s="1340" t="str">
        <f t="shared" si="6"/>
        <v>配建</v>
      </c>
      <c r="R12" s="698" t="s">
        <v>14</v>
      </c>
      <c r="S12" s="699">
        <f t="shared" si="0"/>
        <v>100</v>
      </c>
      <c r="T12" s="698" t="s">
        <v>14</v>
      </c>
      <c r="U12" s="699">
        <f t="shared" si="1"/>
        <v>100</v>
      </c>
      <c r="V12" s="698" t="s">
        <v>14</v>
      </c>
      <c r="W12" s="699">
        <f t="shared" si="2"/>
        <v>100</v>
      </c>
      <c r="X12" s="700"/>
      <c r="Y12" s="3561"/>
      <c r="Z12" s="52" t="str">
        <f t="shared" si="7"/>
        <v>配建</v>
      </c>
      <c r="AA12" s="701">
        <f>D12/F12</f>
        <v>1</v>
      </c>
      <c r="AB12" s="701">
        <f>D12/H12</f>
        <v>1</v>
      </c>
      <c r="AC12" s="701">
        <f>D12/J12</f>
        <v>1</v>
      </c>
    </row>
    <row r="13" spans="1:30" ht="15">
      <c r="A13" s="379"/>
      <c r="B13" s="1890">
        <v>111</v>
      </c>
      <c r="C13" s="385"/>
      <c r="D13" s="386">
        <v>100</v>
      </c>
      <c r="E13" s="496"/>
      <c r="F13" s="127">
        <f>SUMIF(83:83,E13,84:84)-SUMIF(83:83,C13,84:84)+100</f>
        <v>100</v>
      </c>
      <c r="G13" s="619"/>
      <c r="H13" s="386">
        <f>SUMIF(83:83,G13,84:84)-SUMIF(83:83,C13,84:84)+100</f>
        <v>100</v>
      </c>
      <c r="I13" s="619"/>
      <c r="J13" s="386">
        <f>SUMIF(83:83,I13,84:84)-SUMIF(83:83,C13,84:84)+100</f>
        <v>100</v>
      </c>
      <c r="K13" s="617"/>
      <c r="L13" s="2713"/>
      <c r="M13" s="2707"/>
      <c r="N13" s="2707"/>
      <c r="O13" s="2765"/>
      <c r="P13" s="3686"/>
      <c r="Q13" s="1340">
        <f t="shared" si="6"/>
        <v>111</v>
      </c>
      <c r="R13" s="698" t="s">
        <v>14</v>
      </c>
      <c r="S13" s="699">
        <f t="shared" si="0"/>
        <v>100</v>
      </c>
      <c r="T13" s="698" t="s">
        <v>14</v>
      </c>
      <c r="U13" s="699">
        <f t="shared" si="1"/>
        <v>100</v>
      </c>
      <c r="V13" s="698" t="s">
        <v>14</v>
      </c>
      <c r="W13" s="699">
        <f t="shared" si="2"/>
        <v>100</v>
      </c>
      <c r="X13" s="700"/>
      <c r="Y13" s="3561"/>
      <c r="Z13" s="52">
        <f t="shared" si="7"/>
        <v>111</v>
      </c>
      <c r="AA13" s="701">
        <f>D13/F13</f>
        <v>1</v>
      </c>
      <c r="AB13" s="701">
        <f>D13/H13</f>
        <v>1</v>
      </c>
      <c r="AC13" s="701">
        <f>D13/J13</f>
        <v>1</v>
      </c>
    </row>
    <row r="14" spans="1:30" ht="15.75" thickBot="1">
      <c r="A14" s="387"/>
      <c r="B14" s="1892">
        <v>111</v>
      </c>
      <c r="C14" s="388"/>
      <c r="D14" s="389">
        <v>100</v>
      </c>
      <c r="E14" s="496"/>
      <c r="F14" s="389">
        <f>SUMIF(85:85,E14,86:86)-SUMIF(85:85,C14,86:86)+100</f>
        <v>100</v>
      </c>
      <c r="G14" s="619"/>
      <c r="H14" s="389">
        <f>SUMIF(85:85,G14,86:86)-SUMIF(85:85,C14,86:86)+100</f>
        <v>100</v>
      </c>
      <c r="I14" s="619"/>
      <c r="J14" s="389">
        <f>SUMIF(85:85,I14,86:86)-SUMIF(85:85,C14,86:86)+100</f>
        <v>100</v>
      </c>
      <c r="K14" s="617"/>
      <c r="L14" s="2713"/>
      <c r="M14" s="2707"/>
      <c r="N14" s="2707"/>
      <c r="O14" s="2765"/>
      <c r="P14" s="3686"/>
      <c r="Q14" s="1340">
        <f t="shared" si="6"/>
        <v>111</v>
      </c>
      <c r="R14" s="698" t="s">
        <v>14</v>
      </c>
      <c r="S14" s="699">
        <f t="shared" si="0"/>
        <v>100</v>
      </c>
      <c r="T14" s="698" t="s">
        <v>14</v>
      </c>
      <c r="U14" s="699">
        <f t="shared" si="1"/>
        <v>100</v>
      </c>
      <c r="V14" s="698" t="s">
        <v>14</v>
      </c>
      <c r="W14" s="699">
        <f t="shared" si="2"/>
        <v>100</v>
      </c>
      <c r="X14" s="700"/>
      <c r="Y14" s="3561"/>
      <c r="Z14" s="52">
        <f t="shared" si="7"/>
        <v>111</v>
      </c>
      <c r="AA14" s="701">
        <f>D14/F14</f>
        <v>1</v>
      </c>
      <c r="AB14" s="701">
        <f>D14/H14</f>
        <v>1</v>
      </c>
      <c r="AC14" s="701">
        <f>D14/J14</f>
        <v>1</v>
      </c>
    </row>
    <row r="15" spans="1:30" ht="15">
      <c r="A15" s="391" t="s">
        <v>1690</v>
      </c>
      <c r="B15" s="61" t="s">
        <v>1257</v>
      </c>
      <c r="C15" s="1893"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18"/>
      <c r="L15" s="2713"/>
      <c r="M15" s="2707"/>
      <c r="N15" s="2707"/>
      <c r="O15" s="2765"/>
      <c r="P15" s="3688" t="s">
        <v>1691</v>
      </c>
      <c r="Q15" s="1349" t="str">
        <f t="shared" si="6"/>
        <v>居住社区成熟度</v>
      </c>
      <c r="R15" s="702" t="s">
        <v>14</v>
      </c>
      <c r="S15" s="703">
        <f t="shared" si="0"/>
        <v>100</v>
      </c>
      <c r="T15" s="702" t="s">
        <v>14</v>
      </c>
      <c r="U15" s="703">
        <f t="shared" si="1"/>
        <v>100</v>
      </c>
      <c r="V15" s="702" t="s">
        <v>14</v>
      </c>
      <c r="W15" s="703">
        <f t="shared" si="2"/>
        <v>100</v>
      </c>
      <c r="X15" s="1352"/>
      <c r="Y15" s="3688"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7"/>
      <c r="L16" s="2713"/>
      <c r="M16" s="2707"/>
      <c r="N16" s="2707"/>
      <c r="O16" s="2765"/>
      <c r="P16" s="3689"/>
      <c r="Q16" s="1349"/>
      <c r="R16" s="702"/>
      <c r="S16" s="703"/>
      <c r="T16" s="702"/>
      <c r="U16" s="703"/>
      <c r="V16" s="702"/>
      <c r="W16" s="703"/>
      <c r="X16" s="1352"/>
      <c r="Y16" s="3689"/>
      <c r="Z16" s="1353"/>
      <c r="AA16" s="1350">
        <v>1</v>
      </c>
      <c r="AB16" s="1350">
        <v>1</v>
      </c>
      <c r="AC16" s="1350">
        <v>1</v>
      </c>
    </row>
    <row r="17" spans="1:29" ht="15">
      <c r="A17" s="379"/>
      <c r="B17" s="402" t="s">
        <v>1777</v>
      </c>
      <c r="C17" s="1951"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18"/>
      <c r="L17" s="2713"/>
      <c r="M17" s="2707"/>
      <c r="N17" s="2707"/>
      <c r="O17" s="2765"/>
      <c r="P17" s="3689"/>
      <c r="Q17" s="1349" t="str">
        <f>B17</f>
        <v>商业繁华度</v>
      </c>
      <c r="R17" s="702" t="s">
        <v>14</v>
      </c>
      <c r="S17" s="703">
        <f>F17</f>
        <v>100</v>
      </c>
      <c r="T17" s="702" t="s">
        <v>14</v>
      </c>
      <c r="U17" s="703">
        <f>H17</f>
        <v>100</v>
      </c>
      <c r="V17" s="702" t="s">
        <v>14</v>
      </c>
      <c r="W17" s="703">
        <f>J17</f>
        <v>100</v>
      </c>
      <c r="X17" s="1352"/>
      <c r="Y17" s="3689"/>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7"/>
      <c r="L18" s="2713"/>
      <c r="M18" s="2707"/>
      <c r="N18" s="2707"/>
      <c r="O18" s="2765"/>
      <c r="P18" s="3689"/>
      <c r="Q18" s="1349"/>
      <c r="R18" s="702"/>
      <c r="S18" s="703"/>
      <c r="T18" s="702"/>
      <c r="U18" s="703"/>
      <c r="V18" s="702"/>
      <c r="W18" s="703"/>
      <c r="X18" s="1352"/>
      <c r="Y18" s="3689"/>
      <c r="Z18" s="1353"/>
      <c r="AA18" s="1350">
        <v>1</v>
      </c>
      <c r="AB18" s="1350">
        <v>1</v>
      </c>
      <c r="AC18" s="1350">
        <v>1</v>
      </c>
    </row>
    <row r="19" spans="1:29" ht="15">
      <c r="A19" s="379"/>
      <c r="B19" s="402" t="s">
        <v>1811</v>
      </c>
      <c r="C19" s="1951"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18"/>
      <c r="L19" s="2713"/>
      <c r="M19" s="2707"/>
      <c r="N19" s="2707"/>
      <c r="O19" s="2765"/>
      <c r="P19" s="3689"/>
      <c r="Q19" s="1349" t="str">
        <f>B19</f>
        <v>办公集聚程度</v>
      </c>
      <c r="R19" s="702" t="s">
        <v>14</v>
      </c>
      <c r="S19" s="703">
        <f>F19</f>
        <v>100</v>
      </c>
      <c r="T19" s="702" t="s">
        <v>14</v>
      </c>
      <c r="U19" s="703">
        <f>H19</f>
        <v>100</v>
      </c>
      <c r="V19" s="702" t="s">
        <v>14</v>
      </c>
      <c r="W19" s="703">
        <f>J19</f>
        <v>100</v>
      </c>
      <c r="X19" s="1352"/>
      <c r="Y19" s="3689"/>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7"/>
      <c r="L20" s="2713"/>
      <c r="M20" s="2707"/>
      <c r="N20" s="2707"/>
      <c r="O20" s="2765"/>
      <c r="P20" s="3689"/>
      <c r="Q20" s="1349"/>
      <c r="R20" s="702"/>
      <c r="S20" s="703"/>
      <c r="T20" s="702"/>
      <c r="U20" s="703"/>
      <c r="V20" s="702"/>
      <c r="W20" s="703"/>
      <c r="X20" s="1352"/>
      <c r="Y20" s="3689"/>
      <c r="Z20" s="1353"/>
      <c r="AA20" s="1350">
        <v>1</v>
      </c>
      <c r="AB20" s="1350">
        <v>1</v>
      </c>
      <c r="AC20" s="1350">
        <v>1</v>
      </c>
    </row>
    <row r="21" spans="1:29" ht="15">
      <c r="A21" s="379"/>
      <c r="B21" s="402" t="s">
        <v>1833</v>
      </c>
      <c r="C21" s="1897"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713"/>
      <c r="M21" s="2707"/>
      <c r="N21" s="2707"/>
      <c r="O21" s="2765"/>
      <c r="P21" s="3689"/>
      <c r="Q21" s="1349" t="str">
        <f>B21</f>
        <v>交通便捷度</v>
      </c>
      <c r="R21" s="702" t="s">
        <v>14</v>
      </c>
      <c r="S21" s="703">
        <f>F21</f>
        <v>100</v>
      </c>
      <c r="T21" s="702" t="s">
        <v>14</v>
      </c>
      <c r="U21" s="703">
        <f>H21</f>
        <v>100</v>
      </c>
      <c r="V21" s="702" t="s">
        <v>14</v>
      </c>
      <c r="W21" s="703">
        <f>J21</f>
        <v>100</v>
      </c>
      <c r="X21" s="1352"/>
      <c r="Y21" s="3689"/>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7"/>
      <c r="L22" s="2713"/>
      <c r="M22" s="2707"/>
      <c r="N22" s="2707"/>
      <c r="O22" s="2765"/>
      <c r="P22" s="3689"/>
      <c r="Q22" s="1349"/>
      <c r="R22" s="702"/>
      <c r="S22" s="703"/>
      <c r="T22" s="702"/>
      <c r="U22" s="703"/>
      <c r="V22" s="702"/>
      <c r="W22" s="703"/>
      <c r="X22" s="1352"/>
      <c r="Y22" s="3689"/>
      <c r="Z22" s="1353"/>
      <c r="AA22" s="1350">
        <v>1</v>
      </c>
      <c r="AB22" s="1350">
        <v>1</v>
      </c>
      <c r="AC22" s="1350">
        <v>1</v>
      </c>
    </row>
    <row r="23" spans="1:29" ht="15">
      <c r="A23" s="358"/>
      <c r="B23" s="402" t="s">
        <v>1871</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713"/>
      <c r="M23" s="2707"/>
      <c r="N23" s="2707"/>
      <c r="O23" s="2765"/>
      <c r="P23" s="3689"/>
      <c r="Q23" s="1349" t="str">
        <f t="shared" ref="Q23:Q37" si="8">B23</f>
        <v>区域土地利用方向</v>
      </c>
      <c r="R23" s="702" t="s">
        <v>14</v>
      </c>
      <c r="S23" s="703">
        <f>F23</f>
        <v>100</v>
      </c>
      <c r="T23" s="702" t="s">
        <v>14</v>
      </c>
      <c r="U23" s="703">
        <f>H23</f>
        <v>100</v>
      </c>
      <c r="V23" s="702" t="s">
        <v>14</v>
      </c>
      <c r="W23" s="703">
        <f>J23</f>
        <v>100</v>
      </c>
      <c r="X23" s="1352"/>
      <c r="Y23" s="3689"/>
      <c r="Z23" s="1353" t="str">
        <f>Q23</f>
        <v>区域土地利用方向</v>
      </c>
      <c r="AA23" s="1350">
        <f t="shared" si="3"/>
        <v>1</v>
      </c>
      <c r="AB23" s="1350">
        <f t="shared" si="4"/>
        <v>1</v>
      </c>
      <c r="AC23" s="1350">
        <f t="shared" si="5"/>
        <v>1</v>
      </c>
    </row>
    <row r="24" spans="1:29" ht="15">
      <c r="A24" s="358"/>
      <c r="B24" s="407"/>
      <c r="C24" s="563"/>
      <c r="D24" s="399"/>
      <c r="E24" s="1895"/>
      <c r="F24" s="399"/>
      <c r="G24" s="1894"/>
      <c r="H24" s="399"/>
      <c r="I24" s="1894"/>
      <c r="J24" s="399"/>
      <c r="K24" s="737"/>
      <c r="L24" s="2713"/>
      <c r="M24" s="2707"/>
      <c r="N24" s="2707"/>
      <c r="O24" s="2765"/>
      <c r="P24" s="3689"/>
      <c r="Q24" s="1349"/>
      <c r="R24" s="702"/>
      <c r="S24" s="703"/>
      <c r="T24" s="702"/>
      <c r="U24" s="703"/>
      <c r="V24" s="702"/>
      <c r="W24" s="703"/>
      <c r="X24" s="1352"/>
      <c r="Y24" s="3689"/>
      <c r="Z24" s="1353"/>
      <c r="AA24" s="1350"/>
      <c r="AB24" s="1350"/>
      <c r="AC24" s="1350"/>
    </row>
    <row r="25" spans="1:29" ht="27">
      <c r="A25" s="358"/>
      <c r="B25" s="1128" t="s">
        <v>1872</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713"/>
      <c r="M25" s="2707"/>
      <c r="N25" s="2707"/>
      <c r="O25" s="2765"/>
      <c r="P25" s="3689"/>
      <c r="Q25" s="1349" t="str">
        <f t="shared" si="8"/>
        <v>自然及人文环境状况</v>
      </c>
      <c r="R25" s="702" t="s">
        <v>14</v>
      </c>
      <c r="S25" s="703">
        <f>F25</f>
        <v>100</v>
      </c>
      <c r="T25" s="702" t="s">
        <v>14</v>
      </c>
      <c r="U25" s="703">
        <f>H25</f>
        <v>100</v>
      </c>
      <c r="V25" s="702" t="s">
        <v>14</v>
      </c>
      <c r="W25" s="703">
        <f>J25</f>
        <v>100</v>
      </c>
      <c r="X25" s="1352"/>
      <c r="Y25" s="3689"/>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7"/>
      <c r="L26" s="2713"/>
      <c r="M26" s="2707"/>
      <c r="N26" s="2707"/>
      <c r="O26" s="2765"/>
      <c r="P26" s="3689"/>
      <c r="Q26" s="1349"/>
      <c r="R26" s="702"/>
      <c r="S26" s="703"/>
      <c r="T26" s="702"/>
      <c r="U26" s="703"/>
      <c r="V26" s="702"/>
      <c r="W26" s="703"/>
      <c r="X26" s="1352"/>
      <c r="Y26" s="3689"/>
      <c r="Z26" s="1353"/>
      <c r="AA26" s="1350">
        <v>1</v>
      </c>
      <c r="AB26" s="1350">
        <v>1</v>
      </c>
      <c r="AC26" s="1350">
        <v>1</v>
      </c>
    </row>
    <row r="27" spans="1:29" s="108" customFormat="1" ht="15">
      <c r="A27" s="594"/>
      <c r="B27" s="1128" t="s">
        <v>1778</v>
      </c>
      <c r="C27" s="1897"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708"/>
      <c r="M27" s="2709"/>
      <c r="N27" s="2709"/>
      <c r="O27" s="2763"/>
      <c r="P27" s="3689"/>
      <c r="Q27" s="1340" t="str">
        <f t="shared" si="8"/>
        <v>公共配套设施</v>
      </c>
      <c r="R27" s="698" t="s">
        <v>14</v>
      </c>
      <c r="S27" s="699">
        <f>F27</f>
        <v>100</v>
      </c>
      <c r="T27" s="698" t="s">
        <v>14</v>
      </c>
      <c r="U27" s="699">
        <f>H27</f>
        <v>100</v>
      </c>
      <c r="V27" s="698" t="s">
        <v>14</v>
      </c>
      <c r="W27" s="699">
        <f>J27</f>
        <v>100</v>
      </c>
      <c r="X27" s="700"/>
      <c r="Y27" s="3689"/>
      <c r="Z27" s="52" t="str">
        <f>Q27</f>
        <v>公共配套设施</v>
      </c>
      <c r="AA27" s="1350">
        <f>D27/F27</f>
        <v>1</v>
      </c>
      <c r="AB27" s="1350">
        <f>D27/H27</f>
        <v>1</v>
      </c>
      <c r="AC27" s="1350">
        <f>D27/J27</f>
        <v>1</v>
      </c>
    </row>
    <row r="28" spans="1:29" s="108" customFormat="1" ht="15">
      <c r="A28" s="594"/>
      <c r="B28" s="407"/>
      <c r="C28" s="1974"/>
      <c r="D28" s="399"/>
      <c r="E28" s="1901"/>
      <c r="F28" s="399"/>
      <c r="G28" s="1901"/>
      <c r="H28" s="399"/>
      <c r="I28" s="398"/>
      <c r="J28" s="399"/>
      <c r="K28" s="617"/>
      <c r="L28" s="2708"/>
      <c r="M28" s="2709"/>
      <c r="N28" s="2709"/>
      <c r="O28" s="2763"/>
      <c r="P28" s="3689"/>
      <c r="Q28" s="1340"/>
      <c r="R28" s="698"/>
      <c r="S28" s="699"/>
      <c r="T28" s="698"/>
      <c r="U28" s="699"/>
      <c r="V28" s="698"/>
      <c r="W28" s="699"/>
      <c r="X28" s="700"/>
      <c r="Y28" s="3689"/>
      <c r="Z28" s="52"/>
      <c r="AA28" s="1350">
        <v>1</v>
      </c>
      <c r="AB28" s="1350">
        <v>1</v>
      </c>
      <c r="AC28" s="1350">
        <v>1</v>
      </c>
    </row>
    <row r="29" spans="1:29" s="108" customFormat="1" ht="15">
      <c r="A29" s="594"/>
      <c r="B29" s="1128" t="s">
        <v>1779</v>
      </c>
      <c r="C29" s="1897"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708"/>
      <c r="M29" s="2709"/>
      <c r="N29" s="2709"/>
      <c r="O29" s="2763"/>
      <c r="P29" s="3689"/>
      <c r="Q29" s="1340" t="str">
        <f t="shared" ref="Q29" si="9">B29</f>
        <v>基础设施水平</v>
      </c>
      <c r="R29" s="698" t="s">
        <v>14</v>
      </c>
      <c r="S29" s="699">
        <f>F29</f>
        <v>100</v>
      </c>
      <c r="T29" s="698" t="s">
        <v>14</v>
      </c>
      <c r="U29" s="699">
        <f>H29</f>
        <v>100</v>
      </c>
      <c r="V29" s="698" t="s">
        <v>14</v>
      </c>
      <c r="W29" s="699">
        <f>J29</f>
        <v>100</v>
      </c>
      <c r="X29" s="700"/>
      <c r="Y29" s="3689"/>
      <c r="Z29" s="52" t="str">
        <f>Q29</f>
        <v>基础设施水平</v>
      </c>
      <c r="AA29" s="1350">
        <f>D29/F29</f>
        <v>1</v>
      </c>
      <c r="AB29" s="1350">
        <f>D29/H29</f>
        <v>1</v>
      </c>
      <c r="AC29" s="1350">
        <f>D29/J29</f>
        <v>1</v>
      </c>
    </row>
    <row r="30" spans="1:29" s="108" customFormat="1" ht="15">
      <c r="A30" s="594"/>
      <c r="B30" s="407"/>
      <c r="C30" s="1974"/>
      <c r="D30" s="399"/>
      <c r="E30" s="1975"/>
      <c r="F30" s="399"/>
      <c r="G30" s="1975"/>
      <c r="H30" s="399"/>
      <c r="I30" s="1975"/>
      <c r="J30" s="399"/>
      <c r="K30" s="617"/>
      <c r="L30" s="2708"/>
      <c r="M30" s="2709"/>
      <c r="N30" s="2709"/>
      <c r="O30" s="2763"/>
      <c r="P30" s="3689"/>
      <c r="Q30" s="1340"/>
      <c r="R30" s="698"/>
      <c r="S30" s="699"/>
      <c r="T30" s="698"/>
      <c r="U30" s="699"/>
      <c r="V30" s="698"/>
      <c r="W30" s="699"/>
      <c r="X30" s="700"/>
      <c r="Y30" s="3689"/>
      <c r="Z30" s="52"/>
      <c r="AA30" s="1350">
        <v>1</v>
      </c>
      <c r="AB30" s="1350">
        <v>1</v>
      </c>
      <c r="AC30" s="1350">
        <v>1</v>
      </c>
    </row>
    <row r="31" spans="1:29" ht="15">
      <c r="A31" s="379"/>
      <c r="B31" s="407" t="s">
        <v>1780</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713"/>
      <c r="M31" s="2707"/>
      <c r="N31" s="2707"/>
      <c r="O31" s="2765"/>
      <c r="P31" s="3689"/>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689"/>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713"/>
      <c r="M32" s="2707"/>
      <c r="N32" s="2707"/>
      <c r="O32" s="2765"/>
      <c r="P32" s="3689"/>
      <c r="Q32" s="1349" t="str">
        <f t="shared" si="8"/>
        <v>毗邻道路的类型与等级</v>
      </c>
      <c r="R32" s="702" t="s">
        <v>14</v>
      </c>
      <c r="S32" s="703">
        <f t="shared" si="10"/>
        <v>100</v>
      </c>
      <c r="T32" s="702" t="s">
        <v>14</v>
      </c>
      <c r="U32" s="703">
        <f t="shared" si="11"/>
        <v>100</v>
      </c>
      <c r="V32" s="702" t="s">
        <v>14</v>
      </c>
      <c r="W32" s="703">
        <f t="shared" si="12"/>
        <v>100</v>
      </c>
      <c r="X32" s="1352"/>
      <c r="Y32" s="3689"/>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0"/>
      <c r="L33" s="2713"/>
      <c r="M33" s="2707"/>
      <c r="N33" s="2707"/>
      <c r="O33" s="2765"/>
      <c r="P33" s="3689"/>
      <c r="Q33" s="1349"/>
      <c r="R33" s="702"/>
      <c r="S33" s="703"/>
      <c r="T33" s="702"/>
      <c r="U33" s="703"/>
      <c r="V33" s="702"/>
      <c r="W33" s="703"/>
      <c r="X33" s="1352"/>
      <c r="Y33" s="3689"/>
      <c r="Z33" s="1353"/>
      <c r="AA33" s="1350">
        <v>1</v>
      </c>
      <c r="AB33" s="1350">
        <v>1</v>
      </c>
      <c r="AC33" s="1350">
        <v>1</v>
      </c>
    </row>
    <row r="34" spans="1:29" ht="15">
      <c r="A34" s="379"/>
      <c r="B34" s="375" t="s">
        <v>1873</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713"/>
      <c r="M34" s="2707"/>
      <c r="N34" s="2707"/>
      <c r="O34" s="2765"/>
      <c r="P34" s="3689"/>
      <c r="Q34" s="1349" t="str">
        <f t="shared" si="8"/>
        <v>土地级别</v>
      </c>
      <c r="R34" s="702" t="s">
        <v>14</v>
      </c>
      <c r="S34" s="703">
        <f t="shared" si="10"/>
        <v>100</v>
      </c>
      <c r="T34" s="702" t="s">
        <v>14</v>
      </c>
      <c r="U34" s="703">
        <f t="shared" si="11"/>
        <v>100</v>
      </c>
      <c r="V34" s="702" t="s">
        <v>14</v>
      </c>
      <c r="W34" s="703">
        <f t="shared" si="12"/>
        <v>100</v>
      </c>
      <c r="X34" s="1352"/>
      <c r="Y34" s="3689"/>
      <c r="Z34" s="1353" t="str">
        <f t="shared" si="13"/>
        <v>土地级别</v>
      </c>
      <c r="AA34" s="1350">
        <f t="shared" si="3"/>
        <v>1</v>
      </c>
      <c r="AB34" s="1350">
        <f t="shared" si="4"/>
        <v>1</v>
      </c>
      <c r="AC34" s="1350">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713"/>
      <c r="M35" s="2707"/>
      <c r="N35" s="2707"/>
      <c r="O35" s="2765"/>
      <c r="P35" s="3689"/>
      <c r="Q35" s="1349">
        <f t="shared" si="8"/>
        <v>111</v>
      </c>
      <c r="R35" s="702" t="s">
        <v>14</v>
      </c>
      <c r="S35" s="703">
        <f t="shared" si="10"/>
        <v>100</v>
      </c>
      <c r="T35" s="702" t="s">
        <v>14</v>
      </c>
      <c r="U35" s="703">
        <f t="shared" si="11"/>
        <v>100</v>
      </c>
      <c r="V35" s="702" t="s">
        <v>14</v>
      </c>
      <c r="W35" s="703">
        <f t="shared" si="12"/>
        <v>100</v>
      </c>
      <c r="X35" s="1352"/>
      <c r="Y35" s="3689"/>
      <c r="Z35" s="1353">
        <f t="shared" si="13"/>
        <v>111</v>
      </c>
      <c r="AA35" s="1350">
        <f t="shared" si="3"/>
        <v>1</v>
      </c>
      <c r="AB35" s="1350">
        <f t="shared" si="4"/>
        <v>1</v>
      </c>
      <c r="AC35" s="1350">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713"/>
      <c r="M36" s="2707"/>
      <c r="N36" s="2707"/>
      <c r="O36" s="2765"/>
      <c r="P36" s="3745" t="s">
        <v>1696</v>
      </c>
      <c r="Q36" s="1349">
        <f t="shared" si="8"/>
        <v>111</v>
      </c>
      <c r="R36" s="702" t="s">
        <v>14</v>
      </c>
      <c r="S36" s="703">
        <f t="shared" si="10"/>
        <v>100</v>
      </c>
      <c r="T36" s="702" t="s">
        <v>14</v>
      </c>
      <c r="U36" s="703">
        <f t="shared" si="11"/>
        <v>100</v>
      </c>
      <c r="V36" s="702" t="s">
        <v>14</v>
      </c>
      <c r="W36" s="703">
        <f t="shared" si="12"/>
        <v>100</v>
      </c>
      <c r="X36" s="1352"/>
      <c r="Y36" s="3693" t="s">
        <v>1696</v>
      </c>
      <c r="Z36" s="1353">
        <f t="shared" si="13"/>
        <v>111</v>
      </c>
      <c r="AA36" s="1350">
        <f t="shared" si="3"/>
        <v>1</v>
      </c>
      <c r="AB36" s="1350">
        <f t="shared" si="4"/>
        <v>1</v>
      </c>
      <c r="AC36" s="1350">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712"/>
      <c r="M37" s="2714"/>
      <c r="N37" s="2714"/>
      <c r="O37" s="2766"/>
      <c r="P37" s="3693"/>
      <c r="Q37" s="1349">
        <f t="shared" si="8"/>
        <v>111</v>
      </c>
      <c r="R37" s="705" t="s">
        <v>14</v>
      </c>
      <c r="S37" s="706">
        <f t="shared" si="10"/>
        <v>100</v>
      </c>
      <c r="T37" s="705" t="s">
        <v>14</v>
      </c>
      <c r="U37" s="706">
        <f t="shared" si="11"/>
        <v>100</v>
      </c>
      <c r="V37" s="705" t="s">
        <v>14</v>
      </c>
      <c r="W37" s="706">
        <f t="shared" si="12"/>
        <v>100</v>
      </c>
      <c r="X37" s="707"/>
      <c r="Y37" s="3693"/>
      <c r="Z37" s="708">
        <f t="shared" si="13"/>
        <v>111</v>
      </c>
      <c r="AA37" s="1350">
        <f t="shared" si="3"/>
        <v>1</v>
      </c>
      <c r="AB37" s="1350">
        <f t="shared" si="4"/>
        <v>1</v>
      </c>
      <c r="AC37" s="1350">
        <f t="shared" si="5"/>
        <v>1</v>
      </c>
    </row>
    <row r="38" spans="1:29" ht="15">
      <c r="A38" s="423" t="s">
        <v>1694</v>
      </c>
      <c r="B38" s="407" t="s">
        <v>1874</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713"/>
      <c r="M38" s="2707"/>
      <c r="N38" s="2707"/>
      <c r="O38" s="2765"/>
      <c r="P38" s="3693"/>
      <c r="Q38" s="1349" t="str">
        <f>B38</f>
        <v>宗地面积</v>
      </c>
      <c r="R38" s="702" t="s">
        <v>14</v>
      </c>
      <c r="S38" s="703" t="e">
        <f t="shared" si="10"/>
        <v>#N/A</v>
      </c>
      <c r="T38" s="702" t="s">
        <v>14</v>
      </c>
      <c r="U38" s="703" t="e">
        <f t="shared" si="11"/>
        <v>#N/A</v>
      </c>
      <c r="V38" s="702" t="s">
        <v>14</v>
      </c>
      <c r="W38" s="703" t="e">
        <f t="shared" si="12"/>
        <v>#N/A</v>
      </c>
      <c r="X38" s="1352"/>
      <c r="Y38" s="3693"/>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59"/>
      <c r="L39" s="2713"/>
      <c r="M39" s="2707"/>
      <c r="N39" s="2707"/>
      <c r="O39" s="2765"/>
      <c r="P39" s="3693"/>
      <c r="Q39" s="1349" t="str">
        <f t="shared" ref="Q39:Q45" si="14">B39</f>
        <v>宗地形状</v>
      </c>
      <c r="R39" s="702" t="s">
        <v>14</v>
      </c>
      <c r="S39" s="703">
        <f t="shared" si="10"/>
        <v>100</v>
      </c>
      <c r="T39" s="702" t="s">
        <v>14</v>
      </c>
      <c r="U39" s="703">
        <f t="shared" si="11"/>
        <v>100</v>
      </c>
      <c r="V39" s="702" t="s">
        <v>14</v>
      </c>
      <c r="W39" s="703">
        <f t="shared" si="12"/>
        <v>100</v>
      </c>
      <c r="X39" s="1352"/>
      <c r="Y39" s="3693"/>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59"/>
      <c r="L40" s="2713"/>
      <c r="M40" s="2707"/>
      <c r="N40" s="2707"/>
      <c r="O40" s="2765"/>
      <c r="P40" s="3693"/>
      <c r="Q40" s="1349" t="str">
        <f t="shared" si="14"/>
        <v>临街宽度及深度</v>
      </c>
      <c r="R40" s="702" t="s">
        <v>14</v>
      </c>
      <c r="S40" s="703">
        <f t="shared" si="10"/>
        <v>100</v>
      </c>
      <c r="T40" s="702" t="s">
        <v>14</v>
      </c>
      <c r="U40" s="703">
        <f t="shared" si="11"/>
        <v>100</v>
      </c>
      <c r="V40" s="702" t="s">
        <v>14</v>
      </c>
      <c r="W40" s="703">
        <f t="shared" si="12"/>
        <v>100</v>
      </c>
      <c r="X40" s="1352"/>
      <c r="Y40" s="3693"/>
      <c r="Z40" s="1353" t="str">
        <f t="shared" si="13"/>
        <v>临街宽度及深度</v>
      </c>
      <c r="AA40" s="1350">
        <f t="shared" si="3"/>
        <v>1</v>
      </c>
      <c r="AB40" s="1350">
        <f t="shared" si="4"/>
        <v>1</v>
      </c>
      <c r="AC40" s="1350">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59"/>
      <c r="L41" s="2708"/>
      <c r="M41" s="2709"/>
      <c r="N41" s="2709"/>
      <c r="O41" s="2763"/>
      <c r="P41" s="3693"/>
      <c r="Q41" s="1349" t="str">
        <f t="shared" si="14"/>
        <v>宗地开发程度</v>
      </c>
      <c r="R41" s="698" t="s">
        <v>14</v>
      </c>
      <c r="S41" s="699">
        <f t="shared" si="10"/>
        <v>100</v>
      </c>
      <c r="T41" s="698" t="s">
        <v>14</v>
      </c>
      <c r="U41" s="699">
        <f t="shared" si="11"/>
        <v>100</v>
      </c>
      <c r="V41" s="698" t="s">
        <v>14</v>
      </c>
      <c r="W41" s="699">
        <f t="shared" si="12"/>
        <v>100</v>
      </c>
      <c r="X41" s="700"/>
      <c r="Y41" s="3693"/>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59"/>
      <c r="L42" s="2713"/>
      <c r="M42" s="2707"/>
      <c r="N42" s="2707"/>
      <c r="O42" s="2765"/>
      <c r="P42" s="3693" t="s">
        <v>1696</v>
      </c>
      <c r="Q42" s="1349" t="str">
        <f t="shared" si="14"/>
        <v>工程地质条件</v>
      </c>
      <c r="R42" s="702" t="s">
        <v>14</v>
      </c>
      <c r="S42" s="703">
        <f t="shared" si="10"/>
        <v>100</v>
      </c>
      <c r="T42" s="702" t="s">
        <v>14</v>
      </c>
      <c r="U42" s="703">
        <f t="shared" si="11"/>
        <v>100</v>
      </c>
      <c r="V42" s="702" t="s">
        <v>14</v>
      </c>
      <c r="W42" s="703">
        <f t="shared" si="12"/>
        <v>100</v>
      </c>
      <c r="X42" s="1352"/>
      <c r="Y42" s="3693" t="s">
        <v>1696</v>
      </c>
      <c r="Z42" s="1353" t="str">
        <f t="shared" si="13"/>
        <v>工程地质条件</v>
      </c>
      <c r="AA42" s="1350">
        <f t="shared" si="3"/>
        <v>1</v>
      </c>
      <c r="AB42" s="1350">
        <f t="shared" si="4"/>
        <v>1</v>
      </c>
      <c r="AC42" s="1350">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713"/>
      <c r="M43" s="2707"/>
      <c r="N43" s="2707"/>
      <c r="O43" s="2765"/>
      <c r="P43" s="3693"/>
      <c r="Q43" s="1349">
        <f t="shared" si="14"/>
        <v>111</v>
      </c>
      <c r="R43" s="702" t="s">
        <v>14</v>
      </c>
      <c r="S43" s="703">
        <f t="shared" si="10"/>
        <v>100</v>
      </c>
      <c r="T43" s="702" t="s">
        <v>14</v>
      </c>
      <c r="U43" s="703">
        <f t="shared" si="11"/>
        <v>100</v>
      </c>
      <c r="V43" s="702" t="s">
        <v>14</v>
      </c>
      <c r="W43" s="703">
        <f t="shared" si="12"/>
        <v>100</v>
      </c>
      <c r="X43" s="1352"/>
      <c r="Y43" s="3693"/>
      <c r="Z43" s="1353">
        <f t="shared" si="13"/>
        <v>111</v>
      </c>
      <c r="AA43" s="1350">
        <f t="shared" si="3"/>
        <v>1</v>
      </c>
      <c r="AB43" s="1350">
        <f t="shared" si="4"/>
        <v>1</v>
      </c>
      <c r="AC43" s="1350">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713"/>
      <c r="M44" s="2707"/>
      <c r="N44" s="2707"/>
      <c r="O44" s="2765"/>
      <c r="P44" s="3693"/>
      <c r="Q44" s="1349">
        <f t="shared" si="14"/>
        <v>111</v>
      </c>
      <c r="R44" s="702" t="s">
        <v>14</v>
      </c>
      <c r="S44" s="703">
        <f t="shared" si="10"/>
        <v>100</v>
      </c>
      <c r="T44" s="702" t="s">
        <v>14</v>
      </c>
      <c r="U44" s="703">
        <f t="shared" si="11"/>
        <v>100</v>
      </c>
      <c r="V44" s="702" t="s">
        <v>14</v>
      </c>
      <c r="W44" s="703">
        <f t="shared" si="12"/>
        <v>100</v>
      </c>
      <c r="X44" s="1352"/>
      <c r="Y44" s="3693"/>
      <c r="Z44" s="1353">
        <f t="shared" si="13"/>
        <v>111</v>
      </c>
      <c r="AA44" s="1350">
        <f t="shared" si="3"/>
        <v>1</v>
      </c>
      <c r="AB44" s="1350">
        <f t="shared" si="4"/>
        <v>1</v>
      </c>
      <c r="AC44" s="1350">
        <f t="shared" si="5"/>
        <v>1</v>
      </c>
    </row>
    <row r="45" spans="1:29" s="422" customFormat="1" ht="15.75" thickBot="1">
      <c r="A45" s="419"/>
      <c r="B45" s="1131">
        <v>111</v>
      </c>
      <c r="C45" s="1977"/>
      <c r="D45" s="625">
        <v>100</v>
      </c>
      <c r="E45" s="619"/>
      <c r="F45" s="389">
        <f>SUMIF(130:130,E45,131:131)-SUMIF(130:130,C45,131:131)+100</f>
        <v>100</v>
      </c>
      <c r="G45" s="619"/>
      <c r="H45" s="389">
        <f>SUMIF(130:130,G45,131:131)-SUMIF(130:130,C45,131:131)+100</f>
        <v>100</v>
      </c>
      <c r="I45" s="619"/>
      <c r="J45" s="389">
        <f>SUMIF(130:130,I45,131:131)-SUMIF(130:130,C45,131:131)+100</f>
        <v>100</v>
      </c>
      <c r="K45" s="626"/>
      <c r="L45" s="2712"/>
      <c r="M45" s="2714"/>
      <c r="N45" s="2714"/>
      <c r="O45" s="2766"/>
      <c r="P45" s="3693"/>
      <c r="Q45" s="1349">
        <f t="shared" si="14"/>
        <v>111</v>
      </c>
      <c r="R45" s="705" t="s">
        <v>14</v>
      </c>
      <c r="S45" s="706">
        <f t="shared" si="10"/>
        <v>100</v>
      </c>
      <c r="T45" s="705" t="s">
        <v>14</v>
      </c>
      <c r="U45" s="706">
        <f t="shared" si="11"/>
        <v>100</v>
      </c>
      <c r="V45" s="705" t="s">
        <v>14</v>
      </c>
      <c r="W45" s="706">
        <f t="shared" si="12"/>
        <v>100</v>
      </c>
      <c r="X45" s="707"/>
      <c r="Y45" s="3693"/>
      <c r="Z45" s="708">
        <f t="shared" si="13"/>
        <v>111</v>
      </c>
      <c r="AA45" s="1350">
        <f t="shared" si="3"/>
        <v>1</v>
      </c>
      <c r="AB45" s="1350">
        <f t="shared" si="4"/>
        <v>1</v>
      </c>
      <c r="AC45" s="1350">
        <f t="shared" si="5"/>
        <v>1</v>
      </c>
    </row>
    <row r="46" spans="1:29" ht="15">
      <c r="A46" s="428" t="s">
        <v>1844</v>
      </c>
      <c r="B46" s="1978" t="s">
        <v>1879</v>
      </c>
      <c r="C46" s="627" t="s">
        <v>0</v>
      </c>
      <c r="D46" s="430"/>
      <c r="E46" s="431"/>
      <c r="F46" s="432"/>
      <c r="G46" s="433"/>
      <c r="H46" s="434"/>
      <c r="I46" s="431"/>
      <c r="J46" s="434"/>
      <c r="K46" s="711"/>
      <c r="L46" s="2715"/>
      <c r="M46" s="2716"/>
      <c r="N46" s="2707"/>
      <c r="O46" s="2716"/>
      <c r="P46" s="3686" t="str">
        <f>A46</f>
        <v>成交单价</v>
      </c>
      <c r="Q46" s="3686"/>
      <c r="R46" s="3717">
        <f>E46</f>
        <v>0</v>
      </c>
      <c r="S46" s="3717"/>
      <c r="T46" s="3717">
        <f>G46</f>
        <v>0</v>
      </c>
      <c r="U46" s="3717"/>
      <c r="V46" s="3717">
        <f>I46</f>
        <v>0</v>
      </c>
      <c r="W46" s="3717"/>
      <c r="X46" s="687"/>
      <c r="Y46" s="709"/>
      <c r="Z46" s="687"/>
      <c r="AA46" s="687"/>
      <c r="AB46" s="687"/>
      <c r="AC46" s="687"/>
    </row>
    <row r="47" spans="1:29" ht="15.75" thickBot="1">
      <c r="A47" s="435" t="s">
        <v>1793</v>
      </c>
      <c r="B47" s="628"/>
      <c r="C47" s="438" t="e">
        <f>R48</f>
        <v>#DIV/0!</v>
      </c>
      <c r="D47" s="2313" t="s">
        <v>2138</v>
      </c>
      <c r="E47" s="438" t="e">
        <f>R47</f>
        <v>#DIV/0!</v>
      </c>
      <c r="F47" s="2314"/>
      <c r="G47" s="437" t="e">
        <f>T47</f>
        <v>#DIV/0!</v>
      </c>
      <c r="H47" s="2314"/>
      <c r="I47" s="438" t="e">
        <f>V47</f>
        <v>#DIV/0!</v>
      </c>
      <c r="J47" s="2314"/>
      <c r="K47" s="2316">
        <f>F47+H47+J47</f>
        <v>0</v>
      </c>
      <c r="L47" s="2715"/>
      <c r="M47" s="2716"/>
      <c r="N47" s="2716"/>
      <c r="O47" s="2716"/>
      <c r="P47" s="3686" t="str">
        <f>A47</f>
        <v>比较价值（元/平方米）</v>
      </c>
      <c r="Q47" s="3686"/>
      <c r="R47" s="3747" t="e">
        <f>ROUND(PRODUCT(R46,AA7:AA45),0)</f>
        <v>#DIV/0!</v>
      </c>
      <c r="S47" s="3747"/>
      <c r="T47" s="3747" t="e">
        <f>ROUND(PRODUCT(T46,AB7:AB45),0)</f>
        <v>#DIV/0!</v>
      </c>
      <c r="U47" s="3747"/>
      <c r="V47" s="3747" t="e">
        <f>ROUND(PRODUCT(V46,AC7:AC45),0)</f>
        <v>#DIV/0!</v>
      </c>
      <c r="W47" s="3747"/>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15"/>
      <c r="M48" s="2716"/>
      <c r="N48" s="2716"/>
      <c r="O48" s="2716"/>
      <c r="P48" s="3683" t="str">
        <f>A48</f>
        <v>估价对象XX用房的比较价值（楼面单价，元/平方米）</v>
      </c>
      <c r="Q48" s="3684"/>
      <c r="R48" s="3748" t="e">
        <f>ROUND(IF(D47="简单平均",AVERAGE(R47:W47),R47*F47+T47*H47+V47*J47),0)</f>
        <v>#DIV/0!</v>
      </c>
      <c r="S48" s="3748"/>
      <c r="T48" s="3748"/>
      <c r="U48" s="3748"/>
      <c r="V48" s="3748"/>
      <c r="W48" s="3748"/>
      <c r="X48" s="687"/>
      <c r="Y48" s="687"/>
      <c r="Z48" s="687"/>
      <c r="AA48" s="687"/>
      <c r="AB48" s="687"/>
      <c r="AC48" s="687"/>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0"/>
      <c r="D54" s="688"/>
      <c r="E54" s="688"/>
      <c r="F54" s="688"/>
      <c r="G54" s="688"/>
      <c r="H54" s="688"/>
      <c r="I54" s="688"/>
      <c r="J54" s="688"/>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29" t="s">
        <v>1881</v>
      </c>
      <c r="B55" s="630" t="s">
        <v>1882</v>
      </c>
      <c r="C55" s="1979" t="s">
        <v>1883</v>
      </c>
      <c r="D55" s="1980" t="s">
        <v>1884</v>
      </c>
      <c r="E55" s="631" t="s">
        <v>1885</v>
      </c>
      <c r="F55" s="887" t="s">
        <v>1886</v>
      </c>
      <c r="G55" s="3701" t="s">
        <v>1887</v>
      </c>
      <c r="H55" s="3749"/>
      <c r="I55" s="135" t="s">
        <v>1888</v>
      </c>
      <c r="J55" s="1981">
        <f>项目基本情况!F35</f>
        <v>0</v>
      </c>
      <c r="K55" s="1982" t="s">
        <v>1889</v>
      </c>
      <c r="L55" s="2717"/>
      <c r="M55" s="2716"/>
      <c r="N55" s="2716"/>
      <c r="O55" s="2716"/>
      <c r="P55" s="2716"/>
      <c r="Q55" s="2716"/>
      <c r="R55" s="2716"/>
      <c r="S55" s="2716"/>
      <c r="T55" s="2716"/>
      <c r="U55" s="2716"/>
      <c r="V55" s="2716"/>
      <c r="W55" s="2716"/>
      <c r="X55" s="2716"/>
      <c r="Y55" s="2716"/>
      <c r="Z55" s="2716"/>
      <c r="AA55" s="2716"/>
      <c r="AB55" s="2716"/>
      <c r="AC55" s="2716"/>
    </row>
    <row r="56" spans="1:29" s="637" customFormat="1">
      <c r="A56" s="633" t="s">
        <v>1890</v>
      </c>
      <c r="B56" s="634" t="e">
        <f>C48</f>
        <v>#DIV/0!</v>
      </c>
      <c r="C56" s="635">
        <v>1</v>
      </c>
      <c r="D56" s="941">
        <v>1</v>
      </c>
      <c r="E56" s="635">
        <f>'数据-汇总表'!E8+'数据-汇总表'!E9</f>
        <v>0</v>
      </c>
      <c r="F56" s="883" t="e">
        <f t="shared" ref="F56:F64" si="15">ROUND(B56*E56/10000,0)</f>
        <v>#DIV/0!</v>
      </c>
      <c r="G56" s="3697"/>
      <c r="H56" s="3686"/>
      <c r="I56" s="888">
        <v>1</v>
      </c>
      <c r="J56" s="891">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7" customFormat="1">
      <c r="A57" s="638" t="s">
        <v>1891</v>
      </c>
      <c r="B57" s="218" t="e">
        <f>ROUND($C$48*C57*D57,0)</f>
        <v>#DIV/0!</v>
      </c>
      <c r="C57" s="171">
        <f t="shared" ref="C57:C64" si="16">IF($C$55="北京市系数",I57,J57)</f>
        <v>0</v>
      </c>
      <c r="D57" s="942">
        <v>0.25</v>
      </c>
      <c r="E57" s="639"/>
      <c r="F57" s="883" t="e">
        <f t="shared" si="15"/>
        <v>#DIV/0!</v>
      </c>
      <c r="G57" s="2997" t="s">
        <v>1892</v>
      </c>
      <c r="H57" s="884">
        <f>项目基本情况!B37</f>
        <v>0</v>
      </c>
      <c r="I57" s="888">
        <f>SUMIF(修正!A57:A68,H57,修正!B57:B68)</f>
        <v>0</v>
      </c>
      <c r="J57" s="892"/>
      <c r="K57" s="2716"/>
      <c r="L57" s="2773"/>
      <c r="M57" s="2773"/>
      <c r="N57" s="2773"/>
      <c r="O57" s="2773"/>
      <c r="P57" s="2773"/>
      <c r="Q57" s="2773"/>
      <c r="R57" s="2773"/>
      <c r="S57" s="2773"/>
      <c r="T57" s="2773"/>
      <c r="U57" s="2773"/>
      <c r="V57" s="2773"/>
      <c r="W57" s="2773"/>
      <c r="X57" s="2773"/>
      <c r="Y57" s="2773"/>
      <c r="Z57" s="2773"/>
      <c r="AA57" s="2773"/>
      <c r="AB57" s="2773"/>
      <c r="AC57" s="2773"/>
    </row>
    <row r="58" spans="1:29" s="637" customFormat="1">
      <c r="A58" s="638" t="s">
        <v>1893</v>
      </c>
      <c r="B58" s="218" t="e">
        <f t="shared" ref="B58:B64" si="17">ROUND($C$48*C58*D58,0)</f>
        <v>#DIV/0!</v>
      </c>
      <c r="C58" s="171">
        <f t="shared" si="16"/>
        <v>0</v>
      </c>
      <c r="D58" s="942">
        <v>0.25</v>
      </c>
      <c r="E58" s="639"/>
      <c r="F58" s="883" t="e">
        <f t="shared" si="15"/>
        <v>#DIV/0!</v>
      </c>
      <c r="G58" s="2998"/>
      <c r="H58" s="884">
        <f>项目基本情况!B37</f>
        <v>0</v>
      </c>
      <c r="I58" s="888">
        <f>SUMIF(修正!A57:A68,H58,修正!C57:C68)</f>
        <v>0</v>
      </c>
      <c r="J58" s="892"/>
      <c r="K58" s="2719"/>
      <c r="L58" s="2773"/>
      <c r="M58" s="2773"/>
      <c r="N58" s="2773"/>
      <c r="O58" s="2773"/>
      <c r="P58" s="2773"/>
      <c r="Q58" s="2773"/>
      <c r="R58" s="2773"/>
      <c r="S58" s="2773"/>
      <c r="T58" s="2773"/>
      <c r="U58" s="2773"/>
      <c r="V58" s="2773"/>
      <c r="W58" s="2773"/>
      <c r="X58" s="2773"/>
      <c r="Y58" s="2773"/>
      <c r="Z58" s="2773"/>
      <c r="AA58" s="2773"/>
      <c r="AB58" s="2773"/>
      <c r="AC58" s="2773"/>
    </row>
    <row r="59" spans="1:29" s="637" customFormat="1">
      <c r="A59" s="638" t="s">
        <v>1894</v>
      </c>
      <c r="B59" s="218" t="e">
        <f t="shared" si="17"/>
        <v>#DIV/0!</v>
      </c>
      <c r="C59" s="171">
        <f t="shared" si="16"/>
        <v>0</v>
      </c>
      <c r="D59" s="942">
        <v>0.25</v>
      </c>
      <c r="E59" s="639"/>
      <c r="F59" s="883" t="e">
        <f t="shared" si="15"/>
        <v>#DIV/0!</v>
      </c>
      <c r="G59" s="2998"/>
      <c r="H59" s="884">
        <f>项目基本情况!B37</f>
        <v>0</v>
      </c>
      <c r="I59" s="888">
        <f>SUMIF(修正!A57:A68,H59,修正!D57:D68)</f>
        <v>0</v>
      </c>
      <c r="J59" s="892"/>
      <c r="K59" s="2716"/>
      <c r="L59" s="2773"/>
      <c r="M59" s="2773"/>
      <c r="N59" s="2773"/>
      <c r="O59" s="2773"/>
      <c r="P59" s="2773"/>
      <c r="Q59" s="2773"/>
      <c r="R59" s="2773"/>
      <c r="S59" s="2773"/>
      <c r="T59" s="2773"/>
      <c r="U59" s="2773"/>
      <c r="V59" s="2773"/>
      <c r="W59" s="2773"/>
      <c r="X59" s="2773"/>
      <c r="Y59" s="2773"/>
      <c r="Z59" s="2773"/>
      <c r="AA59" s="2773"/>
      <c r="AB59" s="2773"/>
      <c r="AC59" s="2773"/>
    </row>
    <row r="60" spans="1:29" s="637" customFormat="1">
      <c r="A60" s="638" t="s">
        <v>1895</v>
      </c>
      <c r="B60" s="218" t="e">
        <f t="shared" si="17"/>
        <v>#DIV/0!</v>
      </c>
      <c r="C60" s="171">
        <f t="shared" si="16"/>
        <v>0</v>
      </c>
      <c r="D60" s="942">
        <v>0.25</v>
      </c>
      <c r="E60" s="217">
        <f>'数据-汇总表'!E11</f>
        <v>0</v>
      </c>
      <c r="F60" s="883" t="e">
        <f t="shared" si="15"/>
        <v>#DIV/0!</v>
      </c>
      <c r="G60" s="1983" t="s">
        <v>1896</v>
      </c>
      <c r="H60" s="884">
        <f>项目基本情况!C37</f>
        <v>0</v>
      </c>
      <c r="I60" s="888">
        <f>SUMIF(修正!A57:A68,H60,修正!E57:E68)</f>
        <v>0</v>
      </c>
      <c r="J60" s="892"/>
      <c r="K60" s="2716"/>
      <c r="L60" s="2773"/>
      <c r="M60" s="2773"/>
      <c r="N60" s="2773"/>
      <c r="O60" s="2773"/>
      <c r="P60" s="2773"/>
      <c r="Q60" s="2773"/>
      <c r="R60" s="2773"/>
      <c r="S60" s="2773"/>
      <c r="T60" s="2773"/>
      <c r="U60" s="2773"/>
      <c r="V60" s="2773"/>
      <c r="W60" s="2773"/>
      <c r="X60" s="2773"/>
      <c r="Y60" s="2773"/>
      <c r="Z60" s="2773"/>
      <c r="AA60" s="2773"/>
      <c r="AB60" s="2773"/>
      <c r="AC60" s="2773"/>
    </row>
    <row r="61" spans="1:29" s="637" customFormat="1">
      <c r="A61" s="638"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19"/>
      <c r="L61" s="2773"/>
      <c r="M61" s="2773"/>
      <c r="N61" s="2773"/>
      <c r="O61" s="2773"/>
      <c r="P61" s="2773"/>
      <c r="Q61" s="2773"/>
      <c r="R61" s="2773"/>
      <c r="S61" s="2773"/>
      <c r="T61" s="2773"/>
      <c r="U61" s="2773"/>
      <c r="V61" s="2773"/>
      <c r="W61" s="2773"/>
      <c r="X61" s="2773"/>
      <c r="Y61" s="2773"/>
      <c r="Z61" s="2773"/>
      <c r="AA61" s="2773"/>
      <c r="AB61" s="2773"/>
      <c r="AC61" s="2773"/>
    </row>
    <row r="62" spans="1:29" s="637" customFormat="1">
      <c r="A62" s="638"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16"/>
      <c r="L62" s="2773"/>
      <c r="M62" s="2773"/>
      <c r="N62" s="2773"/>
      <c r="O62" s="2773"/>
      <c r="P62" s="2773"/>
      <c r="Q62" s="2773"/>
      <c r="R62" s="2773"/>
      <c r="S62" s="2773"/>
      <c r="T62" s="2773"/>
      <c r="U62" s="2773"/>
      <c r="V62" s="2773"/>
      <c r="W62" s="2773"/>
      <c r="X62" s="2773"/>
      <c r="Y62" s="2773"/>
      <c r="Z62" s="2773"/>
      <c r="AA62" s="2773"/>
      <c r="AB62" s="2773"/>
      <c r="AC62" s="2773"/>
    </row>
    <row r="63" spans="1:29" s="637" customFormat="1">
      <c r="A63" s="638" t="s">
        <v>1901</v>
      </c>
      <c r="B63" s="218" t="e">
        <f t="shared" si="17"/>
        <v>#DIV/0!</v>
      </c>
      <c r="C63" s="171">
        <f t="shared" si="16"/>
        <v>0</v>
      </c>
      <c r="D63" s="942">
        <v>0.25</v>
      </c>
      <c r="E63" s="217">
        <f>'数据-汇总表'!E14</f>
        <v>0</v>
      </c>
      <c r="F63" s="883" t="e">
        <f t="shared" si="15"/>
        <v>#DIV/0!</v>
      </c>
      <c r="G63" s="1983" t="s">
        <v>1892</v>
      </c>
      <c r="H63" s="884">
        <f>项目基本情况!B37</f>
        <v>0</v>
      </c>
      <c r="I63" s="888">
        <f>SUMIF(修正!A57:A68,H63,修正!G57:G68)</f>
        <v>0</v>
      </c>
      <c r="J63" s="892"/>
      <c r="K63" s="2719"/>
      <c r="L63" s="2773"/>
      <c r="M63" s="2773"/>
      <c r="N63" s="2773"/>
      <c r="O63" s="2773"/>
      <c r="P63" s="2773"/>
      <c r="Q63" s="2773"/>
      <c r="R63" s="2773"/>
      <c r="S63" s="2773"/>
      <c r="T63" s="2773"/>
      <c r="U63" s="2773"/>
      <c r="V63" s="2773"/>
      <c r="W63" s="2773"/>
      <c r="X63" s="2773"/>
      <c r="Y63" s="2773"/>
      <c r="Z63" s="2773"/>
      <c r="AA63" s="2773"/>
      <c r="AB63" s="2773"/>
      <c r="AC63" s="2773"/>
    </row>
    <row r="64" spans="1:29" s="637" customFormat="1" ht="15" thickBot="1">
      <c r="A64" s="638" t="s">
        <v>1902</v>
      </c>
      <c r="B64" s="218" t="e">
        <f t="shared" si="17"/>
        <v>#DIV/0!</v>
      </c>
      <c r="C64" s="171">
        <f t="shared" si="16"/>
        <v>0</v>
      </c>
      <c r="D64" s="942">
        <v>0.25</v>
      </c>
      <c r="E64" s="217">
        <f>'数据-汇总表'!E15</f>
        <v>0</v>
      </c>
      <c r="F64" s="883" t="e">
        <f t="shared" si="15"/>
        <v>#DIV/0!</v>
      </c>
      <c r="G64" s="1984" t="s">
        <v>1896</v>
      </c>
      <c r="H64" s="894">
        <f>项目基本情况!C37</f>
        <v>0</v>
      </c>
      <c r="I64" s="890">
        <f>SUMIF(修正!A57:A68,H64,修正!G57:G68)</f>
        <v>0</v>
      </c>
      <c r="J64" s="893"/>
      <c r="K64" s="2716"/>
      <c r="L64" s="2773"/>
      <c r="M64" s="2773"/>
      <c r="N64" s="2773"/>
      <c r="O64" s="2773"/>
      <c r="P64" s="2773"/>
      <c r="Q64" s="2773"/>
      <c r="R64" s="2773"/>
      <c r="S64" s="2773"/>
      <c r="T64" s="2773"/>
      <c r="U64" s="2773"/>
      <c r="V64" s="2773"/>
      <c r="W64" s="2773"/>
      <c r="X64" s="2773"/>
      <c r="Y64" s="2773"/>
      <c r="Z64" s="2773"/>
      <c r="AA64" s="2773"/>
      <c r="AB64" s="2773"/>
      <c r="AC64" s="2773"/>
    </row>
    <row r="65" spans="1:29" s="637" customFormat="1" ht="13.5" thickBot="1">
      <c r="A65" s="640" t="s">
        <v>1903</v>
      </c>
      <c r="B65" s="641" t="s">
        <v>22</v>
      </c>
      <c r="C65" s="641" t="s">
        <v>23</v>
      </c>
      <c r="D65" s="641" t="s">
        <v>392</v>
      </c>
      <c r="E65" s="641">
        <f>IF(B46="楼面地价",SUM(E56:E64),'数据-汇总表'!D3)</f>
        <v>0</v>
      </c>
      <c r="F65" s="642" t="e">
        <f>IF(B46="楼面地价",SUM(F56:F64),ROUND(C48*E65/10000,0))</f>
        <v>#DIV/0!</v>
      </c>
      <c r="G65" s="714"/>
      <c r="H65" s="714"/>
      <c r="I65" s="714"/>
      <c r="J65" s="714"/>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7"/>
      <c r="B66" s="689"/>
      <c r="C66" s="690"/>
      <c r="D66" s="687"/>
      <c r="E66" s="687"/>
      <c r="F66" s="687"/>
      <c r="G66" s="687"/>
      <c r="H66" s="687"/>
      <c r="I66" s="687"/>
      <c r="J66" s="924"/>
      <c r="K66" s="885"/>
      <c r="L66" s="886"/>
      <c r="M66" s="924"/>
      <c r="N66" s="924"/>
      <c r="O66" s="924"/>
      <c r="P66" s="2716"/>
      <c r="Q66" s="2716"/>
      <c r="R66" s="2716"/>
      <c r="S66" s="2716"/>
      <c r="T66" s="2716"/>
      <c r="U66" s="2716"/>
      <c r="V66" s="2716"/>
      <c r="W66" s="2716"/>
      <c r="X66" s="2716"/>
      <c r="Y66" s="2716"/>
      <c r="Z66" s="2716"/>
      <c r="AA66" s="2716"/>
      <c r="AB66" s="2716"/>
      <c r="AC66" s="2716"/>
    </row>
    <row r="67" spans="1:29">
      <c r="A67" s="687"/>
      <c r="B67" s="689"/>
      <c r="C67" s="689" t="str">
        <f>YEAR(C7)&amp;"-"&amp;MONTH(C7)&amp;"-1"</f>
        <v>2023-5-1</v>
      </c>
      <c r="D67" s="689">
        <f>EDATE(C67,-3)</f>
        <v>44958</v>
      </c>
      <c r="E67" s="689">
        <f>EDATE(D67,-3)</f>
        <v>44866</v>
      </c>
      <c r="F67" s="689">
        <f t="shared" ref="F67:O67" si="18">EDATE(E67,-3)</f>
        <v>44774</v>
      </c>
      <c r="G67" s="689">
        <f t="shared" si="18"/>
        <v>44682</v>
      </c>
      <c r="H67" s="689">
        <f t="shared" si="18"/>
        <v>44593</v>
      </c>
      <c r="I67" s="689">
        <f t="shared" si="18"/>
        <v>44501</v>
      </c>
      <c r="J67" s="689">
        <f t="shared" si="18"/>
        <v>44409</v>
      </c>
      <c r="K67" s="689">
        <f t="shared" si="18"/>
        <v>44317</v>
      </c>
      <c r="L67" s="689">
        <f t="shared" si="18"/>
        <v>44228</v>
      </c>
      <c r="M67" s="689">
        <f t="shared" si="18"/>
        <v>44136</v>
      </c>
      <c r="N67" s="689">
        <f t="shared" si="18"/>
        <v>44044</v>
      </c>
      <c r="O67" s="689">
        <f t="shared" si="18"/>
        <v>43952</v>
      </c>
      <c r="P67" s="2716"/>
      <c r="Q67" s="2716"/>
      <c r="R67" s="2716"/>
      <c r="S67" s="2716"/>
      <c r="T67" s="2716"/>
      <c r="U67" s="2716"/>
      <c r="V67" s="2716"/>
      <c r="W67" s="2716"/>
      <c r="X67" s="2716"/>
      <c r="Y67" s="2716"/>
      <c r="Z67" s="2716"/>
      <c r="AA67" s="2716"/>
      <c r="AB67" s="2716"/>
      <c r="AC67" s="2716"/>
    </row>
    <row r="68" spans="1:29" ht="21.75" thickBot="1">
      <c r="A68" s="691" t="s">
        <v>1798</v>
      </c>
      <c r="B68" s="687"/>
      <c r="C68" s="692"/>
      <c r="D68" s="692"/>
      <c r="E68" s="692"/>
      <c r="F68" s="693"/>
      <c r="G68" s="693"/>
      <c r="H68" s="692"/>
      <c r="I68" s="692"/>
      <c r="J68" s="937"/>
      <c r="K68" s="938"/>
      <c r="L68" s="939"/>
      <c r="M68" s="937"/>
      <c r="N68" s="2760"/>
      <c r="O68" s="2760"/>
      <c r="P68" s="2760"/>
      <c r="Q68" s="2730"/>
      <c r="R68" s="2716"/>
      <c r="S68" s="2716"/>
      <c r="T68" s="2716"/>
      <c r="U68" s="2716"/>
      <c r="V68" s="2716"/>
      <c r="W68" s="2716"/>
      <c r="X68" s="2716"/>
      <c r="Y68" s="2716"/>
      <c r="Z68" s="2716"/>
      <c r="AA68" s="2716"/>
      <c r="AB68" s="2716"/>
      <c r="AC68" s="2716"/>
    </row>
    <row r="69" spans="1:29" s="455"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67"/>
      <c r="Q69" s="2732"/>
      <c r="R69" s="2732"/>
      <c r="S69" s="2732"/>
      <c r="T69" s="2732"/>
      <c r="U69" s="2732"/>
      <c r="V69" s="2732"/>
      <c r="W69" s="2732"/>
      <c r="X69" s="2732"/>
      <c r="Y69" s="2732"/>
      <c r="Z69" s="2732"/>
      <c r="AA69" s="2732"/>
      <c r="AB69" s="2732"/>
      <c r="AC69" s="2732"/>
    </row>
    <row r="70" spans="1:29" s="108" customFormat="1" ht="30" customHeight="1">
      <c r="A70" s="1986" t="s">
        <v>1905</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0"/>
      <c r="Q70" s="2652"/>
      <c r="R70" s="2652"/>
      <c r="S70" s="2652"/>
      <c r="T70" s="2652"/>
      <c r="U70" s="2652"/>
      <c r="V70" s="2652"/>
      <c r="W70" s="2652"/>
      <c r="X70" s="2652"/>
      <c r="Y70" s="2652"/>
      <c r="Z70" s="2652"/>
      <c r="AA70" s="2652"/>
      <c r="AB70" s="2652"/>
      <c r="AC70" s="2652"/>
    </row>
    <row r="71" spans="1:29" s="108" customFormat="1" ht="15.75" thickBot="1">
      <c r="A71" s="462" t="s">
        <v>1716</v>
      </c>
      <c r="B71" s="463"/>
      <c r="C71" s="464"/>
      <c r="D71" s="465"/>
      <c r="E71" s="465"/>
      <c r="F71" s="465"/>
      <c r="G71" s="465"/>
      <c r="H71" s="465"/>
      <c r="I71" s="465"/>
      <c r="J71" s="465"/>
      <c r="K71" s="465"/>
      <c r="L71" s="465"/>
      <c r="M71" s="466"/>
      <c r="N71" s="465"/>
      <c r="O71" s="940"/>
      <c r="P71" s="2730"/>
      <c r="Q71" s="2730"/>
      <c r="R71" s="2652"/>
      <c r="S71" s="2652"/>
      <c r="T71" s="2652"/>
      <c r="U71" s="2652"/>
      <c r="V71" s="2652"/>
      <c r="W71" s="2652"/>
      <c r="X71" s="2652"/>
      <c r="Y71" s="2652"/>
      <c r="Z71" s="2652"/>
      <c r="AA71" s="2652"/>
      <c r="AB71" s="2652"/>
      <c r="AC71" s="2652"/>
    </row>
    <row r="72" spans="1:29" s="108" customFormat="1" ht="15">
      <c r="A72" s="468" t="s">
        <v>1681</v>
      </c>
      <c r="B72" s="457"/>
      <c r="C72" s="469" t="s">
        <v>1776</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4">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1719</v>
      </c>
      <c r="B74" s="475" t="s">
        <v>1685</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1688</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c r="D79" s="496"/>
      <c r="E79" s="496"/>
      <c r="F79" s="496"/>
      <c r="G79" s="496"/>
      <c r="H79" s="496"/>
      <c r="I79" s="496"/>
      <c r="J79" s="496"/>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1690</v>
      </c>
      <c r="B87" s="475" t="s">
        <v>1720</v>
      </c>
      <c r="C87" s="520" t="s">
        <v>1721</v>
      </c>
      <c r="D87" s="520" t="s">
        <v>1722</v>
      </c>
      <c r="E87" s="520" t="s">
        <v>1723</v>
      </c>
      <c r="F87" s="520" t="s">
        <v>1724</v>
      </c>
      <c r="G87" s="520" t="s">
        <v>1725</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1906</v>
      </c>
      <c r="C89" s="525" t="s">
        <v>1721</v>
      </c>
      <c r="D89" s="525" t="s">
        <v>1722</v>
      </c>
      <c r="E89" s="525" t="s">
        <v>1723</v>
      </c>
      <c r="F89" s="525" t="s">
        <v>1724</v>
      </c>
      <c r="G89" s="525" t="s">
        <v>1725</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1821</v>
      </c>
      <c r="C91" s="525" t="s">
        <v>1721</v>
      </c>
      <c r="D91" s="525" t="s">
        <v>1722</v>
      </c>
      <c r="E91" s="525" t="s">
        <v>1723</v>
      </c>
      <c r="F91" s="525" t="s">
        <v>1724</v>
      </c>
      <c r="G91" s="525" t="s">
        <v>1725</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1726</v>
      </c>
      <c r="C93" s="525" t="s">
        <v>1721</v>
      </c>
      <c r="D93" s="525" t="s">
        <v>1722</v>
      </c>
      <c r="E93" s="525" t="s">
        <v>1723</v>
      </c>
      <c r="F93" s="525" t="s">
        <v>1724</v>
      </c>
      <c r="G93" s="525" t="s">
        <v>1725</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1907</v>
      </c>
      <c r="C95" s="525" t="s">
        <v>1721</v>
      </c>
      <c r="D95" s="525" t="s">
        <v>1722</v>
      </c>
      <c r="E95" s="525" t="s">
        <v>1723</v>
      </c>
      <c r="F95" s="525" t="s">
        <v>1724</v>
      </c>
      <c r="G95" s="525" t="s">
        <v>1725</v>
      </c>
      <c r="H95" s="525"/>
      <c r="I95" s="525"/>
      <c r="J95" s="525"/>
      <c r="K95" s="525"/>
      <c r="L95" s="643"/>
      <c r="M95" s="567"/>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1908</v>
      </c>
      <c r="C97" s="520" t="s">
        <v>1721</v>
      </c>
      <c r="D97" s="520" t="s">
        <v>1722</v>
      </c>
      <c r="E97" s="520" t="s">
        <v>1723</v>
      </c>
      <c r="F97" s="520" t="s">
        <v>1724</v>
      </c>
      <c r="G97" s="520" t="s">
        <v>1725</v>
      </c>
      <c r="H97" s="525"/>
      <c r="I97" s="525"/>
      <c r="J97" s="525"/>
      <c r="K97" s="525"/>
      <c r="L97" s="525"/>
      <c r="M97" s="567"/>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1778</v>
      </c>
      <c r="C99" s="520" t="s">
        <v>1721</v>
      </c>
      <c r="D99" s="520" t="s">
        <v>1722</v>
      </c>
      <c r="E99" s="520" t="s">
        <v>1723</v>
      </c>
      <c r="F99" s="520" t="s">
        <v>1724</v>
      </c>
      <c r="G99" s="520" t="s">
        <v>1725</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1779</v>
      </c>
      <c r="C101" s="605" t="s">
        <v>1799</v>
      </c>
      <c r="D101" s="605" t="s">
        <v>1800</v>
      </c>
      <c r="E101" s="605" t="s">
        <v>1801</v>
      </c>
      <c r="F101" s="605" t="s">
        <v>1802</v>
      </c>
      <c r="G101" s="605" t="s">
        <v>1803</v>
      </c>
      <c r="H101" s="547"/>
      <c r="I101" s="547"/>
      <c r="J101" s="547"/>
      <c r="K101" s="547"/>
      <c r="L101" s="547"/>
      <c r="M101" s="1129"/>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1815</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1873</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0"/>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2"/>
      <c r="E114" s="622"/>
      <c r="F114" s="622"/>
      <c r="G114" s="622"/>
      <c r="H114" s="622"/>
      <c r="I114" s="622"/>
      <c r="J114" s="622"/>
      <c r="K114" s="622"/>
      <c r="L114" s="622"/>
      <c r="M114" s="644"/>
      <c r="N114" s="2745"/>
      <c r="O114" s="2745"/>
      <c r="P114" s="2770"/>
      <c r="Q114" s="2737"/>
      <c r="R114" s="2738"/>
      <c r="S114" s="2738"/>
      <c r="T114" s="2738"/>
      <c r="U114" s="2738"/>
      <c r="V114" s="2738"/>
      <c r="W114" s="2738"/>
      <c r="X114" s="2738"/>
      <c r="Y114" s="2738"/>
      <c r="Z114" s="2738"/>
      <c r="AA114" s="2738"/>
      <c r="AB114" s="2738"/>
      <c r="AC114" s="2738"/>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c r="D116" s="542"/>
      <c r="E116" s="542"/>
      <c r="F116" s="542"/>
      <c r="G116" s="542"/>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c r="D117" s="538"/>
      <c r="E117" s="538"/>
      <c r="F117" s="538"/>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1914</v>
      </c>
      <c r="C118" s="530"/>
      <c r="D118" s="530"/>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1915</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1916</v>
      </c>
      <c r="C122" s="501"/>
      <c r="D122" s="501"/>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1917</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5"/>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G65" sqref="G6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6" t="e">
        <f>F61</f>
        <v>#DIV/0!</v>
      </c>
      <c r="C2" s="905"/>
      <c r="D2" s="905"/>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2" customFormat="1" ht="28.5" customHeight="1" thickBot="1">
      <c r="A3" s="203" t="s">
        <v>1464</v>
      </c>
      <c r="B3" s="556" t="e">
        <f>ROUND(IF(D3="",B2*10000/'数据-汇总表'!E3,B2*10000/D3),0)</f>
        <v>#DIV/0!</v>
      </c>
      <c r="C3" s="203" t="s">
        <v>1869</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5" t="s">
        <v>1769</v>
      </c>
      <c r="B4" s="356"/>
      <c r="C4" s="3701" t="s">
        <v>1770</v>
      </c>
      <c r="D4" s="3702"/>
      <c r="E4" s="3703" t="s">
        <v>1771</v>
      </c>
      <c r="F4" s="3704"/>
      <c r="G4" s="3701" t="s">
        <v>1772</v>
      </c>
      <c r="H4" s="3702"/>
      <c r="I4" s="3701" t="s">
        <v>1773</v>
      </c>
      <c r="J4" s="3702"/>
      <c r="K4" s="557" t="s">
        <v>1774</v>
      </c>
      <c r="L4" s="2706"/>
      <c r="M4" s="2707"/>
      <c r="N4" s="2707"/>
      <c r="O4" s="2707"/>
      <c r="P4" s="3705" t="s">
        <v>1775</v>
      </c>
      <c r="Q4" s="3706"/>
      <c r="R4" s="3711" t="s">
        <v>1771</v>
      </c>
      <c r="S4" s="3712"/>
      <c r="T4" s="3711" t="s">
        <v>1772</v>
      </c>
      <c r="U4" s="3712"/>
      <c r="V4" s="3717" t="s">
        <v>1773</v>
      </c>
      <c r="W4" s="3717"/>
      <c r="X4" s="1352"/>
      <c r="Y4" s="3711" t="s">
        <v>1775</v>
      </c>
      <c r="Z4" s="3712"/>
      <c r="AA4" s="3698" t="s">
        <v>1771</v>
      </c>
      <c r="AB4" s="3699" t="s">
        <v>1772</v>
      </c>
      <c r="AC4" s="3698" t="s">
        <v>1773</v>
      </c>
    </row>
    <row r="5" spans="1:29" ht="15">
      <c r="A5" s="358"/>
      <c r="B5" s="359"/>
      <c r="C5" s="3720" t="s">
        <v>1673</v>
      </c>
      <c r="D5" s="3721"/>
      <c r="E5" s="3727" t="s">
        <v>1674</v>
      </c>
      <c r="F5" s="3728"/>
      <c r="G5" s="3720" t="s">
        <v>1675</v>
      </c>
      <c r="H5" s="3721"/>
      <c r="I5" s="3720" t="s">
        <v>1676</v>
      </c>
      <c r="J5" s="3721"/>
      <c r="K5" s="557"/>
      <c r="L5" s="2706"/>
      <c r="M5" s="2707"/>
      <c r="N5" s="2707"/>
      <c r="O5" s="2707"/>
      <c r="P5" s="3707"/>
      <c r="Q5" s="3708"/>
      <c r="R5" s="3713"/>
      <c r="S5" s="3714"/>
      <c r="T5" s="3713"/>
      <c r="U5" s="3714"/>
      <c r="V5" s="3717"/>
      <c r="W5" s="3717"/>
      <c r="X5" s="1352"/>
      <c r="Y5" s="3713"/>
      <c r="Z5" s="3714"/>
      <c r="AA5" s="3699"/>
      <c r="AB5" s="3699"/>
      <c r="AC5" s="3699"/>
    </row>
    <row r="6" spans="1:29" ht="15.75" thickBot="1">
      <c r="A6" s="360"/>
      <c r="B6" s="361"/>
      <c r="C6" s="3750" t="s">
        <v>1919</v>
      </c>
      <c r="D6" s="3751"/>
      <c r="E6" s="3752" t="s">
        <v>1919</v>
      </c>
      <c r="F6" s="3753"/>
      <c r="G6" s="3750" t="s">
        <v>1919</v>
      </c>
      <c r="H6" s="3751"/>
      <c r="I6" s="3750" t="s">
        <v>1919</v>
      </c>
      <c r="J6" s="3751"/>
      <c r="K6" s="557" t="s">
        <v>1678</v>
      </c>
      <c r="L6" s="2706"/>
      <c r="M6" s="2707"/>
      <c r="N6" s="2707"/>
      <c r="O6" s="2707"/>
      <c r="P6" s="3709"/>
      <c r="Q6" s="3710"/>
      <c r="R6" s="3713"/>
      <c r="S6" s="3714"/>
      <c r="T6" s="3715"/>
      <c r="U6" s="3716"/>
      <c r="V6" s="3717"/>
      <c r="W6" s="3717"/>
      <c r="X6" s="1352"/>
      <c r="Y6" s="3715"/>
      <c r="Z6" s="3716"/>
      <c r="AA6" s="3700"/>
      <c r="AB6" s="3700"/>
      <c r="AC6" s="3700"/>
    </row>
    <row r="7" spans="1:29" s="108" customFormat="1" ht="15.75" thickBot="1">
      <c r="A7" s="362" t="s">
        <v>1679</v>
      </c>
      <c r="B7" s="363"/>
      <c r="C7" s="364">
        <f>'数据-取费表'!B2</f>
        <v>45076</v>
      </c>
      <c r="D7" s="365">
        <v>100</v>
      </c>
      <c r="E7" s="366"/>
      <c r="F7" s="367">
        <f>SUMIF(65:65,YEAR(E7)&amp;"-"&amp;INT((MONTH(E7)+2)/3),66:66)</f>
        <v>0</v>
      </c>
      <c r="G7" s="1970"/>
      <c r="H7" s="365">
        <f>SUMIF(65:65,YEAR(G7)&amp;"-"&amp;INT((MONTH(G7)+2)/3),66:66)</f>
        <v>0</v>
      </c>
      <c r="I7" s="1970"/>
      <c r="J7" s="365">
        <f>SUMIF(65:65,YEAR(I7)&amp;"-"&amp;INT((MONTH(I7)+2)/3),66:66)</f>
        <v>0</v>
      </c>
      <c r="K7" s="558"/>
      <c r="L7" s="2708"/>
      <c r="M7" s="2709"/>
      <c r="N7" s="2709"/>
      <c r="O7" s="2709"/>
      <c r="P7" s="3722" t="s">
        <v>1680</v>
      </c>
      <c r="Q7" s="3724"/>
      <c r="R7" s="698" t="s">
        <v>14</v>
      </c>
      <c r="S7" s="699">
        <f t="shared" ref="S7:S15" si="0">F7</f>
        <v>0</v>
      </c>
      <c r="T7" s="698" t="s">
        <v>14</v>
      </c>
      <c r="U7" s="699">
        <f t="shared" ref="U7:U15" si="1">H7</f>
        <v>0</v>
      </c>
      <c r="V7" s="698" t="s">
        <v>14</v>
      </c>
      <c r="W7" s="699">
        <f t="shared" ref="W7:W15" si="2">J7</f>
        <v>0</v>
      </c>
      <c r="X7" s="700"/>
      <c r="Y7" s="3722" t="s">
        <v>1680</v>
      </c>
      <c r="Z7" s="3723"/>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8"/>
      <c r="L8" s="2708"/>
      <c r="M8" s="2709"/>
      <c r="N8" s="2709"/>
      <c r="O8" s="2709"/>
      <c r="P8" s="3722" t="s">
        <v>1683</v>
      </c>
      <c r="Q8" s="3723"/>
      <c r="R8" s="698" t="s">
        <v>14</v>
      </c>
      <c r="S8" s="699">
        <f t="shared" si="0"/>
        <v>0</v>
      </c>
      <c r="T8" s="698" t="s">
        <v>14</v>
      </c>
      <c r="U8" s="699">
        <f t="shared" si="1"/>
        <v>0</v>
      </c>
      <c r="V8" s="698" t="s">
        <v>14</v>
      </c>
      <c r="W8" s="699">
        <f t="shared" si="2"/>
        <v>0</v>
      </c>
      <c r="X8" s="700"/>
      <c r="Y8" s="3722" t="s">
        <v>1683</v>
      </c>
      <c r="Z8" s="3723"/>
      <c r="AA8" s="701" t="e">
        <f t="shared" ref="AA8:AA40" si="3">D8/F8</f>
        <v>#DIV/0!</v>
      </c>
      <c r="AB8" s="701" t="e">
        <f t="shared" ref="AB8:AB40" si="4">D8/H8</f>
        <v>#DIV/0!</v>
      </c>
      <c r="AC8" s="701"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58"/>
      <c r="L9" s="2708"/>
      <c r="M9" s="2709"/>
      <c r="N9" s="2709"/>
      <c r="O9" s="2763"/>
      <c r="P9" s="3686" t="s">
        <v>1686</v>
      </c>
      <c r="Q9" s="1340" t="str">
        <f t="shared" ref="Q9:Q15" si="6">B9</f>
        <v>用途</v>
      </c>
      <c r="R9" s="698" t="s">
        <v>14</v>
      </c>
      <c r="S9" s="699">
        <f t="shared" si="0"/>
        <v>100</v>
      </c>
      <c r="T9" s="698" t="s">
        <v>14</v>
      </c>
      <c r="U9" s="699">
        <f t="shared" si="1"/>
        <v>100</v>
      </c>
      <c r="V9" s="698" t="s">
        <v>14</v>
      </c>
      <c r="W9" s="699">
        <f t="shared" si="2"/>
        <v>100</v>
      </c>
      <c r="X9" s="700"/>
      <c r="Y9" s="3561"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7"/>
      <c r="L10" s="2710"/>
      <c r="M10" s="2711"/>
      <c r="N10" s="2711"/>
      <c r="O10" s="2764"/>
      <c r="P10" s="3686"/>
      <c r="Q10" s="1340" t="str">
        <f t="shared" si="6"/>
        <v>土地使用年限（年）</v>
      </c>
      <c r="R10" s="698" t="s">
        <v>14</v>
      </c>
      <c r="S10" s="699" t="e">
        <f t="shared" si="0"/>
        <v>#DIV/0!</v>
      </c>
      <c r="T10" s="698" t="s">
        <v>14</v>
      </c>
      <c r="U10" s="699" t="e">
        <f t="shared" si="1"/>
        <v>#DIV/0!</v>
      </c>
      <c r="V10" s="698" t="s">
        <v>14</v>
      </c>
      <c r="W10" s="699" t="e">
        <f t="shared" si="2"/>
        <v>#DIV/0!</v>
      </c>
      <c r="X10" s="700"/>
      <c r="Y10" s="3561"/>
      <c r="Z10" s="52" t="str">
        <f t="shared" si="7"/>
        <v>土地使用年限（年）</v>
      </c>
      <c r="AA10" s="701" t="e">
        <f t="shared" si="3"/>
        <v>#DIV/0!</v>
      </c>
      <c r="AB10" s="701" t="e">
        <f t="shared" si="4"/>
        <v>#DIV/0!</v>
      </c>
      <c r="AC10" s="701"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18"/>
      <c r="L11" s="2712"/>
      <c r="M11" s="2707"/>
      <c r="N11" s="2707"/>
      <c r="O11" s="2765"/>
      <c r="P11" s="3686"/>
      <c r="Q11" s="1340" t="str">
        <f t="shared" si="6"/>
        <v>容积率</v>
      </c>
      <c r="R11" s="698" t="s">
        <v>14</v>
      </c>
      <c r="S11" s="699" t="e">
        <f t="shared" si="0"/>
        <v>#N/A</v>
      </c>
      <c r="T11" s="698" t="s">
        <v>14</v>
      </c>
      <c r="U11" s="699" t="e">
        <f t="shared" si="1"/>
        <v>#N/A</v>
      </c>
      <c r="V11" s="698" t="s">
        <v>14</v>
      </c>
      <c r="W11" s="699" t="e">
        <f t="shared" si="2"/>
        <v>#N/A</v>
      </c>
      <c r="X11" s="700"/>
      <c r="Y11" s="3561"/>
      <c r="Z11" s="52" t="str">
        <f t="shared" si="7"/>
        <v>容积率</v>
      </c>
      <c r="AA11" s="701" t="e">
        <f t="shared" si="3"/>
        <v>#N/A</v>
      </c>
      <c r="AB11" s="701" t="e">
        <f t="shared" si="4"/>
        <v>#N/A</v>
      </c>
      <c r="AC11" s="701" t="e">
        <f t="shared" si="5"/>
        <v>#N/A</v>
      </c>
    </row>
    <row r="12" spans="1:29" s="108" customFormat="1" ht="15">
      <c r="A12" s="382"/>
      <c r="B12" s="1890">
        <v>111</v>
      </c>
      <c r="C12" s="383"/>
      <c r="D12" s="384">
        <v>100</v>
      </c>
      <c r="E12" s="496"/>
      <c r="F12" s="127">
        <f>SUMIF(77:77,E12,78:78)-SUMIF(77:77,C12,78:78)+100</f>
        <v>100</v>
      </c>
      <c r="G12" s="619"/>
      <c r="H12" s="127">
        <f>SUMIF(77:77,G12,78:78)-SUMIF(77:77,C12,78:78)+100</f>
        <v>100</v>
      </c>
      <c r="I12" s="496"/>
      <c r="J12" s="127">
        <f>SUMIF(77:77,I12,78:78)-SUMIF(77:77,C12,78:78)+100</f>
        <v>100</v>
      </c>
      <c r="K12" s="617"/>
      <c r="L12" s="2708"/>
      <c r="M12" s="2709"/>
      <c r="N12" s="2709"/>
      <c r="O12" s="2763"/>
      <c r="P12" s="3686"/>
      <c r="Q12" s="1340">
        <f t="shared" si="6"/>
        <v>111</v>
      </c>
      <c r="R12" s="698" t="s">
        <v>14</v>
      </c>
      <c r="S12" s="699">
        <f t="shared" si="0"/>
        <v>100</v>
      </c>
      <c r="T12" s="698" t="s">
        <v>14</v>
      </c>
      <c r="U12" s="699">
        <f t="shared" si="1"/>
        <v>100</v>
      </c>
      <c r="V12" s="698" t="s">
        <v>14</v>
      </c>
      <c r="W12" s="699">
        <f t="shared" si="2"/>
        <v>100</v>
      </c>
      <c r="X12" s="700"/>
      <c r="Y12" s="3561"/>
      <c r="Z12" s="52">
        <f t="shared" si="7"/>
        <v>111</v>
      </c>
      <c r="AA12" s="701">
        <f>D12/F12</f>
        <v>1</v>
      </c>
      <c r="AB12" s="701">
        <f>D12/H12</f>
        <v>1</v>
      </c>
      <c r="AC12" s="701">
        <f>D12/J12</f>
        <v>1</v>
      </c>
    </row>
    <row r="13" spans="1:29" ht="15">
      <c r="A13" s="379"/>
      <c r="B13" s="1890">
        <v>111</v>
      </c>
      <c r="C13" s="385"/>
      <c r="D13" s="386">
        <v>100</v>
      </c>
      <c r="E13" s="496"/>
      <c r="F13" s="127">
        <f>SUMIF(79:79,E13,80:80)-SUMIF(79:79,C13,80:80)+100</f>
        <v>100</v>
      </c>
      <c r="G13" s="619"/>
      <c r="H13" s="386">
        <f>SUMIF(79:79,G13,80:80)-SUMIF(79:79,C13,80:80)+100</f>
        <v>100</v>
      </c>
      <c r="I13" s="496"/>
      <c r="J13" s="386">
        <f>SUMIF(79:79,I13,80:80)-SUMIF(79:79,C13,80:80)+100</f>
        <v>100</v>
      </c>
      <c r="K13" s="617"/>
      <c r="L13" s="2713"/>
      <c r="M13" s="2707"/>
      <c r="N13" s="2707"/>
      <c r="O13" s="2765"/>
      <c r="P13" s="3686"/>
      <c r="Q13" s="1340">
        <f t="shared" si="6"/>
        <v>111</v>
      </c>
      <c r="R13" s="698" t="s">
        <v>14</v>
      </c>
      <c r="S13" s="699">
        <f t="shared" si="0"/>
        <v>100</v>
      </c>
      <c r="T13" s="698" t="s">
        <v>14</v>
      </c>
      <c r="U13" s="699">
        <f t="shared" si="1"/>
        <v>100</v>
      </c>
      <c r="V13" s="698" t="s">
        <v>14</v>
      </c>
      <c r="W13" s="699">
        <f t="shared" si="2"/>
        <v>100</v>
      </c>
      <c r="X13" s="700"/>
      <c r="Y13" s="3561"/>
      <c r="Z13" s="52">
        <f t="shared" si="7"/>
        <v>111</v>
      </c>
      <c r="AA13" s="701">
        <f t="shared" si="3"/>
        <v>1</v>
      </c>
      <c r="AB13" s="701">
        <f t="shared" si="4"/>
        <v>1</v>
      </c>
      <c r="AC13" s="701">
        <f t="shared" si="5"/>
        <v>1</v>
      </c>
    </row>
    <row r="14" spans="1:29" ht="15.75" thickBot="1">
      <c r="A14" s="387"/>
      <c r="B14" s="1892">
        <v>111</v>
      </c>
      <c r="C14" s="388"/>
      <c r="D14" s="389">
        <v>100</v>
      </c>
      <c r="E14" s="496"/>
      <c r="F14" s="389">
        <f>SUMIF(81:81,E14,82:82)-SUMIF(81:81,C14,82:82)+100</f>
        <v>100</v>
      </c>
      <c r="G14" s="619"/>
      <c r="H14" s="389">
        <f>SUMIF(81:81,G14,82:82)-SUMIF(81:81,C14,82:82)+100</f>
        <v>100</v>
      </c>
      <c r="I14" s="496"/>
      <c r="J14" s="389">
        <f>SUMIF(81:81,I14,82:82)-SUMIF(81:81,C14,82:82)+100</f>
        <v>100</v>
      </c>
      <c r="K14" s="617"/>
      <c r="L14" s="2713"/>
      <c r="M14" s="2707"/>
      <c r="N14" s="2707"/>
      <c r="O14" s="2765"/>
      <c r="P14" s="3686"/>
      <c r="Q14" s="1340">
        <f t="shared" si="6"/>
        <v>111</v>
      </c>
      <c r="R14" s="698" t="s">
        <v>14</v>
      </c>
      <c r="S14" s="699">
        <f t="shared" si="0"/>
        <v>100</v>
      </c>
      <c r="T14" s="698" t="s">
        <v>14</v>
      </c>
      <c r="U14" s="699">
        <f t="shared" si="1"/>
        <v>100</v>
      </c>
      <c r="V14" s="698" t="s">
        <v>14</v>
      </c>
      <c r="W14" s="699">
        <f t="shared" si="2"/>
        <v>100</v>
      </c>
      <c r="X14" s="700"/>
      <c r="Y14" s="3561"/>
      <c r="Z14" s="52">
        <f t="shared" si="7"/>
        <v>111</v>
      </c>
      <c r="AA14" s="701">
        <f t="shared" si="3"/>
        <v>1</v>
      </c>
      <c r="AB14" s="701">
        <f t="shared" si="4"/>
        <v>1</v>
      </c>
      <c r="AC14" s="701">
        <f t="shared" si="5"/>
        <v>1</v>
      </c>
    </row>
    <row r="15" spans="1:29" ht="15">
      <c r="A15" s="391" t="s">
        <v>1690</v>
      </c>
      <c r="B15" s="574" t="s">
        <v>1920</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713"/>
      <c r="M15" s="2707"/>
      <c r="N15" s="2707"/>
      <c r="O15" s="2765"/>
      <c r="P15" s="3688" t="s">
        <v>1691</v>
      </c>
      <c r="Q15" s="1349" t="str">
        <f t="shared" si="6"/>
        <v>产业集聚程度</v>
      </c>
      <c r="R15" s="702" t="s">
        <v>14</v>
      </c>
      <c r="S15" s="703">
        <f t="shared" si="0"/>
        <v>100</v>
      </c>
      <c r="T15" s="702" t="s">
        <v>14</v>
      </c>
      <c r="U15" s="703">
        <f t="shared" si="1"/>
        <v>100</v>
      </c>
      <c r="V15" s="702" t="s">
        <v>14</v>
      </c>
      <c r="W15" s="703">
        <f t="shared" si="2"/>
        <v>100</v>
      </c>
      <c r="X15" s="1352"/>
      <c r="Y15" s="3688" t="s">
        <v>1691</v>
      </c>
      <c r="Z15" s="1353" t="str">
        <f t="shared" si="7"/>
        <v>产业集聚程度</v>
      </c>
      <c r="AA15" s="1350">
        <f t="shared" si="3"/>
        <v>1</v>
      </c>
      <c r="AB15" s="1350">
        <f t="shared" si="4"/>
        <v>1</v>
      </c>
      <c r="AC15" s="1350">
        <f t="shared" si="5"/>
        <v>1</v>
      </c>
    </row>
    <row r="16" spans="1:29" ht="15">
      <c r="A16" s="379"/>
      <c r="B16" s="575"/>
      <c r="C16" s="398"/>
      <c r="D16" s="399"/>
      <c r="E16" s="1901"/>
      <c r="F16" s="399"/>
      <c r="G16" s="1901"/>
      <c r="H16" s="401"/>
      <c r="I16" s="1901"/>
      <c r="J16" s="399"/>
      <c r="K16" s="617"/>
      <c r="L16" s="2713"/>
      <c r="M16" s="2707"/>
      <c r="N16" s="2707"/>
      <c r="O16" s="2765"/>
      <c r="P16" s="3689"/>
      <c r="Q16" s="1349"/>
      <c r="R16" s="702"/>
      <c r="S16" s="703"/>
      <c r="T16" s="702"/>
      <c r="U16" s="703"/>
      <c r="V16" s="702"/>
      <c r="W16" s="703"/>
      <c r="X16" s="1352"/>
      <c r="Y16" s="3689"/>
      <c r="Z16" s="1353"/>
      <c r="AA16" s="1350">
        <v>1</v>
      </c>
      <c r="AB16" s="1350">
        <v>1</v>
      </c>
      <c r="AC16" s="1350">
        <v>1</v>
      </c>
    </row>
    <row r="17" spans="1:29" ht="15">
      <c r="A17" s="379"/>
      <c r="B17" s="576" t="s">
        <v>1833</v>
      </c>
      <c r="C17" s="1897"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713"/>
      <c r="M17" s="2707"/>
      <c r="N17" s="2707"/>
      <c r="O17" s="2765"/>
      <c r="P17" s="3689"/>
      <c r="Q17" s="1349" t="str">
        <f>B17</f>
        <v>交通便捷度</v>
      </c>
      <c r="R17" s="702" t="s">
        <v>14</v>
      </c>
      <c r="S17" s="703">
        <f>F17</f>
        <v>100</v>
      </c>
      <c r="T17" s="702" t="s">
        <v>14</v>
      </c>
      <c r="U17" s="703">
        <f>H17</f>
        <v>100</v>
      </c>
      <c r="V17" s="702" t="s">
        <v>14</v>
      </c>
      <c r="W17" s="703">
        <f>J17</f>
        <v>100</v>
      </c>
      <c r="X17" s="1352"/>
      <c r="Y17" s="3689"/>
      <c r="Z17" s="1353" t="str">
        <f>Q17</f>
        <v>交通便捷度</v>
      </c>
      <c r="AA17" s="1350">
        <f t="shared" si="3"/>
        <v>1</v>
      </c>
      <c r="AB17" s="1350">
        <f t="shared" si="4"/>
        <v>1</v>
      </c>
      <c r="AC17" s="1350">
        <f t="shared" si="5"/>
        <v>1</v>
      </c>
    </row>
    <row r="18" spans="1:29" ht="15">
      <c r="A18" s="379"/>
      <c r="B18" s="577"/>
      <c r="C18" s="398"/>
      <c r="D18" s="399"/>
      <c r="E18" s="1895"/>
      <c r="F18" s="399"/>
      <c r="G18" s="1895"/>
      <c r="H18" s="399"/>
      <c r="I18" s="1894"/>
      <c r="J18" s="399"/>
      <c r="K18" s="617"/>
      <c r="L18" s="2713"/>
      <c r="M18" s="2707"/>
      <c r="N18" s="2707"/>
      <c r="O18" s="2765"/>
      <c r="P18" s="3689"/>
      <c r="Q18" s="1349"/>
      <c r="R18" s="702"/>
      <c r="S18" s="703"/>
      <c r="T18" s="702"/>
      <c r="U18" s="703"/>
      <c r="V18" s="702"/>
      <c r="W18" s="703"/>
      <c r="X18" s="1352"/>
      <c r="Y18" s="3689"/>
      <c r="Z18" s="1353"/>
      <c r="AA18" s="1350">
        <v>1</v>
      </c>
      <c r="AB18" s="1350">
        <v>1</v>
      </c>
      <c r="AC18" s="1350">
        <v>1</v>
      </c>
    </row>
    <row r="19" spans="1:29" ht="15">
      <c r="A19" s="379"/>
      <c r="B19" s="576" t="s">
        <v>1871</v>
      </c>
      <c r="C19" s="1897"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713"/>
      <c r="M19" s="2707"/>
      <c r="N19" s="2707"/>
      <c r="O19" s="2765"/>
      <c r="P19" s="3689"/>
      <c r="Q19" s="1349" t="str">
        <f t="shared" ref="Q19:Q33" si="8">B19</f>
        <v>区域土地利用方向</v>
      </c>
      <c r="R19" s="702" t="s">
        <v>14</v>
      </c>
      <c r="S19" s="703">
        <f>F19</f>
        <v>100</v>
      </c>
      <c r="T19" s="702" t="s">
        <v>14</v>
      </c>
      <c r="U19" s="703">
        <f>H19</f>
        <v>100</v>
      </c>
      <c r="V19" s="702" t="s">
        <v>14</v>
      </c>
      <c r="W19" s="703">
        <f>J19</f>
        <v>100</v>
      </c>
      <c r="X19" s="1352"/>
      <c r="Y19" s="3689"/>
      <c r="Z19" s="1353" t="str">
        <f>Q19</f>
        <v>区域土地利用方向</v>
      </c>
      <c r="AA19" s="1350">
        <f t="shared" si="3"/>
        <v>1</v>
      </c>
      <c r="AB19" s="1350">
        <f t="shared" si="4"/>
        <v>1</v>
      </c>
      <c r="AC19" s="1350">
        <f t="shared" si="5"/>
        <v>1</v>
      </c>
    </row>
    <row r="20" spans="1:29" ht="15">
      <c r="A20" s="358"/>
      <c r="B20" s="577"/>
      <c r="C20" s="398"/>
      <c r="D20" s="399"/>
      <c r="E20" s="1895"/>
      <c r="F20" s="399"/>
      <c r="G20" s="1895"/>
      <c r="H20" s="399"/>
      <c r="I20" s="1895"/>
      <c r="J20" s="399"/>
      <c r="K20" s="737"/>
      <c r="L20" s="2713"/>
      <c r="M20" s="2707"/>
      <c r="N20" s="2707"/>
      <c r="O20" s="2765"/>
      <c r="P20" s="3689"/>
      <c r="Q20" s="1349"/>
      <c r="R20" s="702"/>
      <c r="S20" s="703"/>
      <c r="T20" s="702"/>
      <c r="U20" s="703"/>
      <c r="V20" s="702"/>
      <c r="W20" s="703"/>
      <c r="X20" s="1352"/>
      <c r="Y20" s="3689"/>
      <c r="Z20" s="1353"/>
      <c r="AA20" s="1350"/>
      <c r="AB20" s="1350"/>
      <c r="AC20" s="1350"/>
    </row>
    <row r="21" spans="1:29" ht="15">
      <c r="A21" s="358"/>
      <c r="B21" s="576" t="s">
        <v>1921</v>
      </c>
      <c r="C21" s="1897"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713"/>
      <c r="M21" s="2707"/>
      <c r="N21" s="2707"/>
      <c r="O21" s="2765"/>
      <c r="P21" s="3689"/>
      <c r="Q21" s="1349" t="str">
        <f t="shared" si="8"/>
        <v>环境状况</v>
      </c>
      <c r="R21" s="702" t="s">
        <v>14</v>
      </c>
      <c r="S21" s="703">
        <f>F21</f>
        <v>100</v>
      </c>
      <c r="T21" s="702" t="s">
        <v>14</v>
      </c>
      <c r="U21" s="703">
        <f>H21</f>
        <v>100</v>
      </c>
      <c r="V21" s="702" t="s">
        <v>14</v>
      </c>
      <c r="W21" s="703">
        <f>J21</f>
        <v>100</v>
      </c>
      <c r="X21" s="1352"/>
      <c r="Y21" s="3689"/>
      <c r="Z21" s="1353" t="str">
        <f>Q21</f>
        <v>环境状况</v>
      </c>
      <c r="AA21" s="1350">
        <f t="shared" si="3"/>
        <v>1</v>
      </c>
      <c r="AB21" s="1350">
        <f t="shared" si="4"/>
        <v>1</v>
      </c>
      <c r="AC21" s="1350">
        <f t="shared" si="5"/>
        <v>1</v>
      </c>
    </row>
    <row r="22" spans="1:29" ht="15">
      <c r="A22" s="358"/>
      <c r="B22" s="577"/>
      <c r="C22" s="398"/>
      <c r="D22" s="399"/>
      <c r="E22" s="1901"/>
      <c r="F22" s="399"/>
      <c r="G22" s="1901"/>
      <c r="H22" s="399"/>
      <c r="I22" s="398"/>
      <c r="J22" s="399"/>
      <c r="K22" s="617"/>
      <c r="L22" s="2713"/>
      <c r="M22" s="2707"/>
      <c r="N22" s="2707"/>
      <c r="O22" s="2765"/>
      <c r="P22" s="3689"/>
      <c r="Q22" s="1349"/>
      <c r="R22" s="702"/>
      <c r="S22" s="703"/>
      <c r="T22" s="702"/>
      <c r="U22" s="703"/>
      <c r="V22" s="702"/>
      <c r="W22" s="703"/>
      <c r="X22" s="1352"/>
      <c r="Y22" s="3689"/>
      <c r="Z22" s="1353"/>
      <c r="AA22" s="1350">
        <v>1</v>
      </c>
      <c r="AB22" s="1350">
        <v>1</v>
      </c>
      <c r="AC22" s="1350">
        <v>1</v>
      </c>
    </row>
    <row r="23" spans="1:29" s="108" customFormat="1" ht="15">
      <c r="A23" s="594"/>
      <c r="B23" s="578" t="s">
        <v>1778</v>
      </c>
      <c r="C23" s="1897"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708"/>
      <c r="M23" s="2709"/>
      <c r="N23" s="2709"/>
      <c r="O23" s="2763"/>
      <c r="P23" s="3689"/>
      <c r="Q23" s="1340" t="str">
        <f t="shared" si="8"/>
        <v>公共配套设施</v>
      </c>
      <c r="R23" s="698" t="s">
        <v>14</v>
      </c>
      <c r="S23" s="699">
        <f>F23</f>
        <v>100</v>
      </c>
      <c r="T23" s="698" t="s">
        <v>14</v>
      </c>
      <c r="U23" s="699">
        <f>H23</f>
        <v>100</v>
      </c>
      <c r="V23" s="698" t="s">
        <v>14</v>
      </c>
      <c r="W23" s="699">
        <f>J23</f>
        <v>100</v>
      </c>
      <c r="X23" s="700"/>
      <c r="Y23" s="3689"/>
      <c r="Z23" s="52" t="str">
        <f>Q23</f>
        <v>公共配套设施</v>
      </c>
      <c r="AA23" s="1350">
        <f>D23/F23</f>
        <v>1</v>
      </c>
      <c r="AB23" s="1350">
        <f>D23/H23</f>
        <v>1</v>
      </c>
      <c r="AC23" s="1350">
        <f>D23/J23</f>
        <v>1</v>
      </c>
    </row>
    <row r="24" spans="1:29" s="108" customFormat="1" ht="15">
      <c r="A24" s="594"/>
      <c r="B24" s="577"/>
      <c r="C24" s="1974"/>
      <c r="D24" s="399"/>
      <c r="E24" s="1901"/>
      <c r="F24" s="399"/>
      <c r="G24" s="1901"/>
      <c r="H24" s="399"/>
      <c r="I24" s="398"/>
      <c r="J24" s="399"/>
      <c r="K24" s="617"/>
      <c r="L24" s="2708"/>
      <c r="M24" s="2709"/>
      <c r="N24" s="2709"/>
      <c r="O24" s="2763"/>
      <c r="P24" s="3689"/>
      <c r="Q24" s="1340"/>
      <c r="R24" s="698"/>
      <c r="S24" s="699"/>
      <c r="T24" s="698"/>
      <c r="U24" s="699"/>
      <c r="V24" s="698"/>
      <c r="W24" s="699"/>
      <c r="X24" s="700"/>
      <c r="Y24" s="3689"/>
      <c r="Z24" s="52"/>
      <c r="AA24" s="701">
        <v>1</v>
      </c>
      <c r="AB24" s="701">
        <v>1</v>
      </c>
      <c r="AC24" s="701">
        <v>1</v>
      </c>
    </row>
    <row r="25" spans="1:29" s="108" customFormat="1" ht="15">
      <c r="A25" s="594"/>
      <c r="B25" s="578" t="s">
        <v>1779</v>
      </c>
      <c r="C25" s="1897"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708"/>
      <c r="M25" s="2709"/>
      <c r="N25" s="2709"/>
      <c r="O25" s="2763"/>
      <c r="P25" s="3689"/>
      <c r="Q25" s="1340" t="str">
        <f t="shared" ref="Q25" si="9">B25</f>
        <v>基础设施水平</v>
      </c>
      <c r="R25" s="698" t="s">
        <v>14</v>
      </c>
      <c r="S25" s="699">
        <f>F25</f>
        <v>100</v>
      </c>
      <c r="T25" s="698" t="s">
        <v>14</v>
      </c>
      <c r="U25" s="699">
        <f>H25</f>
        <v>100</v>
      </c>
      <c r="V25" s="698" t="s">
        <v>14</v>
      </c>
      <c r="W25" s="699">
        <f>J25</f>
        <v>100</v>
      </c>
      <c r="X25" s="700"/>
      <c r="Y25" s="3689"/>
      <c r="Z25" s="52" t="str">
        <f>Q25</f>
        <v>基础设施水平</v>
      </c>
      <c r="AA25" s="1350">
        <f>D25/F25</f>
        <v>1</v>
      </c>
      <c r="AB25" s="1350">
        <f>D25/H25</f>
        <v>1</v>
      </c>
      <c r="AC25" s="1350">
        <f>D25/J25</f>
        <v>1</v>
      </c>
    </row>
    <row r="26" spans="1:29" s="108" customFormat="1" ht="15">
      <c r="A26" s="594"/>
      <c r="B26" s="577"/>
      <c r="C26" s="1974"/>
      <c r="D26" s="399"/>
      <c r="E26" s="1975"/>
      <c r="F26" s="399"/>
      <c r="G26" s="1975"/>
      <c r="H26" s="399"/>
      <c r="I26" s="1975"/>
      <c r="J26" s="399"/>
      <c r="K26" s="617"/>
      <c r="L26" s="2708"/>
      <c r="M26" s="2709"/>
      <c r="N26" s="2709"/>
      <c r="O26" s="2763"/>
      <c r="P26" s="3689"/>
      <c r="Q26" s="1340"/>
      <c r="R26" s="698"/>
      <c r="S26" s="699"/>
      <c r="T26" s="698"/>
      <c r="U26" s="699"/>
      <c r="V26" s="698"/>
      <c r="W26" s="699"/>
      <c r="X26" s="700"/>
      <c r="Y26" s="3689"/>
      <c r="Z26" s="52"/>
      <c r="AA26" s="701">
        <v>1</v>
      </c>
      <c r="AB26" s="701">
        <v>1</v>
      </c>
      <c r="AC26" s="701">
        <v>1</v>
      </c>
    </row>
    <row r="27" spans="1:29" ht="15">
      <c r="A27" s="379"/>
      <c r="B27" s="577" t="s">
        <v>1780</v>
      </c>
      <c r="C27" s="563"/>
      <c r="D27" s="386">
        <v>100</v>
      </c>
      <c r="E27" s="579"/>
      <c r="F27" s="386">
        <f>SUMIF(95:95,E27,96:96)-SUMIF(95:95,C27,96:96)+100</f>
        <v>100</v>
      </c>
      <c r="G27" s="579"/>
      <c r="H27" s="386">
        <f>SUMIF(95:95,G27,96:96)-SUMIF(95:95,C27,96:96)+100</f>
        <v>100</v>
      </c>
      <c r="I27" s="579"/>
      <c r="J27" s="386">
        <f>SUMIF(95:95,I27,96:96)-SUMIF(95:95,C27,96:96)+100</f>
        <v>100</v>
      </c>
      <c r="K27" s="618"/>
      <c r="L27" s="2713"/>
      <c r="M27" s="2707"/>
      <c r="N27" s="2707"/>
      <c r="O27" s="2765"/>
      <c r="P27" s="3689"/>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689"/>
      <c r="Z27" s="1353" t="str">
        <f t="shared" ref="Z27:Z40" si="13">Q27</f>
        <v>临街状况</v>
      </c>
      <c r="AA27" s="1350">
        <f t="shared" si="3"/>
        <v>1</v>
      </c>
      <c r="AB27" s="1350">
        <f t="shared" si="4"/>
        <v>1</v>
      </c>
      <c r="AC27" s="1350">
        <f t="shared" si="5"/>
        <v>1</v>
      </c>
    </row>
    <row r="28" spans="1:29" ht="27">
      <c r="A28" s="379"/>
      <c r="B28" s="578"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713"/>
      <c r="M28" s="2707"/>
      <c r="N28" s="2707"/>
      <c r="O28" s="2765"/>
      <c r="P28" s="3689"/>
      <c r="Q28" s="1349" t="str">
        <f t="shared" si="8"/>
        <v>毗邻道路的类型与等级</v>
      </c>
      <c r="R28" s="702" t="s">
        <v>14</v>
      </c>
      <c r="S28" s="703">
        <f t="shared" si="10"/>
        <v>100</v>
      </c>
      <c r="T28" s="702" t="s">
        <v>14</v>
      </c>
      <c r="U28" s="703">
        <f t="shared" si="11"/>
        <v>100</v>
      </c>
      <c r="V28" s="702" t="s">
        <v>14</v>
      </c>
      <c r="W28" s="703">
        <f t="shared" si="12"/>
        <v>100</v>
      </c>
      <c r="X28" s="1352"/>
      <c r="Y28" s="3689"/>
      <c r="Z28" s="1353" t="str">
        <f t="shared" si="13"/>
        <v>毗邻道路的类型与等级</v>
      </c>
      <c r="AA28" s="1350">
        <f t="shared" si="3"/>
        <v>1</v>
      </c>
      <c r="AB28" s="1350">
        <f t="shared" si="4"/>
        <v>1</v>
      </c>
      <c r="AC28" s="1350">
        <f t="shared" si="5"/>
        <v>1</v>
      </c>
    </row>
    <row r="29" spans="1:29" ht="15">
      <c r="A29" s="379"/>
      <c r="B29" s="577"/>
      <c r="C29" s="398"/>
      <c r="D29" s="399"/>
      <c r="E29" s="1901"/>
      <c r="F29" s="399"/>
      <c r="G29" s="1901"/>
      <c r="H29" s="399"/>
      <c r="I29" s="1901"/>
      <c r="J29" s="399"/>
      <c r="K29" s="560"/>
      <c r="L29" s="2713"/>
      <c r="M29" s="2707"/>
      <c r="N29" s="2707"/>
      <c r="O29" s="2765"/>
      <c r="P29" s="3689"/>
      <c r="Q29" s="1349"/>
      <c r="R29" s="702"/>
      <c r="S29" s="703"/>
      <c r="T29" s="702"/>
      <c r="U29" s="703"/>
      <c r="V29" s="702"/>
      <c r="W29" s="703"/>
      <c r="X29" s="1352"/>
      <c r="Y29" s="3689"/>
      <c r="Z29" s="1353"/>
      <c r="AA29" s="1350">
        <v>1</v>
      </c>
      <c r="AB29" s="1350">
        <v>1</v>
      </c>
      <c r="AC29" s="1350">
        <v>1</v>
      </c>
    </row>
    <row r="30" spans="1:29" ht="15">
      <c r="A30" s="379"/>
      <c r="B30" s="599" t="s">
        <v>1873</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713"/>
      <c r="M30" s="2707"/>
      <c r="N30" s="2707"/>
      <c r="O30" s="2765"/>
      <c r="P30" s="3689"/>
      <c r="Q30" s="1349" t="str">
        <f t="shared" si="8"/>
        <v>土地级别</v>
      </c>
      <c r="R30" s="702" t="s">
        <v>14</v>
      </c>
      <c r="S30" s="703">
        <f t="shared" si="10"/>
        <v>100</v>
      </c>
      <c r="T30" s="702" t="s">
        <v>14</v>
      </c>
      <c r="U30" s="703">
        <f t="shared" si="11"/>
        <v>100</v>
      </c>
      <c r="V30" s="702" t="s">
        <v>14</v>
      </c>
      <c r="W30" s="703">
        <f t="shared" si="12"/>
        <v>100</v>
      </c>
      <c r="X30" s="1352"/>
      <c r="Y30" s="3689"/>
      <c r="Z30" s="1353" t="str">
        <f t="shared" si="13"/>
        <v>土地级别</v>
      </c>
      <c r="AA30" s="1350">
        <f t="shared" si="3"/>
        <v>1</v>
      </c>
      <c r="AB30" s="1350">
        <f t="shared" si="4"/>
        <v>1</v>
      </c>
      <c r="AC30" s="1350">
        <f t="shared" si="5"/>
        <v>1</v>
      </c>
    </row>
    <row r="31" spans="1:29" ht="15">
      <c r="A31" s="358"/>
      <c r="B31" s="196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689"/>
      <c r="Q31" s="1349">
        <f t="shared" si="8"/>
        <v>111</v>
      </c>
      <c r="R31" s="702" t="s">
        <v>14</v>
      </c>
      <c r="S31" s="703">
        <f t="shared" si="10"/>
        <v>100</v>
      </c>
      <c r="T31" s="702" t="s">
        <v>14</v>
      </c>
      <c r="U31" s="703">
        <f t="shared" si="11"/>
        <v>100</v>
      </c>
      <c r="V31" s="702" t="s">
        <v>14</v>
      </c>
      <c r="W31" s="703">
        <f t="shared" si="12"/>
        <v>100</v>
      </c>
      <c r="X31" s="1352"/>
      <c r="Y31" s="3689"/>
      <c r="Z31" s="1353">
        <f t="shared" si="13"/>
        <v>111</v>
      </c>
      <c r="AA31" s="1350">
        <f t="shared" si="3"/>
        <v>1</v>
      </c>
      <c r="AB31" s="1350">
        <f t="shared" si="4"/>
        <v>1</v>
      </c>
      <c r="AC31" s="1350">
        <f t="shared" si="5"/>
        <v>1</v>
      </c>
    </row>
    <row r="32" spans="1:29" ht="15">
      <c r="A32" s="620"/>
      <c r="B32" s="1988">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713"/>
      <c r="M32" s="2707"/>
      <c r="N32" s="2707"/>
      <c r="O32" s="2765"/>
      <c r="P32" s="3745" t="s">
        <v>1696</v>
      </c>
      <c r="Q32" s="1349">
        <f t="shared" si="8"/>
        <v>111</v>
      </c>
      <c r="R32" s="702" t="s">
        <v>14</v>
      </c>
      <c r="S32" s="703">
        <f t="shared" si="10"/>
        <v>100</v>
      </c>
      <c r="T32" s="702" t="s">
        <v>14</v>
      </c>
      <c r="U32" s="703">
        <f t="shared" si="11"/>
        <v>100</v>
      </c>
      <c r="V32" s="702" t="s">
        <v>14</v>
      </c>
      <c r="W32" s="703">
        <f t="shared" si="12"/>
        <v>100</v>
      </c>
      <c r="X32" s="1352"/>
      <c r="Y32" s="3693" t="s">
        <v>1696</v>
      </c>
      <c r="Z32" s="1353">
        <f t="shared" si="13"/>
        <v>111</v>
      </c>
      <c r="AA32" s="1350">
        <f t="shared" si="3"/>
        <v>1</v>
      </c>
      <c r="AB32" s="1350">
        <f t="shared" si="4"/>
        <v>1</v>
      </c>
      <c r="AC32" s="1350">
        <f t="shared" si="5"/>
        <v>1</v>
      </c>
    </row>
    <row r="33" spans="1:31" s="422" customFormat="1" ht="15.75" thickBot="1">
      <c r="A33" s="621"/>
      <c r="B33" s="1989">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712"/>
      <c r="M33" s="2714"/>
      <c r="N33" s="2714"/>
      <c r="O33" s="2766"/>
      <c r="P33" s="3693"/>
      <c r="Q33" s="1349">
        <f t="shared" si="8"/>
        <v>111</v>
      </c>
      <c r="R33" s="705" t="s">
        <v>14</v>
      </c>
      <c r="S33" s="706">
        <f t="shared" si="10"/>
        <v>100</v>
      </c>
      <c r="T33" s="705" t="s">
        <v>14</v>
      </c>
      <c r="U33" s="706">
        <f t="shared" si="11"/>
        <v>100</v>
      </c>
      <c r="V33" s="705" t="s">
        <v>14</v>
      </c>
      <c r="W33" s="706">
        <f t="shared" si="12"/>
        <v>100</v>
      </c>
      <c r="X33" s="707"/>
      <c r="Y33" s="3693"/>
      <c r="Z33" s="708">
        <f t="shared" si="13"/>
        <v>111</v>
      </c>
      <c r="AA33" s="1350">
        <f t="shared" si="3"/>
        <v>1</v>
      </c>
      <c r="AB33" s="1350">
        <f t="shared" si="4"/>
        <v>1</v>
      </c>
      <c r="AC33" s="1350">
        <f t="shared" si="5"/>
        <v>1</v>
      </c>
    </row>
    <row r="34" spans="1:31" ht="15">
      <c r="A34" s="391" t="s">
        <v>1694</v>
      </c>
      <c r="B34" s="407" t="s">
        <v>1874</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713"/>
      <c r="M34" s="2707"/>
      <c r="N34" s="2707"/>
      <c r="O34" s="2765"/>
      <c r="P34" s="3693"/>
      <c r="Q34" s="1349" t="str">
        <f>B34</f>
        <v>宗地面积</v>
      </c>
      <c r="R34" s="702" t="s">
        <v>14</v>
      </c>
      <c r="S34" s="703" t="e">
        <f t="shared" si="10"/>
        <v>#N/A</v>
      </c>
      <c r="T34" s="702" t="s">
        <v>14</v>
      </c>
      <c r="U34" s="703" t="e">
        <f t="shared" si="11"/>
        <v>#N/A</v>
      </c>
      <c r="V34" s="702" t="s">
        <v>14</v>
      </c>
      <c r="W34" s="703" t="e">
        <f t="shared" si="12"/>
        <v>#N/A</v>
      </c>
      <c r="X34" s="1352"/>
      <c r="Y34" s="3693"/>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59"/>
      <c r="L35" s="2713"/>
      <c r="M35" s="2707"/>
      <c r="N35" s="2707"/>
      <c r="O35" s="2765"/>
      <c r="P35" s="3693"/>
      <c r="Q35" s="1349" t="str">
        <f t="shared" ref="Q35:Q40" si="14">B35</f>
        <v>宗地形状</v>
      </c>
      <c r="R35" s="702" t="s">
        <v>14</v>
      </c>
      <c r="S35" s="703">
        <f t="shared" si="10"/>
        <v>100</v>
      </c>
      <c r="T35" s="702" t="s">
        <v>14</v>
      </c>
      <c r="U35" s="703">
        <f t="shared" si="11"/>
        <v>100</v>
      </c>
      <c r="V35" s="702" t="s">
        <v>14</v>
      </c>
      <c r="W35" s="703">
        <f t="shared" si="12"/>
        <v>100</v>
      </c>
      <c r="X35" s="1352"/>
      <c r="Y35" s="3693"/>
      <c r="Z35" s="1353" t="str">
        <f t="shared" si="13"/>
        <v>宗地形状</v>
      </c>
      <c r="AA35" s="1350">
        <f t="shared" si="3"/>
        <v>1</v>
      </c>
      <c r="AB35" s="1350">
        <f t="shared" si="4"/>
        <v>1</v>
      </c>
      <c r="AC35" s="1350">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59"/>
      <c r="L36" s="2708"/>
      <c r="M36" s="2709"/>
      <c r="N36" s="2709"/>
      <c r="O36" s="2763"/>
      <c r="P36" s="3693"/>
      <c r="Q36" s="1349" t="str">
        <f t="shared" si="14"/>
        <v>宗地开发程度</v>
      </c>
      <c r="R36" s="698" t="s">
        <v>14</v>
      </c>
      <c r="S36" s="699">
        <f t="shared" si="10"/>
        <v>100</v>
      </c>
      <c r="T36" s="698" t="s">
        <v>14</v>
      </c>
      <c r="U36" s="699">
        <f t="shared" si="11"/>
        <v>100</v>
      </c>
      <c r="V36" s="698" t="s">
        <v>14</v>
      </c>
      <c r="W36" s="699">
        <f t="shared" si="12"/>
        <v>100</v>
      </c>
      <c r="X36" s="700"/>
      <c r="Y36" s="3693"/>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59"/>
      <c r="L37" s="2713"/>
      <c r="M37" s="2707"/>
      <c r="N37" s="2707"/>
      <c r="O37" s="2765"/>
      <c r="P37" s="3693" t="s">
        <v>1696</v>
      </c>
      <c r="Q37" s="1349" t="str">
        <f t="shared" si="14"/>
        <v>工程地质条件</v>
      </c>
      <c r="R37" s="702" t="s">
        <v>14</v>
      </c>
      <c r="S37" s="703">
        <f t="shared" si="10"/>
        <v>100</v>
      </c>
      <c r="T37" s="702" t="s">
        <v>14</v>
      </c>
      <c r="U37" s="703">
        <f t="shared" si="11"/>
        <v>100</v>
      </c>
      <c r="V37" s="702" t="s">
        <v>14</v>
      </c>
      <c r="W37" s="703">
        <f t="shared" si="12"/>
        <v>100</v>
      </c>
      <c r="X37" s="1352"/>
      <c r="Y37" s="3693" t="s">
        <v>1696</v>
      </c>
      <c r="Z37" s="1353" t="str">
        <f t="shared" si="13"/>
        <v>工程地质条件</v>
      </c>
      <c r="AA37" s="1350">
        <f t="shared" si="3"/>
        <v>1</v>
      </c>
      <c r="AB37" s="1350">
        <f t="shared" si="4"/>
        <v>1</v>
      </c>
      <c r="AC37" s="1350">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713"/>
      <c r="M38" s="2707"/>
      <c r="N38" s="2707"/>
      <c r="O38" s="2765"/>
      <c r="P38" s="3693"/>
      <c r="Q38" s="1349">
        <f t="shared" si="14"/>
        <v>111</v>
      </c>
      <c r="R38" s="702" t="s">
        <v>14</v>
      </c>
      <c r="S38" s="703">
        <f t="shared" si="10"/>
        <v>100</v>
      </c>
      <c r="T38" s="702" t="s">
        <v>14</v>
      </c>
      <c r="U38" s="703">
        <f t="shared" si="11"/>
        <v>100</v>
      </c>
      <c r="V38" s="702" t="s">
        <v>14</v>
      </c>
      <c r="W38" s="703">
        <f t="shared" si="12"/>
        <v>100</v>
      </c>
      <c r="X38" s="1352"/>
      <c r="Y38" s="3693"/>
      <c r="Z38" s="1353">
        <f t="shared" si="13"/>
        <v>111</v>
      </c>
      <c r="AA38" s="1350">
        <f t="shared" si="3"/>
        <v>1</v>
      </c>
      <c r="AB38" s="1350">
        <f t="shared" si="4"/>
        <v>1</v>
      </c>
      <c r="AC38" s="1350">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713"/>
      <c r="M39" s="2707"/>
      <c r="N39" s="2707"/>
      <c r="O39" s="2765"/>
      <c r="P39" s="3693"/>
      <c r="Q39" s="1349">
        <f t="shared" si="14"/>
        <v>111</v>
      </c>
      <c r="R39" s="702" t="s">
        <v>14</v>
      </c>
      <c r="S39" s="703">
        <f t="shared" si="10"/>
        <v>100</v>
      </c>
      <c r="T39" s="702" t="s">
        <v>14</v>
      </c>
      <c r="U39" s="703">
        <f t="shared" si="11"/>
        <v>100</v>
      </c>
      <c r="V39" s="702" t="s">
        <v>14</v>
      </c>
      <c r="W39" s="703">
        <f t="shared" si="12"/>
        <v>100</v>
      </c>
      <c r="X39" s="1352"/>
      <c r="Y39" s="3693"/>
      <c r="Z39" s="1353">
        <f t="shared" si="13"/>
        <v>111</v>
      </c>
      <c r="AA39" s="1350">
        <f t="shared" si="3"/>
        <v>1</v>
      </c>
      <c r="AB39" s="1350">
        <f t="shared" si="4"/>
        <v>1</v>
      </c>
      <c r="AC39" s="1350">
        <f t="shared" si="5"/>
        <v>1</v>
      </c>
    </row>
    <row r="40" spans="1:31" s="422" customFormat="1" ht="15.75" thickBot="1">
      <c r="A40" s="419"/>
      <c r="B40" s="1131">
        <v>111</v>
      </c>
      <c r="C40" s="1977"/>
      <c r="D40" s="128">
        <v>100</v>
      </c>
      <c r="E40" s="619"/>
      <c r="F40" s="389">
        <f>SUMIF(120:120,E40,121:121)-SUMIF(120:120,C40,121:121)+100</f>
        <v>100</v>
      </c>
      <c r="G40" s="619"/>
      <c r="H40" s="389">
        <f>SUMIF(120:120,G40,121:121)-SUMIF(120:120,C40,121:121)+100</f>
        <v>100</v>
      </c>
      <c r="I40" s="496"/>
      <c r="J40" s="389">
        <f>SUMIF(120:120,I40,121:121)-SUMIF(120:120,C40,121:121)+100</f>
        <v>100</v>
      </c>
      <c r="K40" s="626"/>
      <c r="L40" s="2712"/>
      <c r="M40" s="2714"/>
      <c r="N40" s="2714"/>
      <c r="O40" s="2766"/>
      <c r="P40" s="3693"/>
      <c r="Q40" s="1349">
        <f t="shared" si="14"/>
        <v>111</v>
      </c>
      <c r="R40" s="705" t="s">
        <v>14</v>
      </c>
      <c r="S40" s="706">
        <f t="shared" si="10"/>
        <v>100</v>
      </c>
      <c r="T40" s="705" t="s">
        <v>14</v>
      </c>
      <c r="U40" s="706">
        <f t="shared" si="11"/>
        <v>100</v>
      </c>
      <c r="V40" s="705" t="s">
        <v>14</v>
      </c>
      <c r="W40" s="706">
        <f t="shared" si="12"/>
        <v>100</v>
      </c>
      <c r="X40" s="707"/>
      <c r="Y40" s="3693"/>
      <c r="Z40" s="708">
        <f t="shared" si="13"/>
        <v>111</v>
      </c>
      <c r="AA40" s="1350">
        <f t="shared" si="3"/>
        <v>1</v>
      </c>
      <c r="AB40" s="1350">
        <f t="shared" si="4"/>
        <v>1</v>
      </c>
      <c r="AC40" s="1350">
        <f t="shared" si="5"/>
        <v>1</v>
      </c>
    </row>
    <row r="41" spans="1:31" ht="15">
      <c r="A41" s="428" t="s">
        <v>1844</v>
      </c>
      <c r="B41" s="1978" t="s">
        <v>1922</v>
      </c>
      <c r="C41" s="627" t="s">
        <v>0</v>
      </c>
      <c r="D41" s="430"/>
      <c r="E41" s="431"/>
      <c r="F41" s="432"/>
      <c r="G41" s="433"/>
      <c r="H41" s="434"/>
      <c r="I41" s="431"/>
      <c r="J41" s="434"/>
      <c r="K41" s="711"/>
      <c r="L41" s="2715"/>
      <c r="M41" s="2707"/>
      <c r="N41" s="2707"/>
      <c r="O41" s="2716"/>
      <c r="P41" s="3686" t="str">
        <f>A41</f>
        <v>成交单价</v>
      </c>
      <c r="Q41" s="3686"/>
      <c r="R41" s="3717">
        <f>E41</f>
        <v>0</v>
      </c>
      <c r="S41" s="3717"/>
      <c r="T41" s="3717">
        <f>G41</f>
        <v>0</v>
      </c>
      <c r="U41" s="3717"/>
      <c r="V41" s="3717">
        <f>I41</f>
        <v>0</v>
      </c>
      <c r="W41" s="3717"/>
      <c r="X41" s="687"/>
      <c r="Y41" s="709"/>
      <c r="Z41" s="687"/>
      <c r="AA41" s="687"/>
      <c r="AB41" s="687"/>
      <c r="AC41" s="687"/>
    </row>
    <row r="42" spans="1:31" ht="15.75" thickBot="1">
      <c r="A42" s="435" t="s">
        <v>1793</v>
      </c>
      <c r="B42" s="628"/>
      <c r="C42" s="438" t="e">
        <f>R43</f>
        <v>#DIV/0!</v>
      </c>
      <c r="D42" s="2313" t="s">
        <v>2138</v>
      </c>
      <c r="E42" s="438" t="e">
        <f>R42</f>
        <v>#DIV/0!</v>
      </c>
      <c r="F42" s="2314"/>
      <c r="G42" s="437" t="e">
        <f>T42</f>
        <v>#DIV/0!</v>
      </c>
      <c r="H42" s="2314"/>
      <c r="I42" s="438" t="e">
        <f>V42</f>
        <v>#DIV/0!</v>
      </c>
      <c r="J42" s="2314"/>
      <c r="K42" s="2316">
        <f>F42+H42+J42</f>
        <v>0</v>
      </c>
      <c r="L42" s="2715"/>
      <c r="M42" s="2707"/>
      <c r="N42" s="2707"/>
      <c r="O42" s="2716"/>
      <c r="P42" s="3686" t="str">
        <f>A42</f>
        <v>比较价值（元/平方米）</v>
      </c>
      <c r="Q42" s="3686"/>
      <c r="R42" s="3747" t="e">
        <f>ROUND(PRODUCT(R41,AA7:AA40),0)</f>
        <v>#DIV/0!</v>
      </c>
      <c r="S42" s="3747"/>
      <c r="T42" s="3747" t="e">
        <f>ROUND(PRODUCT(T41,AB7:AB40),0)</f>
        <v>#DIV/0!</v>
      </c>
      <c r="U42" s="3747"/>
      <c r="V42" s="3747" t="e">
        <f>ROUND(PRODUCT(V41,AC7:AC40),0)</f>
        <v>#DIV/0!</v>
      </c>
      <c r="W42" s="3747"/>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5"/>
      <c r="M43" s="2707"/>
      <c r="N43" s="2707"/>
      <c r="O43" s="2716"/>
      <c r="P43" s="3683" t="str">
        <f>A43</f>
        <v>估价对象XX用房的比较价值（楼面单价，元/平方米）</v>
      </c>
      <c r="Q43" s="3684"/>
      <c r="R43" s="3748" t="e">
        <f>ROUND(IF(D42="简单平均",AVERAGE(R42:W42),R42*F42+T42*H42+V42*J42),0)</f>
        <v>#DIV/0!</v>
      </c>
      <c r="S43" s="3748"/>
      <c r="T43" s="3748"/>
      <c r="U43" s="3748"/>
      <c r="V43" s="3748"/>
      <c r="W43" s="3748"/>
      <c r="X43" s="687"/>
      <c r="Y43" s="687"/>
      <c r="Z43" s="687"/>
      <c r="AA43" s="687"/>
      <c r="AB43" s="687"/>
      <c r="AC43" s="687"/>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0"/>
      <c r="D49" s="688"/>
      <c r="E49" s="688"/>
      <c r="F49" s="688"/>
      <c r="G49" s="688"/>
      <c r="H49" s="688"/>
      <c r="I49" s="688"/>
      <c r="J49" s="688"/>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29" t="s">
        <v>1881</v>
      </c>
      <c r="B50" s="630" t="s">
        <v>1882</v>
      </c>
      <c r="C50" s="1979" t="s">
        <v>1883</v>
      </c>
      <c r="D50" s="1980" t="s">
        <v>1884</v>
      </c>
      <c r="E50" s="631" t="s">
        <v>1885</v>
      </c>
      <c r="F50" s="632" t="s">
        <v>1886</v>
      </c>
      <c r="G50" s="3701" t="s">
        <v>1887</v>
      </c>
      <c r="H50" s="3749"/>
      <c r="I50" s="1353" t="s">
        <v>1923</v>
      </c>
      <c r="J50" s="1353">
        <f>项目基本情况!F35</f>
        <v>0</v>
      </c>
      <c r="K50" s="1982" t="s">
        <v>1889</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7" customFormat="1">
      <c r="A51" s="633" t="s">
        <v>1890</v>
      </c>
      <c r="B51" s="634" t="e">
        <f>C43</f>
        <v>#DIV/0!</v>
      </c>
      <c r="C51" s="635">
        <v>1</v>
      </c>
      <c r="D51" s="941">
        <v>1</v>
      </c>
      <c r="E51" s="635">
        <f>'数据-汇总表'!E8+'数据-汇总表'!E9</f>
        <v>0</v>
      </c>
      <c r="F51" s="636" t="e">
        <f t="shared" ref="F51:F60" si="15">ROUND(B51*E51/10000,0)</f>
        <v>#DIV/0!</v>
      </c>
      <c r="G51" s="3697"/>
      <c r="H51" s="3686"/>
      <c r="I51" s="770">
        <v>1</v>
      </c>
      <c r="J51" s="770">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7" customFormat="1">
      <c r="A52" s="638" t="s">
        <v>1891</v>
      </c>
      <c r="B52" s="218" t="e">
        <f>ROUND($C$43*C52*D52,0)</f>
        <v>#DIV/0!</v>
      </c>
      <c r="C52" s="171">
        <f t="shared" ref="C52:C60" si="16">IF($C$50="北京市系数",I52,J52)</f>
        <v>0</v>
      </c>
      <c r="D52" s="942">
        <v>0.25</v>
      </c>
      <c r="E52" s="639"/>
      <c r="F52" s="636" t="e">
        <f t="shared" si="15"/>
        <v>#DIV/0!</v>
      </c>
      <c r="G52" s="2997" t="s">
        <v>1892</v>
      </c>
      <c r="H52" s="884">
        <f>项目基本情况!B37</f>
        <v>0</v>
      </c>
      <c r="I52" s="770">
        <f>SUMIF(修正!A57:A68,H52,修正!B57:B68)</f>
        <v>0</v>
      </c>
      <c r="J52" s="771"/>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7" customFormat="1">
      <c r="A53" s="638" t="s">
        <v>1893</v>
      </c>
      <c r="B53" s="218" t="e">
        <f t="shared" ref="B53:B60" si="17">ROUND($C$43*C53*D53,0)</f>
        <v>#DIV/0!</v>
      </c>
      <c r="C53" s="171">
        <f t="shared" si="16"/>
        <v>0</v>
      </c>
      <c r="D53" s="942">
        <v>0.25</v>
      </c>
      <c r="E53" s="639"/>
      <c r="F53" s="636" t="e">
        <f t="shared" si="15"/>
        <v>#DIV/0!</v>
      </c>
      <c r="G53" s="2998"/>
      <c r="H53" s="884">
        <f>项目基本情况!B37</f>
        <v>0</v>
      </c>
      <c r="I53" s="770">
        <f>SUMIF(修正!A57:A68,H53,修正!C57:C68)</f>
        <v>0</v>
      </c>
      <c r="J53" s="771"/>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7" customFormat="1">
      <c r="A54" s="638" t="s">
        <v>1894</v>
      </c>
      <c r="B54" s="218" t="e">
        <f t="shared" si="17"/>
        <v>#DIV/0!</v>
      </c>
      <c r="C54" s="171">
        <f t="shared" si="16"/>
        <v>0</v>
      </c>
      <c r="D54" s="942">
        <v>0.25</v>
      </c>
      <c r="E54" s="639"/>
      <c r="F54" s="636" t="e">
        <f t="shared" si="15"/>
        <v>#DIV/0!</v>
      </c>
      <c r="G54" s="2998"/>
      <c r="H54" s="884">
        <f>项目基本情况!B37</f>
        <v>0</v>
      </c>
      <c r="I54" s="770">
        <f>SUMIF(修正!A57:A68,H54,修正!D57:D68)</f>
        <v>0</v>
      </c>
      <c r="J54" s="771"/>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7" customFormat="1" hidden="1">
      <c r="A55" s="638"/>
      <c r="B55" s="218"/>
      <c r="C55" s="171"/>
      <c r="D55" s="942"/>
      <c r="E55" s="639"/>
      <c r="F55" s="636"/>
      <c r="G55" s="2999"/>
      <c r="H55" s="884"/>
      <c r="I55" s="770"/>
      <c r="J55" s="771"/>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7" customFormat="1">
      <c r="A56" s="638" t="s">
        <v>1895</v>
      </c>
      <c r="B56" s="218" t="e">
        <f t="shared" si="17"/>
        <v>#DIV/0!</v>
      </c>
      <c r="C56" s="171">
        <f t="shared" si="16"/>
        <v>0</v>
      </c>
      <c r="D56" s="942">
        <v>0.25</v>
      </c>
      <c r="E56" s="217">
        <f>'数据-汇总表'!E11</f>
        <v>0</v>
      </c>
      <c r="F56" s="636" t="e">
        <f t="shared" si="15"/>
        <v>#DIV/0!</v>
      </c>
      <c r="G56" s="1983" t="s">
        <v>1896</v>
      </c>
      <c r="H56" s="884">
        <f>项目基本情况!C37</f>
        <v>0</v>
      </c>
      <c r="I56" s="770">
        <f>SUMIF(修正!A57:A68,H56,修正!E57:E68)</f>
        <v>0</v>
      </c>
      <c r="J56" s="771"/>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7" customFormat="1">
      <c r="A57" s="638" t="s">
        <v>1897</v>
      </c>
      <c r="B57" s="218" t="e">
        <f t="shared" si="17"/>
        <v>#DIV/0!</v>
      </c>
      <c r="C57" s="171">
        <f t="shared" si="16"/>
        <v>0</v>
      </c>
      <c r="D57" s="942">
        <v>0.25</v>
      </c>
      <c r="E57" s="217">
        <f>'数据-汇总表'!E12</f>
        <v>0</v>
      </c>
      <c r="F57" s="636" t="e">
        <f t="shared" si="15"/>
        <v>#DIV/0!</v>
      </c>
      <c r="G57" s="889" t="s">
        <v>1898</v>
      </c>
      <c r="H57" s="884">
        <f>IF(G57="商业",项目基本情况!B37,IF(G57="办公",项目基本情况!C37,IF(G57="住宅",项目基本情况!D37,项目基本情况!E37)))</f>
        <v>0</v>
      </c>
      <c r="I57" s="770">
        <f>SUMIF(修正!A57:A68,H57,修正!F57:F68)</f>
        <v>0</v>
      </c>
      <c r="J57" s="771"/>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7" customFormat="1">
      <c r="A58" s="638" t="s">
        <v>1899</v>
      </c>
      <c r="B58" s="218" t="e">
        <f t="shared" si="17"/>
        <v>#DIV/0!</v>
      </c>
      <c r="C58" s="171">
        <f t="shared" si="16"/>
        <v>0</v>
      </c>
      <c r="D58" s="942">
        <v>0.25</v>
      </c>
      <c r="E58" s="217">
        <f>'数据-汇总表'!E13</f>
        <v>0</v>
      </c>
      <c r="F58" s="636" t="e">
        <f t="shared" si="15"/>
        <v>#DIV/0!</v>
      </c>
      <c r="G58" s="889" t="s">
        <v>1900</v>
      </c>
      <c r="H58" s="884">
        <f>IF(G58="商业",项目基本情况!B37,IF(G58="办公",项目基本情况!C37,IF(G58="住宅",项目基本情况!D37,项目基本情况!E37)))</f>
        <v>0</v>
      </c>
      <c r="I58" s="770">
        <f>SUMIF(修正!A57:A68,H58,修正!G57:G68)</f>
        <v>0</v>
      </c>
      <c r="J58" s="771"/>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7" customFormat="1">
      <c r="A59" s="638" t="s">
        <v>1901</v>
      </c>
      <c r="B59" s="218" t="e">
        <f t="shared" si="17"/>
        <v>#DIV/0!</v>
      </c>
      <c r="C59" s="171">
        <f t="shared" si="16"/>
        <v>0</v>
      </c>
      <c r="D59" s="942">
        <v>0.25</v>
      </c>
      <c r="E59" s="217">
        <f>'数据-汇总表'!E14</f>
        <v>0</v>
      </c>
      <c r="F59" s="636" t="e">
        <f t="shared" si="15"/>
        <v>#DIV/0!</v>
      </c>
      <c r="G59" s="1983" t="s">
        <v>1892</v>
      </c>
      <c r="H59" s="884">
        <f>项目基本情况!B37</f>
        <v>0</v>
      </c>
      <c r="I59" s="770">
        <f>SUMIF(修正!A57:A68,H59,修正!G57:G68)</f>
        <v>0</v>
      </c>
      <c r="J59" s="771"/>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7" customFormat="1" ht="15" thickBot="1">
      <c r="A60" s="638" t="s">
        <v>1902</v>
      </c>
      <c r="B60" s="218" t="e">
        <f t="shared" si="17"/>
        <v>#DIV/0!</v>
      </c>
      <c r="C60" s="171">
        <f t="shared" si="16"/>
        <v>0</v>
      </c>
      <c r="D60" s="942">
        <v>0.25</v>
      </c>
      <c r="E60" s="217">
        <f>'数据-汇总表'!E15</f>
        <v>0</v>
      </c>
      <c r="F60" s="636" t="e">
        <f t="shared" si="15"/>
        <v>#DIV/0!</v>
      </c>
      <c r="G60" s="1984" t="s">
        <v>1896</v>
      </c>
      <c r="H60" s="894">
        <f>项目基本情况!C37</f>
        <v>0</v>
      </c>
      <c r="I60" s="770">
        <f>SUMIF(修正!A57:A68,H60,修正!G57:G68)</f>
        <v>0</v>
      </c>
      <c r="J60" s="771"/>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7" customFormat="1" ht="15" thickBot="1">
      <c r="A61" s="640" t="s">
        <v>1903</v>
      </c>
      <c r="B61" s="641" t="s">
        <v>22</v>
      </c>
      <c r="C61" s="641" t="s">
        <v>23</v>
      </c>
      <c r="D61" s="641" t="s">
        <v>392</v>
      </c>
      <c r="E61" s="641" t="e">
        <f>IF(B41="楼面地价",SUM(E51:E60),'数据-汇总表'!D3)</f>
        <v>#DIV/0!</v>
      </c>
      <c r="F61" s="642" t="e">
        <f>IF(B41="楼面地价",SUM(F51:F60),ROUND(C43*E61/10000,0))</f>
        <v>#DIV/0!</v>
      </c>
      <c r="G61" s="936"/>
      <c r="H61" s="936"/>
      <c r="I61" s="936"/>
      <c r="J61" s="936"/>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4"/>
      <c r="B62" s="926"/>
      <c r="C62" s="928"/>
      <c r="D62" s="924"/>
      <c r="E62" s="924"/>
      <c r="F62" s="924"/>
      <c r="G62" s="924"/>
      <c r="H62" s="924"/>
      <c r="I62" s="924"/>
      <c r="J62" s="924"/>
      <c r="K62" s="885"/>
      <c r="L62" s="886"/>
      <c r="M62" s="924"/>
      <c r="N62" s="924"/>
      <c r="O62" s="924"/>
      <c r="P62" s="2716"/>
      <c r="Q62" s="2716"/>
      <c r="R62" s="2716"/>
      <c r="S62" s="2716"/>
      <c r="T62" s="2716"/>
      <c r="U62" s="2716"/>
      <c r="V62" s="2716"/>
      <c r="W62" s="2716"/>
      <c r="X62" s="2716"/>
      <c r="Y62" s="2716"/>
      <c r="Z62" s="2716"/>
      <c r="AA62" s="2716"/>
      <c r="AB62" s="2716"/>
      <c r="AC62" s="2716"/>
      <c r="AD62" s="2716"/>
      <c r="AE62" s="2716"/>
    </row>
    <row r="63" spans="1:31">
      <c r="A63" s="924"/>
      <c r="B63" s="926"/>
      <c r="C63" s="689" t="str">
        <f>YEAR(C7)&amp;"-"&amp;MONTH(C7)&amp;"-1"</f>
        <v>2023-5-1</v>
      </c>
      <c r="D63" s="689">
        <f>EDATE(C63,-3)</f>
        <v>44958</v>
      </c>
      <c r="E63" s="689">
        <f>EDATE(D63,-3)</f>
        <v>44866</v>
      </c>
      <c r="F63" s="689">
        <f t="shared" ref="F63:O63" si="18">EDATE(E63,-3)</f>
        <v>44774</v>
      </c>
      <c r="G63" s="689">
        <f t="shared" si="18"/>
        <v>44682</v>
      </c>
      <c r="H63" s="689">
        <f t="shared" si="18"/>
        <v>44593</v>
      </c>
      <c r="I63" s="689">
        <f t="shared" si="18"/>
        <v>44501</v>
      </c>
      <c r="J63" s="689">
        <f t="shared" si="18"/>
        <v>44409</v>
      </c>
      <c r="K63" s="689">
        <f t="shared" si="18"/>
        <v>44317</v>
      </c>
      <c r="L63" s="689">
        <f t="shared" si="18"/>
        <v>44228</v>
      </c>
      <c r="M63" s="689">
        <f t="shared" si="18"/>
        <v>44136</v>
      </c>
      <c r="N63" s="689">
        <f t="shared" si="18"/>
        <v>44044</v>
      </c>
      <c r="O63" s="689">
        <f t="shared" si="18"/>
        <v>43952</v>
      </c>
      <c r="P63" s="2716"/>
      <c r="Q63" s="2716"/>
      <c r="R63" s="2716"/>
      <c r="S63" s="2716"/>
      <c r="T63" s="2716"/>
      <c r="U63" s="2716"/>
      <c r="V63" s="2716"/>
      <c r="W63" s="2716"/>
      <c r="X63" s="2716"/>
      <c r="Y63" s="2716"/>
      <c r="Z63" s="2716"/>
      <c r="AA63" s="2716"/>
      <c r="AB63" s="2716"/>
      <c r="AC63" s="2716"/>
      <c r="AD63" s="2716"/>
      <c r="AE63" s="2716"/>
    </row>
    <row r="64" spans="1:31" ht="21.75" thickBot="1">
      <c r="A64" s="691" t="s">
        <v>1798</v>
      </c>
      <c r="B64" s="687"/>
      <c r="C64" s="692"/>
      <c r="D64" s="692"/>
      <c r="E64" s="692"/>
      <c r="F64" s="693"/>
      <c r="G64" s="693"/>
      <c r="H64" s="692"/>
      <c r="I64" s="692"/>
      <c r="J64" s="692"/>
      <c r="K64" s="694"/>
      <c r="L64" s="695"/>
      <c r="M64" s="692"/>
      <c r="N64" s="692"/>
      <c r="O64" s="937"/>
      <c r="P64" s="2760"/>
      <c r="Q64" s="2730"/>
      <c r="R64" s="2716"/>
      <c r="S64" s="2716"/>
      <c r="T64" s="2716"/>
      <c r="U64" s="2716"/>
      <c r="V64" s="2716"/>
      <c r="W64" s="2716"/>
      <c r="X64" s="2716"/>
      <c r="Y64" s="2716"/>
      <c r="Z64" s="2716"/>
      <c r="AA64" s="2716"/>
      <c r="AB64" s="2716"/>
      <c r="AC64" s="2716"/>
      <c r="AD64" s="2716"/>
      <c r="AE64" s="2716"/>
    </row>
    <row r="65" spans="1:31" s="455"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1924</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1716</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1681</v>
      </c>
      <c r="B68" s="457"/>
      <c r="C68" s="469" t="s">
        <v>1776</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4">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1719</v>
      </c>
      <c r="B70" s="475" t="s">
        <v>1685</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1688</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1690</v>
      </c>
      <c r="B83" s="475" t="s">
        <v>1829</v>
      </c>
      <c r="C83" s="520" t="s">
        <v>1721</v>
      </c>
      <c r="D83" s="520" t="s">
        <v>1722</v>
      </c>
      <c r="E83" s="520" t="s">
        <v>1723</v>
      </c>
      <c r="F83" s="520" t="s">
        <v>1724</v>
      </c>
      <c r="G83" s="520" t="s">
        <v>1725</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1726</v>
      </c>
      <c r="C85" s="525" t="s">
        <v>1721</v>
      </c>
      <c r="D85" s="525" t="s">
        <v>1722</v>
      </c>
      <c r="E85" s="525" t="s">
        <v>1723</v>
      </c>
      <c r="F85" s="525" t="s">
        <v>1724</v>
      </c>
      <c r="G85" s="525" t="s">
        <v>1725</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1907</v>
      </c>
      <c r="C87" s="520" t="s">
        <v>1721</v>
      </c>
      <c r="D87" s="520" t="s">
        <v>1722</v>
      </c>
      <c r="E87" s="520" t="s">
        <v>1723</v>
      </c>
      <c r="F87" s="520" t="s">
        <v>1724</v>
      </c>
      <c r="G87" s="520" t="s">
        <v>1725</v>
      </c>
      <c r="H87" s="525"/>
      <c r="I87" s="525"/>
      <c r="J87" s="525"/>
      <c r="K87" s="525"/>
      <c r="L87" s="643"/>
      <c r="M87" s="567"/>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1908</v>
      </c>
      <c r="C89" s="520" t="s">
        <v>1721</v>
      </c>
      <c r="D89" s="520" t="s">
        <v>1722</v>
      </c>
      <c r="E89" s="520" t="s">
        <v>1723</v>
      </c>
      <c r="F89" s="520" t="s">
        <v>1724</v>
      </c>
      <c r="G89" s="520" t="s">
        <v>1725</v>
      </c>
      <c r="H89" s="525"/>
      <c r="I89" s="525"/>
      <c r="J89" s="525"/>
      <c r="K89" s="525"/>
      <c r="L89" s="525"/>
      <c r="M89" s="567"/>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1778</v>
      </c>
      <c r="C91" s="520" t="s">
        <v>1721</v>
      </c>
      <c r="D91" s="520" t="s">
        <v>1722</v>
      </c>
      <c r="E91" s="520" t="s">
        <v>1723</v>
      </c>
      <c r="F91" s="520" t="s">
        <v>1724</v>
      </c>
      <c r="G91" s="520" t="s">
        <v>1725</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1925</v>
      </c>
      <c r="C93" s="605" t="s">
        <v>1799</v>
      </c>
      <c r="D93" s="605" t="s">
        <v>1800</v>
      </c>
      <c r="E93" s="605" t="s">
        <v>1801</v>
      </c>
      <c r="F93" s="605" t="s">
        <v>1802</v>
      </c>
      <c r="G93" s="605" t="s">
        <v>1803</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1815</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1873</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0"/>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2"/>
      <c r="H106" s="622"/>
      <c r="I106" s="622"/>
      <c r="J106" s="622"/>
      <c r="K106" s="622"/>
      <c r="L106" s="622"/>
      <c r="M106" s="644"/>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1914</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1916</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1917</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5"/>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G65" sqref="G65"/>
      <selection pane="bottomLeft" activeCell="G65" sqref="G6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2083</v>
      </c>
      <c r="C1" s="3757" t="s">
        <v>2084</v>
      </c>
      <c r="D1" s="3758"/>
      <c r="E1" s="3758"/>
      <c r="F1" s="3758"/>
      <c r="G1" s="3758"/>
      <c r="H1" s="3758"/>
      <c r="I1" s="3758"/>
      <c r="J1" s="3758"/>
      <c r="K1" s="3758"/>
      <c r="L1" s="3758"/>
      <c r="M1" s="3758"/>
      <c r="N1" s="3758"/>
      <c r="O1" s="3758"/>
      <c r="P1" s="3758"/>
      <c r="Q1" s="3758"/>
      <c r="R1" s="3758"/>
      <c r="S1" s="3759"/>
      <c r="T1" s="980" t="s">
        <v>2085</v>
      </c>
    </row>
    <row r="2" spans="1:45" s="652" customFormat="1">
      <c r="A2" s="981"/>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44" t="s">
        <v>2093</v>
      </c>
      <c r="B17" s="2145"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6" t="s">
        <v>2095</v>
      </c>
      <c r="E19" s="1337"/>
      <c r="F19" s="1337"/>
      <c r="G19" s="1337"/>
      <c r="H19" s="1056"/>
      <c r="I19" s="159"/>
      <c r="J19" s="159"/>
      <c r="K19" s="159"/>
      <c r="L19" s="159"/>
      <c r="M19" s="159"/>
      <c r="N19" s="159"/>
      <c r="O19" s="159"/>
      <c r="P19" s="159"/>
      <c r="Q19" s="159"/>
      <c r="R19" s="715"/>
      <c r="S19" s="129"/>
    </row>
    <row r="20" spans="1:45" ht="16.5" thickBot="1">
      <c r="A20" s="659" t="s">
        <v>2096</v>
      </c>
      <c r="B20" s="294" t="e">
        <f ca="1">IF(D20="——",S22,S22-F20)</f>
        <v>#REF!</v>
      </c>
      <c r="C20" s="159"/>
      <c r="D20" s="2147"/>
      <c r="E20" s="1338"/>
      <c r="F20" s="980" t="e">
        <f ca="1">SUMIF(INDIRECT("'"&amp;H20&amp;"'"&amp;"!A:A"),"承租人权益价值",INDIRECT("'"&amp;H20&amp;"'"&amp;"!c:c"))</f>
        <v>#REF!</v>
      </c>
      <c r="G20" s="980" t="s">
        <v>2097</v>
      </c>
      <c r="H20" s="2148"/>
      <c r="I20" s="159"/>
      <c r="J20" s="159"/>
      <c r="K20" s="159"/>
      <c r="L20" s="159"/>
      <c r="M20" s="159"/>
      <c r="N20" s="159"/>
      <c r="O20" s="159"/>
      <c r="P20" s="159"/>
      <c r="Q20" s="159"/>
      <c r="R20" s="715"/>
      <c r="S20" s="129"/>
    </row>
    <row r="21" spans="1:45" ht="15.75">
      <c r="A21" s="659" t="s">
        <v>2098</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2105</v>
      </c>
      <c r="B24" s="662"/>
      <c r="C24" s="2801">
        <v>1</v>
      </c>
      <c r="D24" s="2802"/>
      <c r="E24" s="2801">
        <v>1</v>
      </c>
      <c r="F24" s="2802"/>
      <c r="G24" s="2801">
        <v>1</v>
      </c>
      <c r="H24" s="2802"/>
      <c r="I24" s="2801">
        <v>1</v>
      </c>
      <c r="J24" s="2802"/>
      <c r="K24" s="2801">
        <v>1</v>
      </c>
      <c r="L24" s="2802"/>
      <c r="M24" s="2801">
        <v>1</v>
      </c>
      <c r="N24" s="2802"/>
      <c r="O24" s="2801">
        <v>1</v>
      </c>
      <c r="P24" s="2802"/>
      <c r="Q24" s="2801">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3"/>
      <c r="C1" s="2143"/>
      <c r="D1" s="2143"/>
      <c r="E1" s="2143"/>
      <c r="F1" s="2784"/>
      <c r="G1" s="2784"/>
      <c r="H1" s="2784"/>
      <c r="I1" s="2784"/>
      <c r="J1" s="2784"/>
      <c r="K1" s="2784"/>
      <c r="L1" s="2784"/>
      <c r="M1" s="2784"/>
      <c r="N1" s="2784"/>
      <c r="O1" s="2784"/>
      <c r="P1" s="2784"/>
    </row>
    <row r="2" spans="1:16" ht="15.75">
      <c r="A2" s="2141" t="s">
        <v>2073</v>
      </c>
      <c r="B2" s="2593" t="e">
        <f ca="1">SUMIF(B6:B13,"&lt;&gt;#ref!",B6:B13)</f>
        <v>#DIV/0!</v>
      </c>
      <c r="C2" s="2141" t="s">
        <v>2074</v>
      </c>
      <c r="D2" s="2141" t="s">
        <v>2075</v>
      </c>
      <c r="E2" s="2603">
        <f ca="1">SUMIF(E6:E13,"&lt;&gt;#ref!",E6:E13)</f>
        <v>0</v>
      </c>
      <c r="F2" s="2784"/>
      <c r="G2" s="2784"/>
      <c r="H2" s="2784"/>
      <c r="I2" s="2784"/>
      <c r="J2" s="2784"/>
      <c r="K2" s="2784"/>
      <c r="L2" s="2784"/>
      <c r="M2" s="2784"/>
      <c r="N2" s="2784"/>
      <c r="O2" s="2784"/>
      <c r="P2" s="2784"/>
    </row>
    <row r="3" spans="1:16" ht="15.75">
      <c r="A3" s="2141" t="s">
        <v>2076</v>
      </c>
      <c r="B3" s="2593" t="e">
        <f ca="1">ROUND(B2*10000/E2,0)</f>
        <v>#DIV/0!</v>
      </c>
      <c r="C3" s="2141" t="s">
        <v>2082</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2077</v>
      </c>
      <c r="B5" s="2601" t="s">
        <v>2078</v>
      </c>
      <c r="C5" s="2142"/>
      <c r="D5" s="2784"/>
      <c r="E5" s="2602" t="s">
        <v>2079</v>
      </c>
      <c r="F5" s="2784"/>
      <c r="G5" s="2784"/>
      <c r="H5" s="2784"/>
      <c r="I5" s="2784"/>
      <c r="J5" s="2784"/>
      <c r="K5" s="2784"/>
      <c r="L5" s="2784"/>
      <c r="M5" s="2784"/>
      <c r="N5" s="2784"/>
      <c r="O5" s="2784"/>
      <c r="P5" s="2784"/>
    </row>
    <row r="6" spans="1:16" ht="15.75">
      <c r="A6" s="2600" t="s">
        <v>2080</v>
      </c>
      <c r="B6" s="2593" t="e">
        <f ca="1">SUMIF(INDIRECT("'"&amp;A6&amp;"'"&amp;"!A:A"),"总价",INDIRECT("'"&amp;A6&amp;"'"&amp;"!B:B"))</f>
        <v>#DIV/0!</v>
      </c>
      <c r="C6" s="2141" t="s">
        <v>2074</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41" t="s">
        <v>2074</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2074</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2074</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2074</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2074</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2074</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2074</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G65" sqref="G6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0</v>
      </c>
      <c r="E1" s="1991"/>
      <c r="F1" s="1991"/>
      <c r="G1" s="1991"/>
      <c r="H1" s="1991"/>
      <c r="I1" s="1991"/>
      <c r="J1" s="1991"/>
      <c r="K1" s="1116"/>
      <c r="L1" s="1992" t="s">
        <v>1928</v>
      </c>
      <c r="M1" s="860">
        <f>SUMPRODUCT((区片价!B5:B9=I2)*(区片价!C3:G3=E2)*(区片价!C5:G9))</f>
        <v>0</v>
      </c>
      <c r="N1" s="863">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5" t="s">
        <v>1935</v>
      </c>
      <c r="D2" s="1996" t="s">
        <v>1936</v>
      </c>
      <c r="E2" s="3413"/>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6"/>
      <c r="L2" s="1999" t="s">
        <v>1939</v>
      </c>
      <c r="M2" s="861">
        <f>SUMPRODUCT((区片价!B10:B29=I2)*(区片价!C3:G3=E2)*(区片价!C10:G29))</f>
        <v>0</v>
      </c>
      <c r="N2" s="863">
        <f>SUMPRODUCT((因素修正幅度!B10:B29=I2)*(因素修正幅度!C3:G3=E2)*(因素修正幅度!C10:G29))</f>
        <v>0</v>
      </c>
      <c r="O2" s="1116"/>
      <c r="P2" s="1116"/>
      <c r="Q2" s="1116"/>
      <c r="R2" s="1209">
        <v>1</v>
      </c>
      <c r="S2" s="3352">
        <f>ROUND(SUMPRODUCT((B106:B110=R2)*(C105:N105=G2)*(C106:N110)),4)</f>
        <v>0</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5" t="s">
        <v>1941</v>
      </c>
      <c r="D3" s="1996" t="s">
        <v>1942</v>
      </c>
      <c r="E3" s="3411"/>
      <c r="F3" s="2000"/>
      <c r="G3" s="749">
        <f>IF(F3="宗地容积率",'数据-汇总表'!I4,IF(F3="估价对象容积率",'数据-汇总表'!I6,'数据-汇总表'!I7))</f>
        <v>0</v>
      </c>
      <c r="H3" s="170" t="s">
        <v>1943</v>
      </c>
      <c r="I3" s="772"/>
      <c r="J3" s="1998" t="s">
        <v>1944</v>
      </c>
      <c r="K3" s="1116"/>
      <c r="L3" s="1999" t="s">
        <v>1945</v>
      </c>
      <c r="M3" s="861">
        <f>SUMPRODUCT((区片价!B30:B54=I2)*(区片价!C3:G3=E2)*(区片价!C30:G54))</f>
        <v>0</v>
      </c>
      <c r="N3" s="863">
        <f>SUMPRODUCT((因素修正幅度!B30:B54=I2)*(因素修正幅度!C3:G3=E2)*(因素修正幅度!C30:G54))</f>
        <v>0</v>
      </c>
      <c r="O3" s="1116"/>
      <c r="P3" s="1116"/>
      <c r="Q3" s="1116"/>
      <c r="R3" s="1209">
        <v>2</v>
      </c>
      <c r="S3" s="3352">
        <f>ROUND(SUMPRODUCT((B106:B110=R3)*(C105:N105=G2)*(C106:N110)),4)</f>
        <v>0</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767"/>
      <c r="B4" s="3768"/>
      <c r="C4" s="3768"/>
      <c r="D4" s="3769"/>
      <c r="E4" s="3769"/>
      <c r="F4" s="3769"/>
      <c r="G4" s="3769"/>
      <c r="H4" s="3769"/>
      <c r="I4" s="3769"/>
      <c r="J4" s="3770"/>
      <c r="K4" s="1116"/>
      <c r="L4" s="1999" t="s">
        <v>1946</v>
      </c>
      <c r="M4" s="861">
        <f>SUMPRODUCT((区片价!B55:B86=I2)*(区片价!C3:G3=E2)*(区片价!C55:G86))</f>
        <v>0</v>
      </c>
      <c r="N4" s="863">
        <f>SUMPRODUCT((因素修正幅度!B55:B86=I2)*(因素修正幅度!C3:G3=E2)*(因素修正幅度!C55:G86))</f>
        <v>0</v>
      </c>
      <c r="O4" s="1116"/>
      <c r="P4" s="1116"/>
      <c r="Q4" s="1116"/>
      <c r="R4" s="1209">
        <v>3</v>
      </c>
      <c r="S4" s="3352">
        <f>ROUND(SUMPRODUCT((B106:B110=R4)*(C105:N105=G2)*(C106:N110)),4)</f>
        <v>0</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0" t="e">
        <f>ROUND(IF(E2="商业",C6*C7*C17+C20,(IF(E2="住宅",C6*C13*C17+C20,IF(E2="办公",C6*C12*C17+C20,C6+C20)))),0)</f>
        <v>#DIV/0!</v>
      </c>
      <c r="D5" s="1336" t="e">
        <f>ROUND(C6*C17+C20,0)</f>
        <v>#DIV/0!</v>
      </c>
      <c r="E5" s="1336"/>
      <c r="F5" s="2003"/>
      <c r="G5" s="2004"/>
      <c r="H5" s="2004"/>
      <c r="I5" s="2004"/>
      <c r="J5" s="2005"/>
      <c r="K5" s="2006"/>
      <c r="L5" s="1999" t="s">
        <v>1948</v>
      </c>
      <c r="M5" s="861">
        <f>SUMPRODUCT((区片价!B87:B126=I2)*(区片价!C3:G3=E2)*(区片价!C87:G126))</f>
        <v>0</v>
      </c>
      <c r="N5" s="863">
        <f>SUMPRODUCT((因素修正幅度!B87:B126=I2)*(因素修正幅度!C3:G3=E2)*(因素修正幅度!C87:G126))</f>
        <v>0</v>
      </c>
      <c r="O5" s="1116"/>
      <c r="P5" s="1116"/>
      <c r="Q5" s="1116"/>
      <c r="R5" s="1209">
        <v>4</v>
      </c>
      <c r="S5" s="3352">
        <f>ROUND(SUMPRODUCT((B106:B110=R5)*(C105:N105=G2)*(C106:N110)),4)</f>
        <v>0</v>
      </c>
      <c r="T5" s="3352" t="e">
        <f t="shared" si="0"/>
        <v>#DIV/0!</v>
      </c>
      <c r="U5" s="1210"/>
      <c r="V5" s="3352" t="e">
        <f t="shared" si="1"/>
        <v>#DIV/0!</v>
      </c>
      <c r="W5" s="1213"/>
      <c r="X5" s="1213"/>
      <c r="Y5" s="1213"/>
      <c r="Z5" s="1213"/>
      <c r="AA5" s="1213"/>
      <c r="AB5" s="1213"/>
      <c r="AC5" s="2007"/>
      <c r="AD5" s="2008"/>
      <c r="AE5" s="2008"/>
      <c r="AF5" s="2008"/>
      <c r="AG5" s="2008"/>
      <c r="AH5" s="2008"/>
      <c r="AI5" s="2008"/>
      <c r="AJ5" s="2009"/>
    </row>
    <row r="6" spans="1:36" ht="15.75" thickBot="1">
      <c r="A6" s="2011" t="s">
        <v>1949</v>
      </c>
      <c r="B6" s="2012" t="s">
        <v>1950</v>
      </c>
      <c r="C6" s="751">
        <f>SUMIF(L1:L12,G2,M1:M12)</f>
        <v>0</v>
      </c>
      <c r="D6" s="2013"/>
      <c r="E6" s="2014"/>
      <c r="F6" s="2014"/>
      <c r="G6" s="2015"/>
      <c r="H6" s="2015"/>
      <c r="I6" s="2015"/>
      <c r="J6" s="2016"/>
      <c r="K6" s="1381"/>
      <c r="L6" s="1999" t="s">
        <v>1951</v>
      </c>
      <c r="M6" s="861">
        <f>SUMPRODUCT((区片价!B127:B189=I2)*(区片价!C3:G3=E2)*(区片价!C127:G189))</f>
        <v>0</v>
      </c>
      <c r="N6" s="863">
        <f>SUMPRODUCT((因素修正幅度!B127:B189=I2)*(因素修正幅度!C3:G3=E2)*(因素修正幅度!C127:G189))</f>
        <v>0</v>
      </c>
      <c r="O6" s="1116"/>
      <c r="P6" s="1116"/>
      <c r="Q6" s="1116"/>
      <c r="R6" s="1209">
        <v>5</v>
      </c>
      <c r="S6" s="3352">
        <f>ROUND(SUMPRODUCT((B106:B110=R6)*(C105:N105=G2)*(C106:N110)),4)</f>
        <v>0</v>
      </c>
      <c r="T6" s="3352" t="e">
        <f t="shared" si="0"/>
        <v>#DIV/0!</v>
      </c>
      <c r="U6" s="1210"/>
      <c r="V6" s="3352" t="e">
        <f t="shared" si="1"/>
        <v>#DIV/0!</v>
      </c>
      <c r="W6" s="1213"/>
      <c r="X6" s="1213"/>
      <c r="Y6" s="1213"/>
      <c r="Z6" s="1213"/>
      <c r="AA6" s="1213"/>
      <c r="AB6" s="1213"/>
      <c r="AC6" s="2007"/>
      <c r="AD6" s="2008"/>
      <c r="AE6" s="2008"/>
      <c r="AF6" s="2008"/>
      <c r="AG6" s="2008"/>
      <c r="AH6" s="2008"/>
      <c r="AI6" s="2008"/>
      <c r="AJ6" s="2009"/>
    </row>
    <row r="7" spans="1:36" ht="24.75" thickBot="1">
      <c r="A7" s="3295" t="s">
        <v>3230</v>
      </c>
      <c r="B7" s="2017" t="s">
        <v>1952</v>
      </c>
      <c r="C7" s="752" t="e">
        <f>IF(C8="不临65条商业街",1,ROUND(1+(1.6*E8+1.2*E9+0.8*E10+0.4*E11)*C9,4))</f>
        <v>#DIV/0!</v>
      </c>
      <c r="D7" s="2018" t="s">
        <v>1953</v>
      </c>
      <c r="E7" s="773"/>
      <c r="F7" s="2019"/>
      <c r="G7" s="2020"/>
      <c r="H7" s="2020"/>
      <c r="I7" s="2020"/>
      <c r="J7" s="2021"/>
      <c r="K7" s="1381"/>
      <c r="L7" s="1999" t="s">
        <v>1954</v>
      </c>
      <c r="M7" s="861">
        <f>SUMPRODUCT((区片价!B190:B233=I2)*(区片价!C3:G3=E2)*(区片价!C190:G233))</f>
        <v>0</v>
      </c>
      <c r="N7" s="863">
        <f>SUMPRODUCT((因素修正幅度!B190:B233=I2)*(因素修正幅度!C3:G3=E2)*(因素修正幅度!C190:G233))</f>
        <v>0</v>
      </c>
      <c r="O7" s="1116"/>
      <c r="P7" s="1116"/>
      <c r="Q7" s="1116"/>
      <c r="R7" s="1209">
        <v>6</v>
      </c>
      <c r="S7" s="3410"/>
      <c r="T7" s="3352" t="e">
        <f t="shared" si="0"/>
        <v>#DIV/0!</v>
      </c>
      <c r="U7" s="1210"/>
      <c r="V7" s="3352"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0"/>
      <c r="B8" s="170" t="s">
        <v>1957</v>
      </c>
      <c r="C8" s="2022"/>
      <c r="D8" s="753" t="s">
        <v>112</v>
      </c>
      <c r="E8" s="754" t="e">
        <f>ROUND(C11/E7,4)</f>
        <v>#DIV/0!</v>
      </c>
      <c r="F8" s="2023" t="s">
        <v>1958</v>
      </c>
      <c r="G8" s="2024"/>
      <c r="H8" s="2024"/>
      <c r="I8" s="2024"/>
      <c r="J8" s="2025"/>
      <c r="K8" s="1116"/>
      <c r="L8" s="1999" t="s">
        <v>1959</v>
      </c>
      <c r="M8" s="861">
        <f>SUMPRODUCT((区片价!B234:B276=I2)*(区片价!C3:G3=E2)*(区片价!C234:G276))</f>
        <v>0</v>
      </c>
      <c r="N8" s="863">
        <f>SUMPRODUCT((因素修正幅度!B234:B276=I2)*(因素修正幅度!C3:G3=E2)*(因素修正幅度!C234:G276))</f>
        <v>0</v>
      </c>
      <c r="O8" s="1116"/>
      <c r="P8" s="1116"/>
      <c r="Q8" s="1116"/>
      <c r="R8" s="1209">
        <v>7</v>
      </c>
      <c r="S8" s="1210"/>
      <c r="T8" s="3352" t="e">
        <f t="shared" si="0"/>
        <v>#DIV/0!</v>
      </c>
      <c r="U8" s="1210"/>
      <c r="V8" s="3352" t="e">
        <f t="shared" si="1"/>
        <v>#DIV/0!</v>
      </c>
      <c r="W8" s="3764" t="s">
        <v>1960</v>
      </c>
      <c r="X8" s="3765"/>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0"/>
      <c r="B9" s="170" t="s">
        <v>1973</v>
      </c>
      <c r="C9" s="755">
        <f>SUMIF(修正!C71:C138,C8,修正!E71:E138)</f>
        <v>0</v>
      </c>
      <c r="D9" s="171" t="s">
        <v>113</v>
      </c>
      <c r="E9" s="171" t="e">
        <f>ROUND(C11/E7,4)</f>
        <v>#DIV/0!</v>
      </c>
      <c r="F9" s="2023" t="s">
        <v>1974</v>
      </c>
      <c r="G9" s="2024"/>
      <c r="H9" s="2024"/>
      <c r="I9" s="2024"/>
      <c r="J9" s="2025"/>
      <c r="K9" s="1116"/>
      <c r="L9" s="1999" t="s">
        <v>1975</v>
      </c>
      <c r="M9" s="861">
        <f>SUMPRODUCT((区片价!B277:B326=I2)*(区片价!C3:G3=E2)*(区片价!C277:G326))</f>
        <v>0</v>
      </c>
      <c r="N9" s="863">
        <f>SUMPRODUCT((因素修正幅度!B277:B326=I2)*(因素修正幅度!C3:G3=E2)*(因素修正幅度!C277:G326))</f>
        <v>0</v>
      </c>
      <c r="O9" s="1116"/>
      <c r="P9" s="1116"/>
      <c r="Q9" s="1116"/>
      <c r="R9" s="1209">
        <v>8</v>
      </c>
      <c r="S9" s="1210"/>
      <c r="T9" s="3352" t="e">
        <f t="shared" si="0"/>
        <v>#DIV/0!</v>
      </c>
      <c r="U9" s="1210"/>
      <c r="V9" s="3352" t="e">
        <f t="shared" si="1"/>
        <v>#DIV/0!</v>
      </c>
      <c r="W9" s="3766"/>
      <c r="X9" s="3353" t="s">
        <v>3261</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1976</v>
      </c>
      <c r="C10" s="171">
        <f>SUMIF(修正!C71:C138,C8,修正!F71:F138)</f>
        <v>0</v>
      </c>
      <c r="D10" s="171" t="s">
        <v>114</v>
      </c>
      <c r="E10" s="171" t="e">
        <f>ROUND(C11/E7,4)</f>
        <v>#DIV/0!</v>
      </c>
      <c r="F10" s="2023" t="s">
        <v>1977</v>
      </c>
      <c r="G10" s="2024"/>
      <c r="H10" s="2024"/>
      <c r="I10" s="2024"/>
      <c r="J10" s="2025"/>
      <c r="K10" s="1116"/>
      <c r="L10" s="1999"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2" t="e">
        <f t="shared" si="0"/>
        <v>#DIV/0!</v>
      </c>
      <c r="U10" s="1210"/>
      <c r="V10" s="3352" t="e">
        <f t="shared" si="1"/>
        <v>#DIV/0!</v>
      </c>
      <c r="W10" s="3766"/>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1979</v>
      </c>
      <c r="C11" s="756">
        <f>C10/4</f>
        <v>0</v>
      </c>
      <c r="D11" s="756" t="s">
        <v>115</v>
      </c>
      <c r="E11" s="756" t="e">
        <f>ROUND(C11/E7,4)</f>
        <v>#DIV/0!</v>
      </c>
      <c r="F11" s="2027" t="s">
        <v>1980</v>
      </c>
      <c r="G11" s="2028"/>
      <c r="H11" s="2028"/>
      <c r="I11" s="2028"/>
      <c r="J11" s="2029"/>
      <c r="K11" s="1116"/>
      <c r="L11" s="1999"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3231</v>
      </c>
      <c r="B12" s="3296" t="s">
        <v>3232</v>
      </c>
      <c r="C12" s="3297"/>
      <c r="D12" s="3298" t="s">
        <v>3233</v>
      </c>
      <c r="E12" s="3299" t="s">
        <v>3234</v>
      </c>
      <c r="F12" s="3300"/>
      <c r="G12" s="3301"/>
      <c r="H12" s="3301"/>
      <c r="I12" s="3301"/>
      <c r="J12" s="3302"/>
      <c r="K12" s="1116"/>
      <c r="L12" s="2035"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3235</v>
      </c>
      <c r="B13" s="2030" t="s">
        <v>1982</v>
      </c>
      <c r="C13" s="752">
        <f>ROUND(C16*D16*E16*F16*G16*H16*I16*J16,4)</f>
        <v>0</v>
      </c>
      <c r="D13" s="2031" t="s">
        <v>1983</v>
      </c>
      <c r="E13" s="2032"/>
      <c r="F13" s="2032"/>
      <c r="G13" s="2033"/>
      <c r="H13" s="2033"/>
      <c r="I13" s="2033"/>
      <c r="J13" s="2034"/>
      <c r="K13" s="1116"/>
      <c r="L13" s="3291"/>
      <c r="M13" s="3292"/>
      <c r="N13" s="3293"/>
      <c r="O13" s="1116"/>
      <c r="P13" s="1116"/>
      <c r="Q13" s="1116"/>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6" t="s">
        <v>1985</v>
      </c>
      <c r="C14" s="2037" t="s">
        <v>1986</v>
      </c>
      <c r="D14" s="1347" t="s">
        <v>1987</v>
      </c>
      <c r="E14" s="27" t="s">
        <v>1988</v>
      </c>
      <c r="F14" s="3303" t="s">
        <v>3236</v>
      </c>
      <c r="G14" s="3303" t="s">
        <v>3236</v>
      </c>
      <c r="H14" s="3303" t="s">
        <v>3236</v>
      </c>
      <c r="I14" s="3303" t="s">
        <v>3236</v>
      </c>
      <c r="J14" s="3303" t="s">
        <v>3236</v>
      </c>
      <c r="K14" s="1116"/>
      <c r="L14" s="1116"/>
      <c r="M14" s="1116"/>
      <c r="N14" s="1116"/>
      <c r="O14" s="1116"/>
      <c r="P14" s="1116"/>
      <c r="Q14" s="1116"/>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8"/>
      <c r="C15" s="2039"/>
      <c r="D15" s="2040"/>
      <c r="E15" s="2041"/>
      <c r="F15" s="3304" t="s">
        <v>3237</v>
      </c>
      <c r="G15" s="3305"/>
      <c r="H15" s="3306"/>
      <c r="I15" s="3307"/>
      <c r="J15" s="3308"/>
      <c r="K15" s="1116"/>
      <c r="L15" s="1116"/>
      <c r="M15" s="1116"/>
      <c r="N15" s="1116"/>
      <c r="O15" s="1116"/>
      <c r="P15" s="1116"/>
      <c r="Q15" s="1116"/>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1989</v>
      </c>
      <c r="C16" s="3309"/>
      <c r="D16" s="3309"/>
      <c r="E16" s="3309"/>
      <c r="F16" s="3309">
        <v>1</v>
      </c>
      <c r="G16" s="3309">
        <v>1</v>
      </c>
      <c r="H16" s="3309">
        <v>1</v>
      </c>
      <c r="I16" s="3309">
        <v>1</v>
      </c>
      <c r="J16" s="3310">
        <v>1</v>
      </c>
      <c r="K16" s="1116"/>
      <c r="L16" s="1993"/>
      <c r="M16" s="1993"/>
      <c r="N16" s="1993"/>
      <c r="O16" s="1993"/>
      <c r="P16" s="1993"/>
      <c r="Q16" s="1116"/>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3238</v>
      </c>
      <c r="B17" s="3312" t="s">
        <v>3239</v>
      </c>
      <c r="C17" s="3322">
        <f>ROUND(IF(OR(E2="工业",E2="公共服务"),1,IF(AND(E18=0,E19=0),1,IF(AND(E18=J24,E19=G19),0.8,IF(E19=0,1+E17*(-0.2),1+E17*G17*(-0.2))))),4)</f>
        <v>1</v>
      </c>
      <c r="D17" s="3313" t="s">
        <v>3240</v>
      </c>
      <c r="E17" s="3322" t="e">
        <f>ROUND(G18/I18,2)</f>
        <v>#DIV/0!</v>
      </c>
      <c r="F17" s="3313" t="s">
        <v>3243</v>
      </c>
      <c r="G17" s="3322" t="e">
        <f>ROUND(E19/G19,2)</f>
        <v>#DIV/0!</v>
      </c>
      <c r="H17" s="3322"/>
      <c r="I17" s="3322"/>
      <c r="J17" s="3323"/>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4"/>
      <c r="B18" s="3001"/>
      <c r="C18" s="3319"/>
      <c r="D18" s="3314" t="s">
        <v>3241</v>
      </c>
      <c r="E18" s="3320"/>
      <c r="F18" s="3315" t="s">
        <v>3244</v>
      </c>
      <c r="G18" s="3319">
        <f>ROUND(1-(1/(POWER(1+G24,E18))),4)</f>
        <v>0</v>
      </c>
      <c r="H18" s="3315" t="s">
        <v>3246</v>
      </c>
      <c r="I18" s="3319">
        <f>ROUND(1-(1/(POWER(1+G24,J24))),4)</f>
        <v>0</v>
      </c>
      <c r="J18" s="3325"/>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79"/>
    </row>
    <row r="19" spans="1:37" s="2010" customFormat="1" ht="15" thickBot="1">
      <c r="A19" s="3326"/>
      <c r="B19" s="3327"/>
      <c r="C19" s="3328"/>
      <c r="D19" s="3328" t="s">
        <v>3242</v>
      </c>
      <c r="E19" s="3329"/>
      <c r="F19" s="3330" t="s">
        <v>3245</v>
      </c>
      <c r="G19" s="3329"/>
      <c r="H19" s="3328"/>
      <c r="I19" s="3328"/>
      <c r="J19" s="3331"/>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2"/>
      <c r="AH19" s="2137"/>
      <c r="AI19" s="2783"/>
      <c r="AJ19" s="2783"/>
      <c r="AK19" s="2053"/>
    </row>
    <row r="20" spans="1:37" s="2010" customFormat="1" ht="14.25">
      <c r="A20" s="3771" t="s">
        <v>3247</v>
      </c>
      <c r="B20" s="167" t="s">
        <v>1994</v>
      </c>
      <c r="C20" s="3316" t="e">
        <f>ROUND(IF(F21="与级别开发程度一致",0,(G21-E21)/C21),0)</f>
        <v>#DIV/0!</v>
      </c>
      <c r="D20" s="3332" t="s">
        <v>1998</v>
      </c>
      <c r="E20" s="3333"/>
      <c r="F20" s="3777" t="s">
        <v>1995</v>
      </c>
      <c r="G20" s="3778"/>
      <c r="H20" s="3317"/>
      <c r="I20" s="3317"/>
      <c r="J20" s="3318"/>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79"/>
      <c r="AH20" s="2779"/>
      <c r="AI20" s="2779"/>
      <c r="AJ20" s="2779"/>
    </row>
    <row r="21" spans="1:37" s="2010" customFormat="1" ht="15" thickBot="1">
      <c r="A21" s="3772"/>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79"/>
      <c r="R21" s="1121"/>
      <c r="S21" s="1121"/>
      <c r="T21" s="1117"/>
      <c r="U21" s="1117"/>
      <c r="V21" s="1117"/>
      <c r="W21" s="1116"/>
      <c r="X21" s="1116"/>
      <c r="Y21" s="1116"/>
      <c r="Z21" s="1122"/>
      <c r="AA21" s="1122"/>
      <c r="AB21" s="1122"/>
      <c r="AC21" s="1122"/>
      <c r="AD21" s="1122"/>
      <c r="AE21" s="1122"/>
      <c r="AF21" s="1122"/>
      <c r="AG21" s="2779"/>
      <c r="AH21" s="2779"/>
      <c r="AI21" s="2779"/>
      <c r="AJ21" s="2779"/>
    </row>
    <row r="22" spans="1:37" s="2010" customFormat="1" ht="15.75" thickBot="1">
      <c r="A22" s="2154" t="s">
        <v>363</v>
      </c>
      <c r="B22" s="2155" t="s">
        <v>2000</v>
      </c>
      <c r="C22" s="2156">
        <f>SUMIF(修正!C20:C51,E3,修正!E20:E51)</f>
        <v>0</v>
      </c>
      <c r="D22" s="2157"/>
      <c r="E22" s="2158"/>
      <c r="F22" s="2158"/>
      <c r="G22" s="2158"/>
      <c r="H22" s="2158"/>
      <c r="I22" s="2158"/>
      <c r="J22" s="2159"/>
      <c r="K22" s="1122"/>
      <c r="L22" s="2779"/>
      <c r="M22" s="2779"/>
      <c r="N22" s="2779"/>
      <c r="O22" s="1120"/>
      <c r="P22" s="1120"/>
      <c r="Q22" s="2779"/>
      <c r="R22" s="1121"/>
      <c r="S22" s="1121"/>
      <c r="T22" s="1117"/>
      <c r="U22" s="1117"/>
      <c r="V22" s="1117"/>
      <c r="W22" s="1116"/>
      <c r="X22" s="1116"/>
      <c r="Y22" s="1116"/>
      <c r="Z22" s="1122"/>
      <c r="AA22" s="1122"/>
      <c r="AB22" s="1122"/>
      <c r="AC22" s="1122"/>
      <c r="AD22" s="1122"/>
      <c r="AE22" s="1122"/>
      <c r="AF22" s="1122"/>
      <c r="AG22" s="2779"/>
      <c r="AH22" s="2779"/>
      <c r="AI22" s="2779"/>
      <c r="AJ22" s="2779"/>
    </row>
    <row r="23" spans="1:37" ht="26.25" thickBot="1">
      <c r="A23" s="2046" t="s">
        <v>364</v>
      </c>
      <c r="B23" s="2047"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58">
        <v>44197</v>
      </c>
      <c r="F23" s="2050" t="s">
        <v>2003</v>
      </c>
      <c r="G23" s="759">
        <f>'数据-取费表'!B2</f>
        <v>45076</v>
      </c>
      <c r="H23" s="3334" t="s">
        <v>3249</v>
      </c>
      <c r="I23" s="3335" t="str">
        <f>IF(H23="季度增幅（自定义）",SUMIF(N25:N28,E2,O25:O28),"")</f>
        <v/>
      </c>
      <c r="J23" s="3437" t="s">
        <v>3248</v>
      </c>
      <c r="K23" s="1122"/>
      <c r="L23" s="2051" t="s">
        <v>2004</v>
      </c>
      <c r="M23" s="1325">
        <f>ROUND(SUMIF(地价!B2:G2,E2,地价!B16:G16),0)</f>
        <v>0</v>
      </c>
      <c r="N23" s="2052" t="s">
        <v>2005</v>
      </c>
      <c r="O23" s="760">
        <f>ROUNDDOWN(DATEDIF(E23,G23,"M")/3,0)</f>
        <v>9</v>
      </c>
      <c r="P23" s="1119"/>
      <c r="Q23" s="2779"/>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1" t="e">
        <f>ROUND(POWER(1+G24,J24-I24)*(POWER(1+G24,I24)-1)/(POWER(1+G24,J24)-1),4)</f>
        <v>#DIV/0!</v>
      </c>
      <c r="D24" s="2056" t="s">
        <v>2007</v>
      </c>
      <c r="E24" s="1332">
        <f>存贷款利率!E22/100</f>
        <v>4.3499999999999997E-2</v>
      </c>
      <c r="F24" s="2056" t="s">
        <v>1999</v>
      </c>
      <c r="G24" s="765">
        <f>SUMIF(M30:Q30,E2,M33:Q33)</f>
        <v>0</v>
      </c>
      <c r="H24" s="2056" t="s">
        <v>2008</v>
      </c>
      <c r="I24" s="766" t="e">
        <f>SUMIF('数据-取费表'!C6:C15,E2,'数据-取费表'!F6:F15)/COUNTIF('数据-取费表'!C6:C15,E2)</f>
        <v>#DIV/0!</v>
      </c>
      <c r="J24" s="767">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79"/>
      <c r="AH24" s="2779"/>
      <c r="AI24" s="2779"/>
      <c r="AJ24" s="2779"/>
    </row>
    <row r="25" spans="1:37" ht="15">
      <c r="A25" s="2061" t="s">
        <v>366</v>
      </c>
      <c r="B25" s="2062" t="s">
        <v>3328</v>
      </c>
      <c r="C25" s="768">
        <f>IF(B25="容积率修正",IF(G3&lt;10,D26,J26),C27)</f>
        <v>0</v>
      </c>
      <c r="D25" s="2063"/>
      <c r="E25" s="2063"/>
      <c r="F25" s="2063"/>
      <c r="G25" s="2063"/>
      <c r="H25" s="2063"/>
      <c r="I25" s="2063"/>
      <c r="J25" s="2064"/>
      <c r="K25" s="1122"/>
      <c r="L25" s="2779"/>
      <c r="M25" s="2779"/>
      <c r="N25" s="2065" t="s">
        <v>2013</v>
      </c>
      <c r="O25" s="1170"/>
      <c r="P25" s="1171">
        <f>SUMPRODUCT((地价!A3:A40=YEAR(G23)&amp;"-"&amp;ROUNDUP(MONTH(G23)/3,0))*(地价!AD2:AH2=N25)*(地价!AD3:AH40))</f>
        <v>0</v>
      </c>
      <c r="Q25" s="2779"/>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6" t="s">
        <v>3250</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3251</v>
      </c>
      <c r="J26" s="769" t="str">
        <f>IF(G3&gt;=10,D115,"——")</f>
        <v>——</v>
      </c>
      <c r="K26" s="1122"/>
      <c r="L26" s="2779"/>
      <c r="M26" s="2779"/>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8">
        <f>ROUND(IF(I3&lt;6,SUMPRODUCT((B106:B110=I3)*(C105:N105=G2)*(C106:N110)),SUMIF(C105:N105,G2,C112:N112)),4)</f>
        <v>0</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7">
        <f>SUMIF(A47:A101,E2,B47:B101)</f>
        <v>0</v>
      </c>
      <c r="D28" s="2048"/>
      <c r="E28" s="2073"/>
      <c r="F28" s="2073"/>
      <c r="G28" s="2073"/>
      <c r="H28" s="2073"/>
      <c r="I28" s="2073"/>
      <c r="J28" s="2074"/>
      <c r="K28" s="1122"/>
      <c r="L28" s="2779"/>
      <c r="M28" s="2779"/>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2"/>
      <c r="D29" s="2020"/>
      <c r="E29" s="2020"/>
      <c r="F29" s="2077"/>
      <c r="G29" s="2020"/>
      <c r="H29" s="2020"/>
      <c r="I29" s="2020"/>
      <c r="J29" s="2021"/>
      <c r="K29" s="1116"/>
      <c r="L29" s="1993"/>
      <c r="M29" s="1993"/>
      <c r="N29" s="2776" t="s">
        <v>2023</v>
      </c>
      <c r="O29" s="2777"/>
      <c r="P29" s="2778">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t="e">
        <f>IF(B25="容积率修正",E33+SUM(E37:E42),SUM(V2:V16)+SUM(E37:E42))</f>
        <v>#DIV/0!</v>
      </c>
      <c r="D30" s="2079"/>
      <c r="E30" s="2042"/>
      <c r="F30" s="2080"/>
      <c r="G30" s="2042"/>
      <c r="H30" s="2042"/>
      <c r="I30" s="2042"/>
      <c r="J30" s="2081"/>
      <c r="K30" s="1116"/>
      <c r="L30" s="3342" t="s">
        <v>1936</v>
      </c>
      <c r="M30" s="3343" t="s">
        <v>1990</v>
      </c>
      <c r="N30" s="3343" t="s">
        <v>1991</v>
      </c>
      <c r="O30" s="3343" t="s">
        <v>1992</v>
      </c>
      <c r="P30" s="3343" t="s">
        <v>1993</v>
      </c>
      <c r="Q30" s="3346" t="s">
        <v>3255</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3" t="e">
        <f>E34+SUM(I37:I42)</f>
        <v>#DIV/0!</v>
      </c>
      <c r="D31" s="2083"/>
      <c r="E31" s="2084"/>
      <c r="F31" s="2085"/>
      <c r="G31" s="2084"/>
      <c r="H31" s="2084"/>
      <c r="I31" s="2084"/>
      <c r="J31" s="2086"/>
      <c r="K31" s="1116"/>
      <c r="L31" s="3344" t="s">
        <v>1996</v>
      </c>
      <c r="M31" s="1996">
        <v>0.25</v>
      </c>
      <c r="N31" s="1996">
        <v>0.2</v>
      </c>
      <c r="O31" s="1996">
        <v>0.15</v>
      </c>
      <c r="P31" s="1996">
        <v>0.1</v>
      </c>
      <c r="Q31" s="3339">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5" t="s">
        <v>1999</v>
      </c>
      <c r="M32" s="2561">
        <f>ROUND($E$24*(1+M31),3)</f>
        <v>5.3999999999999999E-2</v>
      </c>
      <c r="N32" s="2561">
        <f>ROUND($E$24*(1+N31),3)</f>
        <v>5.1999999999999998E-2</v>
      </c>
      <c r="O32" s="2561">
        <f>ROUND($E$24*(1+O31),3)</f>
        <v>0.05</v>
      </c>
      <c r="P32" s="2561">
        <f>ROUND($E$24*(1+P31),3)</f>
        <v>4.8000000000000001E-2</v>
      </c>
      <c r="Q32" s="3347">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t="e">
        <f>ROUND(C5*C22*C23*C24*C25*C28,0)</f>
        <v>#DIV/0!</v>
      </c>
      <c r="D33" s="2094"/>
      <c r="E33" s="770" t="e">
        <f>ROUND(C33*D33/10000,0)</f>
        <v>#DIV/0!</v>
      </c>
      <c r="F33" s="3337" t="s">
        <v>3253</v>
      </c>
      <c r="G33" s="2095"/>
      <c r="H33" s="2095"/>
      <c r="I33" s="2095"/>
      <c r="J33" s="2096"/>
      <c r="K33" s="1116"/>
      <c r="L33" s="3340" t="s">
        <v>3256</v>
      </c>
      <c r="M33" s="3341">
        <v>5.5E-2</v>
      </c>
      <c r="N33" s="3341">
        <v>5.5E-2</v>
      </c>
      <c r="O33" s="3341">
        <v>0.05</v>
      </c>
      <c r="P33" s="3341">
        <v>0.05</v>
      </c>
      <c r="Q33" s="3341">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t="e">
        <f>ROUND(IF(E2="工业",C33*M42,IF(B25="楼层修正",SUM(V2:V16)*M41*10000/D34,C33*M41)),0)</f>
        <v>#DIV/0!</v>
      </c>
      <c r="D34" s="2099"/>
      <c r="E34" s="770" t="e">
        <f>ROUND(IF(B25="楼层修正",SUM(V2:V16)*M40,C34*D34/10000),0)</f>
        <v>#DIV/0!</v>
      </c>
      <c r="F34" s="2100" t="s">
        <v>2032</v>
      </c>
      <c r="G34" s="2101"/>
      <c r="H34" s="2101"/>
      <c r="I34" s="2101"/>
      <c r="J34" s="2102"/>
      <c r="K34" s="1116"/>
      <c r="L34" s="3340" t="s">
        <v>3257</v>
      </c>
      <c r="M34" s="3341">
        <v>6.5000000000000002E-2</v>
      </c>
      <c r="N34" s="3341">
        <v>6.5000000000000002E-2</v>
      </c>
      <c r="O34" s="3341">
        <v>0.06</v>
      </c>
      <c r="P34" s="3341">
        <v>0.06</v>
      </c>
      <c r="Q34" s="3341">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38" t="s">
        <v>3254</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8" t="s">
        <v>2027</v>
      </c>
      <c r="D36" s="445" t="s">
        <v>2028</v>
      </c>
      <c r="E36" s="445" t="s">
        <v>2029</v>
      </c>
      <c r="F36" s="342" t="s">
        <v>2035</v>
      </c>
      <c r="G36" s="2108" t="s">
        <v>2027</v>
      </c>
      <c r="H36" s="2108" t="s">
        <v>2028</v>
      </c>
      <c r="I36" s="2108" t="s">
        <v>2029</v>
      </c>
      <c r="J36" s="243"/>
      <c r="K36" s="3348" t="s">
        <v>3258</v>
      </c>
      <c r="L36" s="3438">
        <f ca="1">'数据-取费表'!B40</f>
        <v>4.1499999999999995E-2</v>
      </c>
      <c r="M36" s="3349">
        <f ca="1">ROUND($L$36*(1+M31),3)</f>
        <v>5.1999999999999998E-2</v>
      </c>
      <c r="N36" s="3349">
        <f ca="1">ROUND($L$36*(1+N31),3)</f>
        <v>0.05</v>
      </c>
      <c r="O36" s="3349">
        <f ca="1">ROUND($L$36*(1+O31),3)</f>
        <v>4.8000000000000001E-2</v>
      </c>
      <c r="P36" s="3349">
        <f ca="1">ROUND($L$36*(1+P31),3)</f>
        <v>4.5999999999999999E-2</v>
      </c>
      <c r="Q36" s="3349">
        <f ca="1">ROUND($L$36*(1+Q31),3)</f>
        <v>4.8000000000000001E-2</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75"/>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3"/>
      <c r="K37" s="3350" t="s">
        <v>3259</v>
      </c>
      <c r="L37" s="3348">
        <f ca="1">L36+K38</f>
        <v>4.6499999999999993E-2</v>
      </c>
      <c r="M37" s="3349">
        <f ca="1">ROUND($L$37*(1+M31),3)</f>
        <v>5.8000000000000003E-2</v>
      </c>
      <c r="N37" s="3349">
        <f t="shared" ref="N37:Q37" ca="1" si="3">ROUND($L$37*(1+N31),3)</f>
        <v>5.6000000000000001E-2</v>
      </c>
      <c r="O37" s="3349">
        <f t="shared" ca="1" si="3"/>
        <v>5.2999999999999999E-2</v>
      </c>
      <c r="P37" s="3349">
        <f t="shared" ca="1" si="3"/>
        <v>5.0999999999999997E-2</v>
      </c>
      <c r="Q37" s="3349">
        <f t="shared" ca="1" si="3"/>
        <v>5.2999999999999999E-2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76"/>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6"/>
      <c r="S38" s="1116"/>
      <c r="T38" s="1116"/>
      <c r="U38" s="1116"/>
      <c r="V38" s="1116"/>
      <c r="W38" s="1116"/>
      <c r="X38" s="1116"/>
      <c r="Y38" s="1116"/>
      <c r="Z38" s="1117"/>
      <c r="AA38" s="1117"/>
      <c r="AB38" s="1117"/>
      <c r="AC38" s="1117"/>
      <c r="AD38" s="1117"/>
    </row>
    <row r="39" spans="1:37" ht="13.5" thickBot="1">
      <c r="A39" s="3776"/>
      <c r="B39" s="2037" t="s">
        <v>3252</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2"/>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1" t="s">
        <v>3260</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t="e">
        <f>ROUND(D5*C22*C23*C44*C28*F42,0)</f>
        <v>#DIV/0!</v>
      </c>
      <c r="D42" s="2099"/>
      <c r="E42" s="187" t="e">
        <f t="shared" si="4"/>
        <v>#DIV/0!</v>
      </c>
      <c r="F42" s="764">
        <f>SUMIF(修正!A57:A68,G2,修正!G57:G68)</f>
        <v>0</v>
      </c>
      <c r="G42" s="187" t="e">
        <f>ROUND(IF(E2="工业",C42*$M$42,C42*$M$41),0)</f>
        <v>#DIV/0!</v>
      </c>
      <c r="H42" s="187">
        <f t="shared" si="5"/>
        <v>0</v>
      </c>
      <c r="I42" s="187" t="e">
        <f t="shared" si="6"/>
        <v>#DIV/0!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2122</v>
      </c>
      <c r="C44" s="342" t="e">
        <f>ROUND(POWER(1+E44,H44-G44)*(POWER(1+E44,G44)-1)/(POWER(1+E44,H44)-1),4)</f>
        <v>#DIV/0!</v>
      </c>
      <c r="D44" s="171" t="s">
        <v>1999</v>
      </c>
      <c r="E44" s="2149">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2" t="s">
        <v>2043</v>
      </c>
      <c r="B48" s="2123">
        <f>1+E50</f>
        <v>1</v>
      </c>
      <c r="C48" s="2124"/>
      <c r="D48" s="738"/>
      <c r="E48" s="739"/>
      <c r="F48" s="2125"/>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6" t="s">
        <v>2044</v>
      </c>
      <c r="B49" s="1348" t="s">
        <v>2045</v>
      </c>
      <c r="C49" s="1348" t="s">
        <v>2046</v>
      </c>
      <c r="D49" s="1348" t="s">
        <v>2047</v>
      </c>
      <c r="E49" s="740" t="s">
        <v>2048</v>
      </c>
      <c r="F49" s="2127" t="s">
        <v>2049</v>
      </c>
      <c r="G49" s="1348" t="s">
        <v>310</v>
      </c>
      <c r="H49" s="2128"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24.75">
      <c r="A50" s="2126" t="s">
        <v>2052</v>
      </c>
      <c r="B50" s="2129" t="str">
        <f>估价对象房地状况!C4</f>
        <v>好</v>
      </c>
      <c r="C50" s="2040"/>
      <c r="D50" s="1062">
        <f t="shared" ref="D50:D58" si="7">SUMIF($J$49:$N$49,C50,J50:N50)</f>
        <v>0</v>
      </c>
      <c r="E50" s="741">
        <f>ROUND(SUM(D50:D58),4)</f>
        <v>0</v>
      </c>
      <c r="F50" s="1811" t="str">
        <f>IF(E2="商业",SUMIF(L1:L12,G2,N1:N12),"——")</f>
        <v>——</v>
      </c>
      <c r="G50" s="1060"/>
      <c r="H50" s="1063" t="str">
        <f t="shared" ref="H50:H58" si="8">IFERROR(ROUNDDOWN($F$50*I50/2,4),"——")</f>
        <v>——</v>
      </c>
      <c r="I50" s="3358">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26" t="s">
        <v>2053</v>
      </c>
      <c r="B51" s="2130" t="str">
        <f>估价对象房地状况!C18</f>
        <v>较好</v>
      </c>
      <c r="C51" s="2040"/>
      <c r="D51" s="1062">
        <f t="shared" si="7"/>
        <v>0</v>
      </c>
      <c r="E51" s="742"/>
      <c r="F51" s="1811"/>
      <c r="G51" s="1060"/>
      <c r="H51" s="1063" t="str">
        <f t="shared" si="8"/>
        <v>——</v>
      </c>
      <c r="I51" s="3358">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0" t="s">
        <v>3262</v>
      </c>
      <c r="B52" s="2130" t="str">
        <f>估价对象房地状况!C19</f>
        <v>较好</v>
      </c>
      <c r="C52" s="2040"/>
      <c r="D52" s="1062">
        <f t="shared" si="7"/>
        <v>0</v>
      </c>
      <c r="E52" s="742"/>
      <c r="F52" s="1811"/>
      <c r="G52" s="1060"/>
      <c r="H52" s="1063" t="str">
        <f t="shared" si="8"/>
        <v>——</v>
      </c>
      <c r="I52" s="3358">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6" t="s">
        <v>2054</v>
      </c>
      <c r="B53" s="2131" t="s">
        <v>2055</v>
      </c>
      <c r="C53" s="2040"/>
      <c r="D53" s="1062">
        <f t="shared" si="7"/>
        <v>0</v>
      </c>
      <c r="E53" s="742"/>
      <c r="F53" s="1811"/>
      <c r="G53" s="1060"/>
      <c r="H53" s="1063" t="str">
        <f t="shared" si="8"/>
        <v>——</v>
      </c>
      <c r="I53" s="3358">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c r="D54" s="1062">
        <f t="shared" si="7"/>
        <v>0</v>
      </c>
      <c r="E54" s="742"/>
      <c r="F54" s="1811"/>
      <c r="G54" s="1060"/>
      <c r="H54" s="1063" t="str">
        <f t="shared" si="8"/>
        <v>——</v>
      </c>
      <c r="I54" s="3358">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6" t="s">
        <v>2057</v>
      </c>
      <c r="B55" s="2132" t="s">
        <v>2058</v>
      </c>
      <c r="C55" s="2040"/>
      <c r="D55" s="1062">
        <f t="shared" si="7"/>
        <v>0</v>
      </c>
      <c r="E55" s="742"/>
      <c r="F55" s="1811"/>
      <c r="G55" s="1060"/>
      <c r="H55" s="1063" t="str">
        <f t="shared" si="8"/>
        <v>——</v>
      </c>
      <c r="I55" s="3358">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33" t="s">
        <v>2059</v>
      </c>
      <c r="B56" s="1323" t="str">
        <f>估价对象房地状况!C21</f>
        <v>较好</v>
      </c>
      <c r="C56" s="2040"/>
      <c r="D56" s="1062">
        <f t="shared" si="7"/>
        <v>0</v>
      </c>
      <c r="E56" s="742"/>
      <c r="F56" s="1811"/>
      <c r="G56" s="1060"/>
      <c r="H56" s="1063" t="str">
        <f t="shared" si="8"/>
        <v>——</v>
      </c>
      <c r="I56" s="3358">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33" t="s">
        <v>2060</v>
      </c>
      <c r="B57" s="2130" t="str">
        <f>估价对象房地状况!C22</f>
        <v>七通</v>
      </c>
      <c r="C57" s="2040"/>
      <c r="D57" s="1062">
        <f t="shared" si="7"/>
        <v>0</v>
      </c>
      <c r="E57" s="742"/>
      <c r="F57" s="1811"/>
      <c r="G57" s="1060"/>
      <c r="H57" s="1063" t="str">
        <f t="shared" si="8"/>
        <v>——</v>
      </c>
      <c r="I57" s="3358">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34" t="s">
        <v>2061</v>
      </c>
      <c r="B58" s="2135" t="str">
        <f>估价对象房地状况!C20</f>
        <v>较好</v>
      </c>
      <c r="C58" s="2040"/>
      <c r="D58" s="1062">
        <f t="shared" si="7"/>
        <v>0</v>
      </c>
      <c r="E58" s="743"/>
      <c r="F58" s="1811"/>
      <c r="G58" s="1060"/>
      <c r="H58" s="1063" t="str">
        <f t="shared" si="8"/>
        <v>——</v>
      </c>
      <c r="I58" s="3359">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2" t="s">
        <v>2062</v>
      </c>
      <c r="B59" s="2123">
        <f>1+E61</f>
        <v>1</v>
      </c>
      <c r="C59" s="738"/>
      <c r="D59" s="738"/>
      <c r="E59" s="739"/>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0" t="s">
        <v>2048</v>
      </c>
      <c r="F60" s="2127" t="s">
        <v>2063</v>
      </c>
      <c r="G60" s="1348" t="s">
        <v>310</v>
      </c>
      <c r="H60" s="2128"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24">
      <c r="A61" s="2126" t="s">
        <v>2064</v>
      </c>
      <c r="B61" s="2129" t="str">
        <f>估价对象房地状况!C17</f>
        <v>好</v>
      </c>
      <c r="C61" s="2040"/>
      <c r="D61" s="1062">
        <f t="shared" ref="D61:D69" si="12">SUMIF($J$60:$N$60,C61,J61:N61)</f>
        <v>0</v>
      </c>
      <c r="E61" s="741">
        <f>ROUND(SUM(D61:D69),4)</f>
        <v>0</v>
      </c>
      <c r="F61" s="1811" t="str">
        <f>IF(E2="办公",SUMIF(L1:L12,G2,N1:N12),"——")</f>
        <v>——</v>
      </c>
      <c r="G61" s="1060"/>
      <c r="H61" s="1063" t="str">
        <f t="shared" ref="H61:H69" si="13">IFERROR(ROUNDDOWN($F$61*I61/2,4),"——")</f>
        <v>——</v>
      </c>
      <c r="I61" s="3358">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26" t="s">
        <v>2053</v>
      </c>
      <c r="B62" s="2130" t="str">
        <f>估价对象房地状况!C18</f>
        <v>较好</v>
      </c>
      <c r="C62" s="2040"/>
      <c r="D62" s="1062">
        <f t="shared" si="12"/>
        <v>0</v>
      </c>
      <c r="E62" s="742"/>
      <c r="F62" s="1811"/>
      <c r="G62" s="1060"/>
      <c r="H62" s="1063" t="str">
        <f t="shared" si="13"/>
        <v>——</v>
      </c>
      <c r="I62" s="3358">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0" t="s">
        <v>3262</v>
      </c>
      <c r="B63" s="2130" t="str">
        <f>估价对象房地状况!C19</f>
        <v>较好</v>
      </c>
      <c r="C63" s="2040"/>
      <c r="D63" s="1062">
        <f t="shared" si="12"/>
        <v>0</v>
      </c>
      <c r="E63" s="742"/>
      <c r="F63" s="1811"/>
      <c r="G63" s="1060"/>
      <c r="H63" s="1063" t="str">
        <f t="shared" si="13"/>
        <v>——</v>
      </c>
      <c r="I63" s="3358">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2"/>
      <c r="F64" s="1811"/>
      <c r="G64" s="1060"/>
      <c r="H64" s="1063" t="str">
        <f t="shared" si="13"/>
        <v>——</v>
      </c>
      <c r="I64" s="3358">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2"/>
      <c r="F65" s="1811"/>
      <c r="G65" s="1060"/>
      <c r="H65" s="1063" t="str">
        <f t="shared" si="13"/>
        <v>——</v>
      </c>
      <c r="I65" s="3358">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2"/>
      <c r="F66" s="1811"/>
      <c r="G66" s="1060"/>
      <c r="H66" s="1063" t="str">
        <f t="shared" si="13"/>
        <v>——</v>
      </c>
      <c r="I66" s="3358">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26" t="s">
        <v>2059</v>
      </c>
      <c r="B67" s="1323" t="str">
        <f>估价对象房地状况!C21</f>
        <v>较好</v>
      </c>
      <c r="C67" s="2040"/>
      <c r="D67" s="1062">
        <f t="shared" si="12"/>
        <v>0</v>
      </c>
      <c r="E67" s="742"/>
      <c r="F67" s="1811"/>
      <c r="G67" s="1060"/>
      <c r="H67" s="1063" t="str">
        <f t="shared" si="13"/>
        <v>——</v>
      </c>
      <c r="I67" s="3358">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26" t="s">
        <v>2060</v>
      </c>
      <c r="B68" s="1323" t="str">
        <f>估价对象房地状况!C22</f>
        <v>七通</v>
      </c>
      <c r="C68" s="2040"/>
      <c r="D68" s="1062">
        <f t="shared" si="12"/>
        <v>0</v>
      </c>
      <c r="E68" s="742"/>
      <c r="F68" s="1811"/>
      <c r="G68" s="1060"/>
      <c r="H68" s="1063" t="str">
        <f t="shared" si="13"/>
        <v>——</v>
      </c>
      <c r="I68" s="3358">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34" t="s">
        <v>2061</v>
      </c>
      <c r="B69" s="2136" t="str">
        <f>估价对象房地状况!C20</f>
        <v>较好</v>
      </c>
      <c r="C69" s="2040"/>
      <c r="D69" s="1062">
        <f t="shared" si="12"/>
        <v>0</v>
      </c>
      <c r="E69" s="743"/>
      <c r="F69" s="1811"/>
      <c r="G69" s="1060"/>
      <c r="H69" s="1063" t="str">
        <f t="shared" si="13"/>
        <v>——</v>
      </c>
      <c r="I69" s="3359">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8"/>
      <c r="D70" s="738"/>
      <c r="E70" s="739"/>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0" t="s">
        <v>2048</v>
      </c>
      <c r="F71" s="2127" t="s">
        <v>2063</v>
      </c>
      <c r="G71" s="1348" t="s">
        <v>310</v>
      </c>
      <c r="H71" s="2128"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24">
      <c r="A72" s="2126" t="s">
        <v>2066</v>
      </c>
      <c r="B72" s="2129" t="str">
        <f>估价对象房地状况!C15</f>
        <v xml:space="preserve"> </v>
      </c>
      <c r="C72" s="2040"/>
      <c r="D72" s="1062">
        <f t="shared" ref="D72:D80" si="17">SUMIF($J$71:$N$71,C72,J72:N72)</f>
        <v>0</v>
      </c>
      <c r="E72" s="741">
        <f>ROUND(SUM(D72:D80),4)</f>
        <v>0</v>
      </c>
      <c r="F72" s="1811" t="str">
        <f>IF(E2="住宅",SUMIF(L1:L12,G2,N1:N12),"——")</f>
        <v>——</v>
      </c>
      <c r="G72" s="1060"/>
      <c r="H72" s="1063" t="str">
        <f t="shared" ref="H72:H80" si="18">IFERROR(ROUNDDOWN($F$72*I72/2,4),"——")</f>
        <v>——</v>
      </c>
      <c r="I72" s="3358">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26" t="s">
        <v>2053</v>
      </c>
      <c r="B73" s="2130" t="str">
        <f>估价对象房地状况!C18</f>
        <v>较好</v>
      </c>
      <c r="C73" s="2040"/>
      <c r="D73" s="1062">
        <f t="shared" si="17"/>
        <v>0</v>
      </c>
      <c r="E73" s="744"/>
      <c r="F73" s="1811"/>
      <c r="G73" s="1060"/>
      <c r="H73" s="1063" t="str">
        <f t="shared" si="18"/>
        <v>——</v>
      </c>
      <c r="I73" s="3358">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0" t="s">
        <v>3262</v>
      </c>
      <c r="B74" s="2130" t="str">
        <f>估价对象房地状况!C19</f>
        <v>较好</v>
      </c>
      <c r="C74" s="2040"/>
      <c r="D74" s="1062">
        <f t="shared" si="17"/>
        <v>0</v>
      </c>
      <c r="E74" s="744"/>
      <c r="F74" s="1811"/>
      <c r="G74" s="1060"/>
      <c r="H74" s="1063" t="str">
        <f t="shared" si="18"/>
        <v>——</v>
      </c>
      <c r="I74" s="3358">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4"/>
      <c r="F75" s="1811"/>
      <c r="G75" s="1060"/>
      <c r="H75" s="1063" t="str">
        <f t="shared" si="18"/>
        <v>——</v>
      </c>
      <c r="I75" s="3358">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4">
      <c r="A76" s="2126" t="s">
        <v>2059</v>
      </c>
      <c r="B76" s="1323" t="str">
        <f>估价对象房地状况!C21</f>
        <v>较好</v>
      </c>
      <c r="C76" s="2040"/>
      <c r="D76" s="1062">
        <f t="shared" si="17"/>
        <v>0</v>
      </c>
      <c r="E76" s="744"/>
      <c r="F76" s="1811"/>
      <c r="G76" s="1060"/>
      <c r="H76" s="1063" t="str">
        <f t="shared" si="18"/>
        <v>——</v>
      </c>
      <c r="I76" s="3358">
        <v>0.08</v>
      </c>
      <c r="J76" s="1061">
        <f t="shared" si="19"/>
        <v>0</v>
      </c>
      <c r="K76" s="1061">
        <f t="shared" si="20"/>
        <v>0</v>
      </c>
      <c r="L76" s="1061">
        <v>0</v>
      </c>
      <c r="M76" s="1061">
        <f t="shared" si="21"/>
        <v>0</v>
      </c>
      <c r="N76" s="1061">
        <f t="shared" si="21"/>
        <v>0</v>
      </c>
      <c r="O76" s="1116"/>
      <c r="P76" s="1116"/>
      <c r="Z76" s="1994"/>
      <c r="AA76" s="2049"/>
      <c r="AG76" s="1118"/>
      <c r="AK76" s="2049"/>
    </row>
    <row r="77" spans="1:37" ht="24">
      <c r="A77" s="2126" t="s">
        <v>2060</v>
      </c>
      <c r="B77" s="1323" t="str">
        <f>估价对象房地状况!C22</f>
        <v>七通</v>
      </c>
      <c r="C77" s="2040"/>
      <c r="D77" s="1062">
        <f t="shared" si="17"/>
        <v>0</v>
      </c>
      <c r="E77" s="744"/>
      <c r="F77" s="1811"/>
      <c r="G77" s="1060"/>
      <c r="H77" s="1063" t="str">
        <f t="shared" si="18"/>
        <v>——</v>
      </c>
      <c r="I77" s="3358">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4"/>
      <c r="F78" s="1811"/>
      <c r="G78" s="1060"/>
      <c r="H78" s="1063" t="str">
        <f t="shared" si="18"/>
        <v>——</v>
      </c>
      <c r="I78" s="3358">
        <v>0.05</v>
      </c>
      <c r="J78" s="1061">
        <f t="shared" si="19"/>
        <v>0</v>
      </c>
      <c r="K78" s="1061">
        <f t="shared" si="20"/>
        <v>0</v>
      </c>
      <c r="L78" s="1061">
        <v>0</v>
      </c>
      <c r="M78" s="1061">
        <f t="shared" si="21"/>
        <v>0</v>
      </c>
      <c r="N78" s="1061">
        <f t="shared" si="21"/>
        <v>0</v>
      </c>
      <c r="O78" s="1993"/>
      <c r="P78" s="1993"/>
      <c r="Z78" s="1994"/>
      <c r="AA78" s="2049"/>
      <c r="AG78" s="1118"/>
      <c r="AK78" s="2049"/>
    </row>
    <row r="79" spans="1:37" ht="24">
      <c r="A79" s="2126" t="s">
        <v>2061</v>
      </c>
      <c r="B79" s="2129" t="str">
        <f>估价对象房地状况!C20</f>
        <v>较好</v>
      </c>
      <c r="C79" s="2040"/>
      <c r="D79" s="1062">
        <f t="shared" si="17"/>
        <v>0</v>
      </c>
      <c r="E79" s="744"/>
      <c r="F79" s="1811"/>
      <c r="G79" s="1060"/>
      <c r="H79" s="1063" t="str">
        <f t="shared" si="18"/>
        <v>——</v>
      </c>
      <c r="I79" s="3358">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5"/>
      <c r="F80" s="1811"/>
      <c r="G80" s="1060"/>
      <c r="H80" s="1063" t="str">
        <f t="shared" si="18"/>
        <v>——</v>
      </c>
      <c r="I80" s="3359">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8"/>
      <c r="D81" s="738"/>
      <c r="E81" s="739"/>
      <c r="F81" s="2125"/>
      <c r="G81" s="3"/>
      <c r="H81" s="3"/>
      <c r="I81" s="3"/>
      <c r="J81" s="4"/>
      <c r="K81" s="4"/>
      <c r="L81" s="4"/>
      <c r="M81" s="4"/>
      <c r="N81" s="4"/>
      <c r="Z81" s="1994"/>
      <c r="AA81" s="2049"/>
      <c r="AG81" s="1118"/>
      <c r="AK81" s="2049"/>
    </row>
    <row r="82" spans="1:37" ht="24.75">
      <c r="A82" s="2126" t="s">
        <v>2044</v>
      </c>
      <c r="B82" s="1348"/>
      <c r="C82" s="1348" t="s">
        <v>2046</v>
      </c>
      <c r="D82" s="1348" t="s">
        <v>2047</v>
      </c>
      <c r="E82" s="740" t="s">
        <v>2048</v>
      </c>
      <c r="F82" s="2127" t="s">
        <v>2063</v>
      </c>
      <c r="G82" s="1348" t="s">
        <v>310</v>
      </c>
      <c r="H82" s="2128" t="s">
        <v>2050</v>
      </c>
      <c r="I82" s="1348" t="s">
        <v>2051</v>
      </c>
      <c r="J82" s="550" t="s">
        <v>1721</v>
      </c>
      <c r="K82" s="550" t="s">
        <v>1722</v>
      </c>
      <c r="L82" s="550" t="s">
        <v>1723</v>
      </c>
      <c r="M82" s="550" t="s">
        <v>1724</v>
      </c>
      <c r="N82" s="550" t="s">
        <v>1725</v>
      </c>
      <c r="Z82" s="1994"/>
      <c r="AA82" s="2049"/>
      <c r="AG82" s="1118"/>
      <c r="AK82" s="2049"/>
    </row>
    <row r="83" spans="1:37" ht="24">
      <c r="A83" s="2126" t="s">
        <v>2070</v>
      </c>
      <c r="B83" s="2130" t="str">
        <f>估价对象房地状况!G15</f>
        <v>较好</v>
      </c>
      <c r="C83" s="2040"/>
      <c r="D83" s="1062">
        <f t="shared" ref="D83:D90" si="22">SUMIF($J$82:$N$82,C83,J83:N83)</f>
        <v>0</v>
      </c>
      <c r="E83" s="741">
        <f>ROUND(SUM(D83:D90),4)</f>
        <v>0</v>
      </c>
      <c r="F83" s="1811" t="str">
        <f>IF(E2="工业",SUMIF(L1:L12,G2,N1:N12),"——")</f>
        <v>——</v>
      </c>
      <c r="G83" s="1060"/>
      <c r="H83" s="1063" t="str">
        <f t="shared" ref="H83:H90" si="23">IFERROR(ROUNDDOWN($F$83*I83/2,4),"——")</f>
        <v>——</v>
      </c>
      <c r="I83" s="3358">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14.25">
      <c r="A84" s="2126" t="s">
        <v>2053</v>
      </c>
      <c r="B84" s="2130" t="str">
        <f>估价对象房地状况!G16</f>
        <v>较好</v>
      </c>
      <c r="C84" s="2040"/>
      <c r="D84" s="1062">
        <f t="shared" si="22"/>
        <v>0</v>
      </c>
      <c r="E84" s="744"/>
      <c r="F84" s="1811"/>
      <c r="G84" s="1060"/>
      <c r="H84" s="1063" t="str">
        <f t="shared" si="23"/>
        <v>——</v>
      </c>
      <c r="I84" s="3358">
        <v>0.3</v>
      </c>
      <c r="J84" s="1061">
        <f t="shared" si="24"/>
        <v>0</v>
      </c>
      <c r="K84" s="1061">
        <f t="shared" si="25"/>
        <v>0</v>
      </c>
      <c r="L84" s="1061">
        <v>0</v>
      </c>
      <c r="M84" s="1061">
        <f t="shared" si="26"/>
        <v>0</v>
      </c>
      <c r="N84" s="1061">
        <f t="shared" si="26"/>
        <v>0</v>
      </c>
      <c r="Z84" s="1994"/>
      <c r="AA84" s="2049"/>
      <c r="AG84" s="1118"/>
      <c r="AK84" s="2049"/>
    </row>
    <row r="85" spans="1:37" ht="36">
      <c r="A85" s="3360" t="s">
        <v>3263</v>
      </c>
      <c r="B85" s="2130" t="str">
        <f>估价对象房地状况!G17</f>
        <v>较好</v>
      </c>
      <c r="C85" s="2040"/>
      <c r="D85" s="1062">
        <f t="shared" si="22"/>
        <v>0</v>
      </c>
      <c r="E85" s="744"/>
      <c r="F85" s="1811"/>
      <c r="G85" s="1060"/>
      <c r="H85" s="1063" t="str">
        <f t="shared" si="23"/>
        <v>——</v>
      </c>
      <c r="I85" s="3358">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4"/>
      <c r="F86" s="1811"/>
      <c r="G86" s="1060"/>
      <c r="H86" s="1063" t="str">
        <f t="shared" si="23"/>
        <v>——</v>
      </c>
      <c r="I86" s="3358">
        <v>0.05</v>
      </c>
      <c r="J86" s="1061">
        <f t="shared" si="24"/>
        <v>0</v>
      </c>
      <c r="K86" s="1061">
        <f t="shared" si="25"/>
        <v>0</v>
      </c>
      <c r="L86" s="1061">
        <v>0</v>
      </c>
      <c r="M86" s="1061">
        <f t="shared" si="26"/>
        <v>0</v>
      </c>
      <c r="N86" s="1061">
        <f t="shared" si="26"/>
        <v>0</v>
      </c>
      <c r="Z86" s="1994"/>
      <c r="AA86" s="2049"/>
      <c r="AG86" s="1118"/>
      <c r="AK86" s="2049"/>
    </row>
    <row r="87" spans="1:37" ht="24">
      <c r="A87" s="2126" t="s">
        <v>2059</v>
      </c>
      <c r="B87" s="1323" t="str">
        <f>估价对象房地状况!G19</f>
        <v>较好</v>
      </c>
      <c r="C87" s="2040"/>
      <c r="D87" s="1062">
        <f t="shared" si="22"/>
        <v>0</v>
      </c>
      <c r="E87" s="744"/>
      <c r="F87" s="1811"/>
      <c r="G87" s="1060"/>
      <c r="H87" s="1063" t="str">
        <f t="shared" si="23"/>
        <v>——</v>
      </c>
      <c r="I87" s="3358">
        <v>0.06</v>
      </c>
      <c r="J87" s="1061">
        <f t="shared" si="24"/>
        <v>0</v>
      </c>
      <c r="K87" s="1061">
        <f t="shared" si="25"/>
        <v>0</v>
      </c>
      <c r="L87" s="1061">
        <v>0</v>
      </c>
      <c r="M87" s="1061">
        <f t="shared" si="26"/>
        <v>0</v>
      </c>
      <c r="N87" s="1061">
        <f t="shared" si="26"/>
        <v>0</v>
      </c>
    </row>
    <row r="88" spans="1:37" ht="24">
      <c r="A88" s="2126" t="s">
        <v>2060</v>
      </c>
      <c r="B88" s="1323" t="str">
        <f>估价对象房地状况!G20</f>
        <v>七通</v>
      </c>
      <c r="C88" s="2040"/>
      <c r="D88" s="1062">
        <f t="shared" si="22"/>
        <v>0</v>
      </c>
      <c r="E88" s="744"/>
      <c r="F88" s="1811"/>
      <c r="G88" s="1060"/>
      <c r="H88" s="1063" t="str">
        <f t="shared" si="23"/>
        <v>——</v>
      </c>
      <c r="I88" s="3358">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4"/>
      <c r="F89" s="1811"/>
      <c r="G89" s="1060"/>
      <c r="H89" s="1063" t="str">
        <f t="shared" si="23"/>
        <v>——</v>
      </c>
      <c r="I89" s="3358">
        <v>0.06</v>
      </c>
      <c r="J89" s="1061">
        <f t="shared" si="24"/>
        <v>0</v>
      </c>
      <c r="K89" s="1061">
        <f t="shared" si="25"/>
        <v>0</v>
      </c>
      <c r="L89" s="1061">
        <v>0</v>
      </c>
      <c r="M89" s="1061">
        <f t="shared" si="26"/>
        <v>0</v>
      </c>
      <c r="N89" s="1061">
        <f t="shared" si="26"/>
        <v>0</v>
      </c>
    </row>
    <row r="90" spans="1:37" ht="15" thickBot="1">
      <c r="A90" s="2134" t="s">
        <v>2072</v>
      </c>
      <c r="B90" s="2139" t="str">
        <f>估价对象房地状况!G18</f>
        <v>较好</v>
      </c>
      <c r="C90" s="2040"/>
      <c r="D90" s="1062">
        <f t="shared" si="22"/>
        <v>0</v>
      </c>
      <c r="E90" s="745"/>
      <c r="F90" s="1811"/>
      <c r="G90" s="1060"/>
      <c r="H90" s="1063" t="str">
        <f t="shared" si="23"/>
        <v>——</v>
      </c>
      <c r="I90" s="3359">
        <v>0.05</v>
      </c>
      <c r="J90" s="1061">
        <f t="shared" si="24"/>
        <v>0</v>
      </c>
      <c r="K90" s="1061">
        <f t="shared" si="25"/>
        <v>0</v>
      </c>
      <c r="L90" s="1061">
        <v>0</v>
      </c>
      <c r="M90" s="1061">
        <f t="shared" si="26"/>
        <v>0</v>
      </c>
      <c r="N90" s="1061">
        <f t="shared" si="26"/>
        <v>0</v>
      </c>
    </row>
    <row r="91" spans="1:37" ht="15">
      <c r="A91" s="3368" t="s">
        <v>2603</v>
      </c>
      <c r="B91" s="3369">
        <f>1+E93</f>
        <v>1</v>
      </c>
      <c r="C91" s="3362"/>
      <c r="D91" s="3363"/>
      <c r="E91" s="1811"/>
      <c r="F91" s="1811"/>
      <c r="G91" s="3364"/>
      <c r="H91" s="3365"/>
      <c r="I91" s="3366"/>
      <c r="J91" s="3367"/>
      <c r="K91" s="3367"/>
      <c r="L91" s="3367"/>
      <c r="M91" s="3367"/>
      <c r="N91" s="3367"/>
    </row>
    <row r="92" spans="1:37" ht="24.75">
      <c r="A92" s="3370" t="s">
        <v>3264</v>
      </c>
      <c r="B92" s="3357"/>
      <c r="C92" s="3357" t="s">
        <v>3273</v>
      </c>
      <c r="D92" s="3357" t="s">
        <v>3274</v>
      </c>
      <c r="E92" s="3339" t="s">
        <v>3275</v>
      </c>
      <c r="F92" s="3372" t="s">
        <v>3276</v>
      </c>
      <c r="G92" s="3357" t="s">
        <v>3277</v>
      </c>
      <c r="H92" s="3379" t="s">
        <v>3280</v>
      </c>
      <c r="I92" s="3357" t="s">
        <v>3281</v>
      </c>
      <c r="J92" s="3380" t="s">
        <v>3282</v>
      </c>
      <c r="K92" s="3380" t="s">
        <v>3283</v>
      </c>
      <c r="L92" s="3380" t="s">
        <v>3284</v>
      </c>
      <c r="M92" s="3380" t="s">
        <v>3285</v>
      </c>
      <c r="N92" s="3380" t="s">
        <v>3286</v>
      </c>
    </row>
    <row r="93" spans="1:37" ht="24">
      <c r="A93" s="3360" t="s">
        <v>3265</v>
      </c>
      <c r="B93" s="1303"/>
      <c r="C93" s="2040"/>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3266</v>
      </c>
      <c r="B94" s="3361" t="str">
        <f>估价对象房地状况!C18</f>
        <v>较好</v>
      </c>
      <c r="C94" s="2040"/>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3262</v>
      </c>
      <c r="B95" s="3361" t="str">
        <f>估价对象房地状况!C19</f>
        <v>较好</v>
      </c>
      <c r="C95" s="2040"/>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3267</v>
      </c>
      <c r="B96" s="3376" t="s">
        <v>3278</v>
      </c>
      <c r="C96" s="2040"/>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3268</v>
      </c>
      <c r="B97" s="3361">
        <f>估价对象房地状况!C24</f>
        <v>0</v>
      </c>
      <c r="C97" s="2040"/>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3269</v>
      </c>
      <c r="B98" s="3377" t="s">
        <v>3279</v>
      </c>
      <c r="C98" s="2040"/>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3270</v>
      </c>
      <c r="B99" s="3361" t="str">
        <f>估价对象房地状况!C21</f>
        <v>较好</v>
      </c>
      <c r="C99" s="2040"/>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3271</v>
      </c>
      <c r="B100" s="3361" t="str">
        <f>估价对象房地状况!C22</f>
        <v>七通</v>
      </c>
      <c r="C100" s="2040"/>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3272</v>
      </c>
      <c r="B101" s="3378" t="str">
        <f>估价对象房地状况!C20</f>
        <v>较好</v>
      </c>
      <c r="C101" s="2040"/>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73" t="s">
        <v>3287</v>
      </c>
      <c r="B103" s="3773"/>
      <c r="C103" s="3773"/>
      <c r="D103" s="3773"/>
      <c r="E103" s="3773"/>
      <c r="F103" s="3773"/>
      <c r="G103" s="3773"/>
      <c r="H103" s="3773"/>
      <c r="I103" s="3773"/>
      <c r="J103" s="3773"/>
      <c r="K103" s="3381"/>
      <c r="L103" s="3381"/>
      <c r="M103" s="3381"/>
      <c r="N103" s="3381"/>
    </row>
    <row r="104" spans="1:14">
      <c r="A104" s="3774" t="s">
        <v>3288</v>
      </c>
      <c r="B104" s="3774" t="s">
        <v>3289</v>
      </c>
      <c r="C104" s="3382" t="s">
        <v>3290</v>
      </c>
      <c r="D104" s="3383"/>
      <c r="E104" s="3383"/>
      <c r="F104" s="3383"/>
      <c r="G104" s="3383"/>
      <c r="H104" s="3383"/>
      <c r="I104" s="3383"/>
      <c r="J104" s="3384"/>
      <c r="K104" s="3385"/>
      <c r="L104" s="3385"/>
      <c r="M104" s="3385"/>
      <c r="N104" s="3385"/>
    </row>
    <row r="105" spans="1:14">
      <c r="A105" s="3774"/>
      <c r="B105" s="3774"/>
      <c r="C105" s="3386" t="s">
        <v>3291</v>
      </c>
      <c r="D105" s="3386" t="s">
        <v>3292</v>
      </c>
      <c r="E105" s="3386" t="s">
        <v>3293</v>
      </c>
      <c r="F105" s="3386" t="s">
        <v>3294</v>
      </c>
      <c r="G105" s="3386" t="s">
        <v>3295</v>
      </c>
      <c r="H105" s="3386" t="s">
        <v>3296</v>
      </c>
      <c r="I105" s="3386" t="s">
        <v>3297</v>
      </c>
      <c r="J105" s="3386" t="s">
        <v>3298</v>
      </c>
      <c r="K105" s="3386" t="s">
        <v>3299</v>
      </c>
      <c r="L105" s="3386" t="s">
        <v>3300</v>
      </c>
      <c r="M105" s="3386" t="s">
        <v>3301</v>
      </c>
      <c r="N105" s="3386" t="s">
        <v>3302</v>
      </c>
    </row>
    <row r="106" spans="1:14">
      <c r="A106" s="3760" t="s">
        <v>3303</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61"/>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61"/>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61"/>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61"/>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61"/>
      <c r="B111" s="3386" t="s">
        <v>3261</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62"/>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63" t="s">
        <v>3304</v>
      </c>
      <c r="B113" s="3763"/>
      <c r="C113" s="3763"/>
      <c r="D113" s="3763"/>
      <c r="E113" s="3763"/>
      <c r="F113" s="3763"/>
      <c r="G113" s="3763"/>
      <c r="H113" s="3763"/>
      <c r="I113" s="3763"/>
      <c r="J113" s="3763"/>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3305</v>
      </c>
      <c r="B116" s="3407">
        <f>G3</f>
        <v>0</v>
      </c>
      <c r="C116" s="3391" t="s">
        <v>3306</v>
      </c>
      <c r="D116" s="3392">
        <f>SUMPRODUCT((A118:A122=F116)*(B117:M117=H116)*B118:M122)</f>
        <v>0</v>
      </c>
      <c r="E116" s="1996" t="s">
        <v>3307</v>
      </c>
      <c r="F116" s="3393">
        <f>E2</f>
        <v>0</v>
      </c>
      <c r="G116" s="1996" t="s">
        <v>3308</v>
      </c>
      <c r="H116" s="3393">
        <f>G2</f>
        <v>0</v>
      </c>
      <c r="I116" s="1996"/>
      <c r="J116" s="3394"/>
      <c r="K116" s="3394"/>
      <c r="L116" s="3394"/>
      <c r="M116" s="3394"/>
      <c r="N116" s="3389"/>
    </row>
    <row r="117" spans="1:14">
      <c r="A117" s="3395"/>
      <c r="B117" s="3396" t="s">
        <v>3309</v>
      </c>
      <c r="C117" s="3396" t="s">
        <v>3310</v>
      </c>
      <c r="D117" s="3396" t="s">
        <v>3311</v>
      </c>
      <c r="E117" s="3397" t="s">
        <v>3312</v>
      </c>
      <c r="F117" s="3397" t="s">
        <v>3313</v>
      </c>
      <c r="G117" s="3397" t="s">
        <v>3314</v>
      </c>
      <c r="H117" s="3398" t="s">
        <v>3315</v>
      </c>
      <c r="I117" s="3398" t="s">
        <v>3316</v>
      </c>
      <c r="J117" s="3399" t="s">
        <v>3317</v>
      </c>
      <c r="K117" s="3399" t="s">
        <v>3318</v>
      </c>
      <c r="L117" s="3399" t="s">
        <v>3319</v>
      </c>
      <c r="M117" s="3400" t="s">
        <v>3320</v>
      </c>
      <c r="N117" s="3389"/>
    </row>
    <row r="118" spans="1:14">
      <c r="A118" s="3401" t="s">
        <v>3321</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5">I118</f>
        <v>0.84860000000000002</v>
      </c>
      <c r="K118" s="3379">
        <f t="shared" si="35"/>
        <v>0.84860000000000002</v>
      </c>
      <c r="L118" s="3379">
        <f t="shared" si="35"/>
        <v>0.84860000000000002</v>
      </c>
      <c r="M118" s="3402">
        <f t="shared" si="35"/>
        <v>0.84860000000000002</v>
      </c>
      <c r="N118" s="3389"/>
    </row>
    <row r="119" spans="1:14">
      <c r="A119" s="3401" t="s">
        <v>3322</v>
      </c>
      <c r="B119" s="3379">
        <f>ROUND(0.993-0.0112*B116,4)</f>
        <v>0.99299999999999999</v>
      </c>
      <c r="C119" s="3379">
        <f>B119</f>
        <v>0.99299999999999999</v>
      </c>
      <c r="D119" s="3379">
        <f>ROUND(0.9415-0.0142*B116,4)</f>
        <v>0.9415</v>
      </c>
      <c r="E119" s="3379">
        <f t="shared" ref="E119:H120" si="36">D119</f>
        <v>0.9415</v>
      </c>
      <c r="F119" s="3379">
        <f t="shared" si="36"/>
        <v>0.9415</v>
      </c>
      <c r="G119" s="3379">
        <f t="shared" si="36"/>
        <v>0.9415</v>
      </c>
      <c r="H119" s="3379">
        <f t="shared" si="36"/>
        <v>0.9415</v>
      </c>
      <c r="I119" s="3379">
        <f>ROUND(0.838-0.0182*B116,4)</f>
        <v>0.83799999999999997</v>
      </c>
      <c r="J119" s="3379">
        <f t="shared" si="35"/>
        <v>0.83799999999999997</v>
      </c>
      <c r="K119" s="3379">
        <f t="shared" si="35"/>
        <v>0.83799999999999997</v>
      </c>
      <c r="L119" s="3379">
        <f t="shared" si="35"/>
        <v>0.83799999999999997</v>
      </c>
      <c r="M119" s="3402">
        <f t="shared" si="35"/>
        <v>0.83799999999999997</v>
      </c>
      <c r="N119" s="3389"/>
    </row>
    <row r="120" spans="1:14">
      <c r="A120" s="3401" t="s">
        <v>3323</v>
      </c>
      <c r="B120" s="3379">
        <f>ROUND(0.9448-0.0115*B116,4)</f>
        <v>0.94479999999999997</v>
      </c>
      <c r="C120" s="3379">
        <f>B120</f>
        <v>0.94479999999999997</v>
      </c>
      <c r="D120" s="3379">
        <f>ROUND(0.937-0.0145*B116,4)</f>
        <v>0.93700000000000006</v>
      </c>
      <c r="E120" s="3379">
        <f t="shared" si="36"/>
        <v>0.93700000000000006</v>
      </c>
      <c r="F120" s="3379">
        <f t="shared" si="36"/>
        <v>0.93700000000000006</v>
      </c>
      <c r="G120" s="3379">
        <f t="shared" si="36"/>
        <v>0.93700000000000006</v>
      </c>
      <c r="H120" s="3379">
        <f t="shared" si="36"/>
        <v>0.93700000000000006</v>
      </c>
      <c r="I120" s="3379">
        <f>ROUND(0.7965-0.0185*B116,4)</f>
        <v>0.79649999999999999</v>
      </c>
      <c r="J120" s="3379">
        <f t="shared" si="35"/>
        <v>0.79649999999999999</v>
      </c>
      <c r="K120" s="3379">
        <f t="shared" si="35"/>
        <v>0.79649999999999999</v>
      </c>
      <c r="L120" s="3379">
        <f t="shared" si="35"/>
        <v>0.79649999999999999</v>
      </c>
      <c r="M120" s="3402">
        <f t="shared" si="35"/>
        <v>0.79649999999999999</v>
      </c>
      <c r="N120" s="3389"/>
    </row>
    <row r="121" spans="1:14" ht="13.5" thickBot="1">
      <c r="A121" s="3403" t="s">
        <v>3324</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5"/>
        <v>0.59050000000000002</v>
      </c>
      <c r="K121" s="3404">
        <f t="shared" si="35"/>
        <v>0.59050000000000002</v>
      </c>
      <c r="L121" s="3404">
        <f t="shared" si="35"/>
        <v>0.59050000000000002</v>
      </c>
      <c r="M121" s="3405">
        <f t="shared" si="35"/>
        <v>0.59050000000000002</v>
      </c>
      <c r="N121" s="3389"/>
    </row>
    <row r="122" spans="1:14">
      <c r="A122" s="3406" t="s">
        <v>2603</v>
      </c>
      <c r="B122" s="3379">
        <f>ROUND(0.9404-0.0106*B116,4)</f>
        <v>0.94040000000000001</v>
      </c>
      <c r="C122" s="3379">
        <f>B122</f>
        <v>0.94040000000000001</v>
      </c>
      <c r="D122" s="3379">
        <f>ROUND(0.8955-0.0135*B116,4)</f>
        <v>0.89549999999999996</v>
      </c>
      <c r="E122" s="3379">
        <f t="shared" ref="E122:H122" si="37">D122</f>
        <v>0.89549999999999996</v>
      </c>
      <c r="F122" s="3379">
        <f t="shared" si="37"/>
        <v>0.89549999999999996</v>
      </c>
      <c r="G122" s="3379">
        <f t="shared" si="37"/>
        <v>0.89549999999999996</v>
      </c>
      <c r="H122" s="3379">
        <f t="shared" si="37"/>
        <v>0.89549999999999996</v>
      </c>
      <c r="I122" s="3379">
        <f>ROUND(0.7632-0.0166*B116,4)</f>
        <v>0.76319999999999999</v>
      </c>
      <c r="J122" s="3379">
        <f t="shared" si="35"/>
        <v>0.76319999999999999</v>
      </c>
      <c r="K122" s="3379">
        <f t="shared" si="35"/>
        <v>0.76319999999999999</v>
      </c>
      <c r="L122" s="3379">
        <f t="shared" si="35"/>
        <v>0.76319999999999999</v>
      </c>
      <c r="M122" s="3402">
        <f t="shared" si="35"/>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2585</v>
      </c>
      <c r="B1" s="3063" t="s">
        <v>2586</v>
      </c>
      <c r="C1" s="3063" t="s">
        <v>2587</v>
      </c>
      <c r="D1" s="3063" t="s">
        <v>2588</v>
      </c>
      <c r="E1" s="3063" t="s">
        <v>2589</v>
      </c>
      <c r="F1" s="3063" t="s">
        <v>2590</v>
      </c>
      <c r="G1" s="3063" t="s">
        <v>2591</v>
      </c>
      <c r="H1" s="3063" t="s">
        <v>2592</v>
      </c>
      <c r="I1" s="3063" t="s">
        <v>2593</v>
      </c>
      <c r="J1" s="3063" t="s">
        <v>2594</v>
      </c>
      <c r="K1" s="3063" t="s">
        <v>2595</v>
      </c>
      <c r="L1" s="3063" t="s">
        <v>2596</v>
      </c>
      <c r="M1" s="3064" t="s">
        <v>2597</v>
      </c>
    </row>
    <row r="2" spans="1:13" ht="19.5" customHeight="1">
      <c r="A2" s="3066" t="s">
        <v>2598</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2599</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2600</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2601</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2602</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2603</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2604</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2605</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2606</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2607</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2608</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2609</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2610</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2611</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2612</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2613</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2614</v>
      </c>
      <c r="B18" s="3088"/>
      <c r="C18" s="3089"/>
      <c r="D18" s="3089"/>
      <c r="E18" s="3088"/>
      <c r="F18" s="3089"/>
      <c r="G18" s="3089"/>
    </row>
    <row r="19" spans="1:13" ht="19.5" customHeight="1" thickBot="1">
      <c r="A19" s="3086" t="s">
        <v>2615</v>
      </c>
      <c r="B19" s="3091" t="s">
        <v>2616</v>
      </c>
      <c r="C19" s="3091" t="s">
        <v>2617</v>
      </c>
      <c r="D19" s="3092"/>
      <c r="E19" s="3086" t="s">
        <v>2618</v>
      </c>
      <c r="F19" s="3093"/>
      <c r="G19" s="3093"/>
    </row>
    <row r="20" spans="1:13" ht="19.5" customHeight="1">
      <c r="A20" s="3788" t="s">
        <v>2598</v>
      </c>
      <c r="B20" s="3783" t="s">
        <v>2619</v>
      </c>
      <c r="C20" s="3094" t="s">
        <v>2430</v>
      </c>
      <c r="D20" s="3095"/>
      <c r="E20" s="3096">
        <v>1</v>
      </c>
      <c r="F20" s="3097" t="s">
        <v>2431</v>
      </c>
      <c r="G20" s="3097"/>
    </row>
    <row r="21" spans="1:13" ht="19.5" customHeight="1">
      <c r="A21" s="3789"/>
      <c r="B21" s="3782"/>
      <c r="C21" s="3098" t="s">
        <v>2432</v>
      </c>
      <c r="D21" s="3099"/>
      <c r="E21" s="3100">
        <v>1</v>
      </c>
      <c r="F21" s="3097" t="s">
        <v>2433</v>
      </c>
      <c r="G21" s="3097"/>
    </row>
    <row r="22" spans="1:13" ht="19.5" customHeight="1">
      <c r="A22" s="3789"/>
      <c r="B22" s="3782"/>
      <c r="C22" s="3098" t="s">
        <v>2434</v>
      </c>
      <c r="D22" s="3099"/>
      <c r="E22" s="3100">
        <v>0.9</v>
      </c>
      <c r="F22" s="3097" t="s">
        <v>2435</v>
      </c>
      <c r="G22" s="3097"/>
    </row>
    <row r="23" spans="1:13" ht="19.5" customHeight="1">
      <c r="A23" s="3789"/>
      <c r="B23" s="3782"/>
      <c r="C23" s="3098" t="s">
        <v>2436</v>
      </c>
      <c r="D23" s="3099"/>
      <c r="E23" s="3100">
        <v>0.9</v>
      </c>
      <c r="F23" s="3097" t="s">
        <v>2437</v>
      </c>
      <c r="G23" s="3097"/>
    </row>
    <row r="24" spans="1:13" ht="19.5" customHeight="1">
      <c r="A24" s="3789"/>
      <c r="B24" s="3782"/>
      <c r="C24" s="3098" t="s">
        <v>2438</v>
      </c>
      <c r="D24" s="3099"/>
      <c r="E24" s="3100">
        <v>0.8</v>
      </c>
      <c r="F24" s="3097" t="s">
        <v>2439</v>
      </c>
      <c r="G24" s="3097"/>
    </row>
    <row r="25" spans="1:13" ht="19.5" customHeight="1" thickBot="1">
      <c r="A25" s="3790"/>
      <c r="B25" s="3784"/>
      <c r="C25" s="3101" t="s">
        <v>2440</v>
      </c>
      <c r="D25" s="3102"/>
      <c r="E25" s="3103">
        <v>0.8</v>
      </c>
      <c r="F25" s="3097" t="s">
        <v>2441</v>
      </c>
      <c r="G25" s="3097"/>
    </row>
    <row r="26" spans="1:13" ht="19.5" customHeight="1" thickBot="1">
      <c r="A26" s="3104" t="s">
        <v>2620</v>
      </c>
      <c r="B26" s="3105" t="s">
        <v>2619</v>
      </c>
      <c r="C26" s="3106" t="s">
        <v>2621</v>
      </c>
      <c r="D26" s="3107"/>
      <c r="E26" s="3108">
        <v>1</v>
      </c>
      <c r="F26" s="3097" t="s">
        <v>2442</v>
      </c>
      <c r="G26" s="3097"/>
    </row>
    <row r="27" spans="1:13" ht="19.5" customHeight="1">
      <c r="A27" s="3785" t="s">
        <v>2622</v>
      </c>
      <c r="B27" s="3783" t="s">
        <v>2603</v>
      </c>
      <c r="C27" s="3094" t="s">
        <v>2443</v>
      </c>
      <c r="D27" s="3095"/>
      <c r="E27" s="3096">
        <v>1</v>
      </c>
      <c r="F27" s="3097" t="s">
        <v>2444</v>
      </c>
      <c r="G27" s="3097"/>
    </row>
    <row r="28" spans="1:13" ht="19.5" customHeight="1">
      <c r="A28" s="3786"/>
      <c r="B28" s="3782"/>
      <c r="C28" s="3098" t="s">
        <v>2445</v>
      </c>
      <c r="D28" s="3099"/>
      <c r="E28" s="3100">
        <v>1</v>
      </c>
      <c r="F28" s="3097" t="s">
        <v>2446</v>
      </c>
      <c r="G28" s="3097"/>
    </row>
    <row r="29" spans="1:13" ht="19.5" customHeight="1">
      <c r="A29" s="3786"/>
      <c r="B29" s="3782"/>
      <c r="C29" s="3098" t="s">
        <v>2447</v>
      </c>
      <c r="D29" s="3099"/>
      <c r="E29" s="3100">
        <v>0.8</v>
      </c>
      <c r="F29" s="3097" t="s">
        <v>2448</v>
      </c>
      <c r="G29" s="3097"/>
    </row>
    <row r="30" spans="1:13" ht="19.5" customHeight="1">
      <c r="A30" s="3786"/>
      <c r="B30" s="3782"/>
      <c r="C30" s="3098" t="s">
        <v>2449</v>
      </c>
      <c r="D30" s="3099"/>
      <c r="E30" s="3100">
        <v>0.8</v>
      </c>
      <c r="F30" s="3097" t="s">
        <v>2450</v>
      </c>
      <c r="G30" s="3097"/>
    </row>
    <row r="31" spans="1:13" ht="19.5" customHeight="1">
      <c r="A31" s="3786"/>
      <c r="B31" s="3782"/>
      <c r="C31" s="3098" t="s">
        <v>2451</v>
      </c>
      <c r="D31" s="3099"/>
      <c r="E31" s="3100">
        <v>0.8</v>
      </c>
      <c r="F31" s="3097" t="s">
        <v>2452</v>
      </c>
      <c r="G31" s="3097"/>
    </row>
    <row r="32" spans="1:13" ht="19.5" customHeight="1">
      <c r="A32" s="3786"/>
      <c r="B32" s="3782"/>
      <c r="C32" s="3098" t="s">
        <v>2453</v>
      </c>
      <c r="D32" s="3099"/>
      <c r="E32" s="3100">
        <v>0.7</v>
      </c>
      <c r="F32" s="3097" t="s">
        <v>2454</v>
      </c>
      <c r="G32" s="3097"/>
    </row>
    <row r="33" spans="1:7" ht="19.5" customHeight="1">
      <c r="A33" s="3786"/>
      <c r="B33" s="3782"/>
      <c r="C33" s="3098" t="s">
        <v>2455</v>
      </c>
      <c r="D33" s="3099"/>
      <c r="E33" s="3100">
        <v>0.8</v>
      </c>
      <c r="F33" s="3097" t="s">
        <v>2456</v>
      </c>
      <c r="G33" s="3097"/>
    </row>
    <row r="34" spans="1:7" ht="19.5" customHeight="1">
      <c r="A34" s="3786"/>
      <c r="B34" s="3782"/>
      <c r="C34" s="3098" t="s">
        <v>2457</v>
      </c>
      <c r="D34" s="3099"/>
      <c r="E34" s="3100">
        <v>0.6</v>
      </c>
      <c r="F34" s="3097" t="s">
        <v>2458</v>
      </c>
      <c r="G34" s="3097"/>
    </row>
    <row r="35" spans="1:7" ht="19.5" customHeight="1">
      <c r="A35" s="3786"/>
      <c r="B35" s="3782"/>
      <c r="C35" s="3098" t="s">
        <v>2459</v>
      </c>
      <c r="D35" s="3099"/>
      <c r="E35" s="3100">
        <v>0.2</v>
      </c>
      <c r="F35" s="3097" t="s">
        <v>2460</v>
      </c>
      <c r="G35" s="3097"/>
    </row>
    <row r="36" spans="1:7" ht="19.5" customHeight="1">
      <c r="A36" s="3786"/>
      <c r="B36" s="3782"/>
      <c r="C36" s="3098" t="s">
        <v>2461</v>
      </c>
      <c r="D36" s="3099"/>
      <c r="E36" s="3100">
        <v>0.2</v>
      </c>
      <c r="F36" s="3097" t="s">
        <v>2462</v>
      </c>
      <c r="G36" s="3097"/>
    </row>
    <row r="37" spans="1:7" ht="19.5" customHeight="1">
      <c r="A37" s="3786"/>
      <c r="B37" s="3780" t="s">
        <v>2623</v>
      </c>
      <c r="C37" s="3098" t="s">
        <v>2463</v>
      </c>
      <c r="D37" s="3099"/>
      <c r="E37" s="3100">
        <v>0.6</v>
      </c>
      <c r="F37" s="3097" t="s">
        <v>2464</v>
      </c>
      <c r="G37" s="3097"/>
    </row>
    <row r="38" spans="1:7" ht="19.5" customHeight="1">
      <c r="A38" s="3786"/>
      <c r="B38" s="3782"/>
      <c r="C38" s="3098" t="s">
        <v>2465</v>
      </c>
      <c r="D38" s="3099"/>
      <c r="E38" s="3100">
        <v>0.6</v>
      </c>
      <c r="F38" s="3097" t="s">
        <v>2466</v>
      </c>
      <c r="G38" s="3097"/>
    </row>
    <row r="39" spans="1:7" ht="19.5" customHeight="1" thickBot="1">
      <c r="A39" s="3787"/>
      <c r="B39" s="3784"/>
      <c r="C39" s="3101" t="s">
        <v>2467</v>
      </c>
      <c r="D39" s="3102"/>
      <c r="E39" s="3103">
        <v>0.6</v>
      </c>
      <c r="F39" s="3097" t="s">
        <v>2468</v>
      </c>
      <c r="G39" s="3097"/>
    </row>
    <row r="40" spans="1:7" ht="19.5" customHeight="1" thickBot="1">
      <c r="A40" s="3104" t="s">
        <v>2600</v>
      </c>
      <c r="B40" s="3105" t="s">
        <v>2600</v>
      </c>
      <c r="C40" s="3106" t="s">
        <v>2624</v>
      </c>
      <c r="D40" s="3107"/>
      <c r="E40" s="3108">
        <v>1</v>
      </c>
      <c r="F40" s="3097" t="s">
        <v>2469</v>
      </c>
      <c r="G40" s="3097"/>
    </row>
    <row r="41" spans="1:7" ht="19.5" customHeight="1">
      <c r="A41" s="3788" t="s">
        <v>2601</v>
      </c>
      <c r="B41" s="3783" t="s">
        <v>2625</v>
      </c>
      <c r="C41" s="3094" t="s">
        <v>2470</v>
      </c>
      <c r="D41" s="3095"/>
      <c r="E41" s="3096">
        <v>1</v>
      </c>
      <c r="F41" s="3097" t="s">
        <v>2471</v>
      </c>
      <c r="G41" s="3097"/>
    </row>
    <row r="42" spans="1:7" ht="19.5" customHeight="1">
      <c r="A42" s="3789"/>
      <c r="B42" s="3782"/>
      <c r="C42" s="3098" t="s">
        <v>2472</v>
      </c>
      <c r="D42" s="3099"/>
      <c r="E42" s="3100">
        <v>1</v>
      </c>
      <c r="F42" s="3097" t="s">
        <v>2473</v>
      </c>
      <c r="G42" s="3097"/>
    </row>
    <row r="43" spans="1:7" ht="19.5" customHeight="1">
      <c r="A43" s="3789"/>
      <c r="B43" s="3781"/>
      <c r="C43" s="3098" t="s">
        <v>2474</v>
      </c>
      <c r="D43" s="3099"/>
      <c r="E43" s="3100">
        <v>1.5</v>
      </c>
      <c r="F43" s="3097" t="s">
        <v>2475</v>
      </c>
      <c r="G43" s="3097"/>
    </row>
    <row r="44" spans="1:7" ht="19.5" customHeight="1">
      <c r="A44" s="3789"/>
      <c r="B44" s="3109" t="s">
        <v>2626</v>
      </c>
      <c r="C44" s="3098" t="s">
        <v>2627</v>
      </c>
      <c r="D44" s="3099"/>
      <c r="E44" s="3100">
        <v>2</v>
      </c>
      <c r="F44" s="3097" t="s">
        <v>2476</v>
      </c>
      <c r="G44" s="3097"/>
    </row>
    <row r="45" spans="1:7" ht="19.5" customHeight="1">
      <c r="A45" s="3789"/>
      <c r="B45" s="3780" t="s">
        <v>2628</v>
      </c>
      <c r="C45" s="3098" t="s">
        <v>2477</v>
      </c>
      <c r="D45" s="3099"/>
      <c r="E45" s="3100">
        <v>1</v>
      </c>
      <c r="F45" s="3097" t="s">
        <v>2478</v>
      </c>
      <c r="G45" s="3097"/>
    </row>
    <row r="46" spans="1:7" ht="19.5" customHeight="1">
      <c r="A46" s="3789"/>
      <c r="B46" s="3782"/>
      <c r="C46" s="3098" t="s">
        <v>2479</v>
      </c>
      <c r="D46" s="3099"/>
      <c r="E46" s="3100">
        <v>1</v>
      </c>
      <c r="F46" s="3097" t="s">
        <v>2480</v>
      </c>
      <c r="G46" s="3097"/>
    </row>
    <row r="47" spans="1:7" ht="19.5" customHeight="1">
      <c r="A47" s="3789"/>
      <c r="B47" s="3782"/>
      <c r="C47" s="3098" t="s">
        <v>2481</v>
      </c>
      <c r="D47" s="3099"/>
      <c r="E47" s="3100">
        <v>1</v>
      </c>
      <c r="F47" s="3097" t="s">
        <v>2482</v>
      </c>
      <c r="G47" s="3097"/>
    </row>
    <row r="48" spans="1:7" ht="19.5" customHeight="1">
      <c r="A48" s="3789"/>
      <c r="B48" s="3782"/>
      <c r="C48" s="3098" t="s">
        <v>2483</v>
      </c>
      <c r="D48" s="3099"/>
      <c r="E48" s="3100">
        <v>1</v>
      </c>
      <c r="F48" s="3097" t="s">
        <v>2484</v>
      </c>
      <c r="G48" s="3097"/>
    </row>
    <row r="49" spans="1:7" ht="19.5" customHeight="1">
      <c r="A49" s="3789"/>
      <c r="B49" s="3782"/>
      <c r="C49" s="3098" t="s">
        <v>2485</v>
      </c>
      <c r="D49" s="3099"/>
      <c r="E49" s="3100">
        <v>1</v>
      </c>
      <c r="F49" s="3097" t="s">
        <v>2486</v>
      </c>
      <c r="G49" s="3097"/>
    </row>
    <row r="50" spans="1:7" ht="19.5" customHeight="1">
      <c r="A50" s="3789"/>
      <c r="B50" s="3782"/>
      <c r="C50" s="3098" t="s">
        <v>2487</v>
      </c>
      <c r="D50" s="3099"/>
      <c r="E50" s="3100">
        <v>1</v>
      </c>
      <c r="F50" s="3097" t="s">
        <v>2488</v>
      </c>
      <c r="G50" s="3097"/>
    </row>
    <row r="51" spans="1:7" ht="19.5" customHeight="1" thickBot="1">
      <c r="A51" s="3790"/>
      <c r="B51" s="3784"/>
      <c r="C51" s="3101" t="s">
        <v>2489</v>
      </c>
      <c r="D51" s="3102"/>
      <c r="E51" s="3103">
        <v>1</v>
      </c>
      <c r="F51" s="3097" t="s">
        <v>2490</v>
      </c>
      <c r="G51" s="3097"/>
    </row>
    <row r="52" spans="1:7" ht="19.5" customHeight="1">
      <c r="A52" s="3110"/>
      <c r="B52" s="3110"/>
      <c r="C52" s="3110"/>
      <c r="D52" s="3110"/>
      <c r="E52" s="3110"/>
      <c r="F52" s="3110"/>
      <c r="G52" s="3110"/>
    </row>
    <row r="54" spans="1:7" ht="19.5" customHeight="1">
      <c r="A54" s="3111"/>
      <c r="B54" s="3083" t="s">
        <v>2629</v>
      </c>
      <c r="C54" s="3083" t="s">
        <v>2629</v>
      </c>
      <c r="D54" s="3083" t="s">
        <v>2629</v>
      </c>
      <c r="E54" s="3086" t="s">
        <v>2629</v>
      </c>
      <c r="F54" s="3086" t="s">
        <v>2630</v>
      </c>
      <c r="G54" s="3086" t="s">
        <v>2631</v>
      </c>
    </row>
    <row r="55" spans="1:7" ht="19.5" customHeight="1">
      <c r="A55" s="3112"/>
      <c r="B55" s="3086" t="s">
        <v>2598</v>
      </c>
      <c r="C55" s="3086" t="s">
        <v>2598</v>
      </c>
      <c r="D55" s="3086" t="s">
        <v>2598</v>
      </c>
      <c r="E55" s="3083" t="s">
        <v>2599</v>
      </c>
      <c r="F55" s="3083" t="s">
        <v>2601</v>
      </c>
      <c r="G55" s="3083" t="s">
        <v>2632</v>
      </c>
    </row>
    <row r="56" spans="1:7" ht="19.5" customHeight="1">
      <c r="A56" s="3113"/>
      <c r="B56" s="3083">
        <v>1</v>
      </c>
      <c r="C56" s="3083">
        <v>2</v>
      </c>
      <c r="D56" s="3083">
        <v>3</v>
      </c>
      <c r="E56" s="3114" t="s">
        <v>2633</v>
      </c>
      <c r="F56" s="3114" t="s">
        <v>2633</v>
      </c>
      <c r="G56" s="3114" t="s">
        <v>2633</v>
      </c>
    </row>
    <row r="57" spans="1:7" ht="19.5" customHeight="1">
      <c r="A57" s="3115" t="s">
        <v>2586</v>
      </c>
      <c r="B57" s="3083">
        <v>0.7</v>
      </c>
      <c r="C57" s="3083">
        <v>0.4</v>
      </c>
      <c r="D57" s="3083">
        <v>0.3</v>
      </c>
      <c r="E57" s="3114">
        <v>0.3</v>
      </c>
      <c r="F57" s="3083">
        <v>0.3</v>
      </c>
      <c r="G57" s="3083">
        <v>0.2</v>
      </c>
    </row>
    <row r="58" spans="1:7" ht="19.5" customHeight="1">
      <c r="A58" s="3115" t="s">
        <v>2587</v>
      </c>
      <c r="B58" s="3083">
        <v>0.7</v>
      </c>
      <c r="C58" s="3083">
        <v>0.4</v>
      </c>
      <c r="D58" s="3083">
        <v>0.3</v>
      </c>
      <c r="E58" s="3083">
        <v>0.3</v>
      </c>
      <c r="F58" s="3083">
        <v>0.3</v>
      </c>
      <c r="G58" s="3083">
        <v>0.2</v>
      </c>
    </row>
    <row r="59" spans="1:7" ht="19.5" customHeight="1">
      <c r="A59" s="3115" t="s">
        <v>2588</v>
      </c>
      <c r="B59" s="3083">
        <v>0.6</v>
      </c>
      <c r="C59" s="3083">
        <v>0.3</v>
      </c>
      <c r="D59" s="3083">
        <v>0.25</v>
      </c>
      <c r="E59" s="3083">
        <v>0.25</v>
      </c>
      <c r="F59" s="3083">
        <v>0.25</v>
      </c>
      <c r="G59" s="3083">
        <v>0.15</v>
      </c>
    </row>
    <row r="60" spans="1:7" ht="19.5" customHeight="1">
      <c r="A60" s="3115" t="s">
        <v>2589</v>
      </c>
      <c r="B60" s="3083">
        <v>0.6</v>
      </c>
      <c r="C60" s="3083">
        <v>0.3</v>
      </c>
      <c r="D60" s="3083">
        <v>0.25</v>
      </c>
      <c r="E60" s="3083">
        <v>0.25</v>
      </c>
      <c r="F60" s="3083">
        <v>0.25</v>
      </c>
      <c r="G60" s="3083">
        <v>0.15</v>
      </c>
    </row>
    <row r="61" spans="1:7" ht="19.5" customHeight="1">
      <c r="A61" s="3115" t="s">
        <v>2590</v>
      </c>
      <c r="B61" s="3083">
        <v>0.6</v>
      </c>
      <c r="C61" s="3083">
        <v>0.3</v>
      </c>
      <c r="D61" s="3083">
        <v>0.25</v>
      </c>
      <c r="E61" s="3083">
        <v>0.25</v>
      </c>
      <c r="F61" s="3083">
        <v>0.25</v>
      </c>
      <c r="G61" s="3083">
        <v>0.15</v>
      </c>
    </row>
    <row r="62" spans="1:7" ht="19.5" customHeight="1">
      <c r="A62" s="3115" t="s">
        <v>2591</v>
      </c>
      <c r="B62" s="3083">
        <v>0.6</v>
      </c>
      <c r="C62" s="3083">
        <v>0.3</v>
      </c>
      <c r="D62" s="3083">
        <v>0.25</v>
      </c>
      <c r="E62" s="3083">
        <v>0.25</v>
      </c>
      <c r="F62" s="3083">
        <v>0.25</v>
      </c>
      <c r="G62" s="3083">
        <v>0.15</v>
      </c>
    </row>
    <row r="63" spans="1:7" ht="19.5" customHeight="1">
      <c r="A63" s="3115" t="s">
        <v>2592</v>
      </c>
      <c r="B63" s="3083">
        <v>0.6</v>
      </c>
      <c r="C63" s="3083">
        <v>0.3</v>
      </c>
      <c r="D63" s="3083">
        <v>0.25</v>
      </c>
      <c r="E63" s="3083">
        <v>0.25</v>
      </c>
      <c r="F63" s="3083">
        <v>0.25</v>
      </c>
      <c r="G63" s="3083">
        <v>0.15</v>
      </c>
    </row>
    <row r="64" spans="1:7" ht="19.5" customHeight="1">
      <c r="A64" s="3115" t="s">
        <v>2593</v>
      </c>
      <c r="B64" s="3083">
        <v>0.5</v>
      </c>
      <c r="C64" s="3083">
        <v>0.2</v>
      </c>
      <c r="D64" s="3083">
        <v>0.2</v>
      </c>
      <c r="E64" s="3083">
        <v>0.2</v>
      </c>
      <c r="F64" s="3083">
        <v>0.2</v>
      </c>
      <c r="G64" s="3083">
        <v>0.1</v>
      </c>
    </row>
    <row r="65" spans="1:7" ht="19.5" customHeight="1">
      <c r="A65" s="3115" t="s">
        <v>2594</v>
      </c>
      <c r="B65" s="3083">
        <v>0.5</v>
      </c>
      <c r="C65" s="3083">
        <v>0.2</v>
      </c>
      <c r="D65" s="3083">
        <v>0.2</v>
      </c>
      <c r="E65" s="3083">
        <v>0.2</v>
      </c>
      <c r="F65" s="3083">
        <v>0.2</v>
      </c>
      <c r="G65" s="3083">
        <v>0.1</v>
      </c>
    </row>
    <row r="66" spans="1:7" ht="19.5" customHeight="1">
      <c r="A66" s="3115" t="s">
        <v>2595</v>
      </c>
      <c r="B66" s="3083">
        <v>0.5</v>
      </c>
      <c r="C66" s="3083">
        <v>0.2</v>
      </c>
      <c r="D66" s="3083">
        <v>0.2</v>
      </c>
      <c r="E66" s="3083">
        <v>0.2</v>
      </c>
      <c r="F66" s="3083">
        <v>0.2</v>
      </c>
      <c r="G66" s="3083">
        <v>0.1</v>
      </c>
    </row>
    <row r="67" spans="1:7" ht="19.5" customHeight="1">
      <c r="A67" s="3115" t="s">
        <v>2596</v>
      </c>
      <c r="B67" s="3083">
        <v>0.5</v>
      </c>
      <c r="C67" s="3083">
        <v>0.2</v>
      </c>
      <c r="D67" s="3083">
        <v>0.2</v>
      </c>
      <c r="E67" s="3083">
        <v>0.2</v>
      </c>
      <c r="F67" s="3083">
        <v>0.2</v>
      </c>
      <c r="G67" s="3083">
        <v>0.1</v>
      </c>
    </row>
    <row r="68" spans="1:7" ht="19.5" customHeight="1">
      <c r="A68" s="3115" t="s">
        <v>2597</v>
      </c>
      <c r="B68" s="3083">
        <v>0.5</v>
      </c>
      <c r="C68" s="3083">
        <v>0.2</v>
      </c>
      <c r="D68" s="3083">
        <v>0.2</v>
      </c>
      <c r="E68" s="3083">
        <v>0.2</v>
      </c>
      <c r="F68" s="3083">
        <v>0.2</v>
      </c>
      <c r="G68" s="3083">
        <v>0.1</v>
      </c>
    </row>
    <row r="70" spans="1:7" ht="19.5" customHeight="1">
      <c r="A70" s="3116"/>
      <c r="B70" s="3117"/>
      <c r="C70" s="3117"/>
      <c r="D70" s="3117" t="s">
        <v>2634</v>
      </c>
      <c r="E70" s="3117"/>
      <c r="F70" s="3117"/>
    </row>
    <row r="71" spans="1:7" ht="19.5" customHeight="1">
      <c r="A71" s="3109" t="s">
        <v>2635</v>
      </c>
      <c r="B71" s="3109" t="s">
        <v>2636</v>
      </c>
      <c r="C71" s="3109" t="s">
        <v>2637</v>
      </c>
      <c r="D71" s="3109" t="s">
        <v>2638</v>
      </c>
      <c r="E71" s="3109" t="s">
        <v>2639</v>
      </c>
      <c r="F71" s="3109" t="s">
        <v>2640</v>
      </c>
    </row>
    <row r="72" spans="1:7" ht="13.5">
      <c r="A72" s="3109"/>
      <c r="B72" s="3109"/>
      <c r="C72" s="3109" t="s">
        <v>2641</v>
      </c>
      <c r="D72" s="3109"/>
      <c r="E72" s="3109" t="s">
        <v>2612</v>
      </c>
      <c r="F72" s="3109" t="s">
        <v>2612</v>
      </c>
    </row>
    <row r="73" spans="1:7" ht="13.5">
      <c r="A73" s="3109">
        <v>1</v>
      </c>
      <c r="B73" s="3780" t="s">
        <v>2642</v>
      </c>
      <c r="C73" s="3083" t="s">
        <v>2643</v>
      </c>
      <c r="D73" s="3083" t="s">
        <v>2644</v>
      </c>
      <c r="E73" s="3109">
        <v>0.2</v>
      </c>
      <c r="F73" s="3109">
        <v>25</v>
      </c>
    </row>
    <row r="74" spans="1:7" ht="24">
      <c r="A74" s="3109">
        <v>2</v>
      </c>
      <c r="B74" s="3782"/>
      <c r="C74" s="3083" t="s">
        <v>2645</v>
      </c>
      <c r="D74" s="3083" t="s">
        <v>2646</v>
      </c>
      <c r="E74" s="3109">
        <v>0.2</v>
      </c>
      <c r="F74" s="3109">
        <v>25</v>
      </c>
    </row>
    <row r="75" spans="1:7" ht="24">
      <c r="A75" s="3109">
        <v>3</v>
      </c>
      <c r="B75" s="3782"/>
      <c r="C75" s="3083" t="s">
        <v>2647</v>
      </c>
      <c r="D75" s="3083" t="s">
        <v>2648</v>
      </c>
      <c r="E75" s="3109">
        <v>0.2</v>
      </c>
      <c r="F75" s="3109">
        <v>25</v>
      </c>
    </row>
    <row r="76" spans="1:7" ht="13.5">
      <c r="A76" s="3109">
        <v>4</v>
      </c>
      <c r="B76" s="3782"/>
      <c r="C76" s="3083" t="s">
        <v>2649</v>
      </c>
      <c r="D76" s="3083" t="s">
        <v>2650</v>
      </c>
      <c r="E76" s="3109">
        <v>0.15</v>
      </c>
      <c r="F76" s="3109">
        <v>20</v>
      </c>
    </row>
    <row r="77" spans="1:7" ht="24">
      <c r="A77" s="3109">
        <v>5</v>
      </c>
      <c r="B77" s="3782"/>
      <c r="C77" s="3083" t="s">
        <v>2651</v>
      </c>
      <c r="D77" s="3083" t="s">
        <v>2652</v>
      </c>
      <c r="E77" s="3109">
        <v>0.15</v>
      </c>
      <c r="F77" s="3109">
        <v>20</v>
      </c>
    </row>
    <row r="78" spans="1:7" ht="24">
      <c r="A78" s="3109">
        <v>6</v>
      </c>
      <c r="B78" s="3782"/>
      <c r="C78" s="3083" t="s">
        <v>2653</v>
      </c>
      <c r="D78" s="3083" t="s">
        <v>2654</v>
      </c>
      <c r="E78" s="3109">
        <v>0.15</v>
      </c>
      <c r="F78" s="3109">
        <v>20</v>
      </c>
    </row>
    <row r="79" spans="1:7" ht="24">
      <c r="A79" s="3109">
        <v>7</v>
      </c>
      <c r="B79" s="3782"/>
      <c r="C79" s="3083" t="s">
        <v>2655</v>
      </c>
      <c r="D79" s="3083" t="s">
        <v>2656</v>
      </c>
      <c r="E79" s="3109">
        <v>0.15</v>
      </c>
      <c r="F79" s="3109">
        <v>20</v>
      </c>
    </row>
    <row r="80" spans="1:7" ht="24">
      <c r="A80" s="3109">
        <v>8</v>
      </c>
      <c r="B80" s="3782"/>
      <c r="C80" s="3083" t="s">
        <v>2657</v>
      </c>
      <c r="D80" s="3083" t="s">
        <v>2658</v>
      </c>
      <c r="E80" s="3109">
        <v>0.1</v>
      </c>
      <c r="F80" s="3109">
        <v>15</v>
      </c>
    </row>
    <row r="81" spans="1:6" ht="24">
      <c r="A81" s="3109">
        <v>9</v>
      </c>
      <c r="B81" s="3782"/>
      <c r="C81" s="3083" t="s">
        <v>2659</v>
      </c>
      <c r="D81" s="3083" t="s">
        <v>2660</v>
      </c>
      <c r="E81" s="3109">
        <v>0.1</v>
      </c>
      <c r="F81" s="3109">
        <v>15</v>
      </c>
    </row>
    <row r="82" spans="1:6" ht="24">
      <c r="A82" s="3109">
        <v>10</v>
      </c>
      <c r="B82" s="3782"/>
      <c r="C82" s="3083" t="s">
        <v>2661</v>
      </c>
      <c r="D82" s="3083" t="s">
        <v>2662</v>
      </c>
      <c r="E82" s="3109">
        <v>0.1</v>
      </c>
      <c r="F82" s="3109">
        <v>15</v>
      </c>
    </row>
    <row r="83" spans="1:6" ht="24">
      <c r="A83" s="3109">
        <v>11</v>
      </c>
      <c r="B83" s="3782"/>
      <c r="C83" s="3083" t="s">
        <v>2663</v>
      </c>
      <c r="D83" s="3083" t="s">
        <v>2664</v>
      </c>
      <c r="E83" s="3109">
        <v>0.1</v>
      </c>
      <c r="F83" s="3109">
        <v>15</v>
      </c>
    </row>
    <row r="84" spans="1:6" ht="24">
      <c r="A84" s="3109">
        <v>12</v>
      </c>
      <c r="B84" s="3782"/>
      <c r="C84" s="3083" t="s">
        <v>2665</v>
      </c>
      <c r="D84" s="3083" t="s">
        <v>2666</v>
      </c>
      <c r="E84" s="3109">
        <v>0.1</v>
      </c>
      <c r="F84" s="3109">
        <v>15</v>
      </c>
    </row>
    <row r="85" spans="1:6" ht="13.5">
      <c r="A85" s="3109">
        <v>13</v>
      </c>
      <c r="B85" s="3782"/>
      <c r="C85" s="3083" t="s">
        <v>2667</v>
      </c>
      <c r="D85" s="3083" t="s">
        <v>2668</v>
      </c>
      <c r="E85" s="3109">
        <v>0.1</v>
      </c>
      <c r="F85" s="3109">
        <v>15</v>
      </c>
    </row>
    <row r="86" spans="1:6" ht="13.5">
      <c r="A86" s="3109">
        <v>14</v>
      </c>
      <c r="B86" s="3782"/>
      <c r="C86" s="3083" t="s">
        <v>2669</v>
      </c>
      <c r="D86" s="3083" t="s">
        <v>2670</v>
      </c>
      <c r="E86" s="3109">
        <v>0.1</v>
      </c>
      <c r="F86" s="3109">
        <v>15</v>
      </c>
    </row>
    <row r="87" spans="1:6" ht="13.5">
      <c r="A87" s="3109">
        <v>15</v>
      </c>
      <c r="B87" s="3782"/>
      <c r="C87" s="3083" t="s">
        <v>2671</v>
      </c>
      <c r="D87" s="3083" t="s">
        <v>2672</v>
      </c>
      <c r="E87" s="3109">
        <v>0.1</v>
      </c>
      <c r="F87" s="3109">
        <v>15</v>
      </c>
    </row>
    <row r="88" spans="1:6" ht="24">
      <c r="A88" s="3109">
        <v>16</v>
      </c>
      <c r="B88" s="3782"/>
      <c r="C88" s="3083" t="s">
        <v>2673</v>
      </c>
      <c r="D88" s="3083" t="s">
        <v>2674</v>
      </c>
      <c r="E88" s="3109">
        <v>0.1</v>
      </c>
      <c r="F88" s="3109">
        <v>15</v>
      </c>
    </row>
    <row r="89" spans="1:6" ht="24">
      <c r="A89" s="3109">
        <v>17</v>
      </c>
      <c r="B89" s="3781"/>
      <c r="C89" s="3083" t="s">
        <v>2675</v>
      </c>
      <c r="D89" s="3083" t="s">
        <v>2676</v>
      </c>
      <c r="E89" s="3109">
        <v>0.1</v>
      </c>
      <c r="F89" s="3109">
        <v>15</v>
      </c>
    </row>
    <row r="90" spans="1:6" ht="13.5">
      <c r="A90" s="3109">
        <v>18</v>
      </c>
      <c r="B90" s="3780" t="s">
        <v>2677</v>
      </c>
      <c r="C90" s="3083" t="s">
        <v>2678</v>
      </c>
      <c r="D90" s="3083" t="s">
        <v>2679</v>
      </c>
      <c r="E90" s="3109">
        <v>0.2</v>
      </c>
      <c r="F90" s="3109">
        <v>25</v>
      </c>
    </row>
    <row r="91" spans="1:6" ht="24">
      <c r="A91" s="3109">
        <v>19</v>
      </c>
      <c r="B91" s="3782"/>
      <c r="C91" s="3083" t="s">
        <v>2680</v>
      </c>
      <c r="D91" s="3083" t="s">
        <v>2681</v>
      </c>
      <c r="E91" s="3109">
        <v>0.2</v>
      </c>
      <c r="F91" s="3109">
        <v>25</v>
      </c>
    </row>
    <row r="92" spans="1:6" ht="13.5">
      <c r="A92" s="3109">
        <v>20</v>
      </c>
      <c r="B92" s="3782"/>
      <c r="C92" s="3083" t="s">
        <v>2682</v>
      </c>
      <c r="D92" s="3083" t="s">
        <v>2683</v>
      </c>
      <c r="E92" s="3109">
        <v>0.15</v>
      </c>
      <c r="F92" s="3109">
        <v>20</v>
      </c>
    </row>
    <row r="93" spans="1:6" ht="13.5">
      <c r="A93" s="3109">
        <v>21</v>
      </c>
      <c r="B93" s="3782"/>
      <c r="C93" s="3083" t="s">
        <v>2684</v>
      </c>
      <c r="D93" s="3083" t="s">
        <v>2685</v>
      </c>
      <c r="E93" s="3109">
        <v>0.15</v>
      </c>
      <c r="F93" s="3109">
        <v>20</v>
      </c>
    </row>
    <row r="94" spans="1:6" ht="13.5">
      <c r="A94" s="3109">
        <v>22</v>
      </c>
      <c r="B94" s="3782"/>
      <c r="C94" s="3083" t="s">
        <v>2686</v>
      </c>
      <c r="D94" s="3083" t="s">
        <v>2687</v>
      </c>
      <c r="E94" s="3109">
        <v>0.15</v>
      </c>
      <c r="F94" s="3109">
        <v>20</v>
      </c>
    </row>
    <row r="95" spans="1:6" ht="36">
      <c r="A95" s="3109">
        <v>23</v>
      </c>
      <c r="B95" s="3782"/>
      <c r="C95" s="3083" t="s">
        <v>2688</v>
      </c>
      <c r="D95" s="3083" t="s">
        <v>2689</v>
      </c>
      <c r="E95" s="3109">
        <v>0.15</v>
      </c>
      <c r="F95" s="3109">
        <v>20</v>
      </c>
    </row>
    <row r="96" spans="1:6" ht="13.5">
      <c r="A96" s="3109">
        <v>24</v>
      </c>
      <c r="B96" s="3782"/>
      <c r="C96" s="3083" t="s">
        <v>2690</v>
      </c>
      <c r="D96" s="3083" t="s">
        <v>2691</v>
      </c>
      <c r="E96" s="3109">
        <v>0.1</v>
      </c>
      <c r="F96" s="3109">
        <v>15</v>
      </c>
    </row>
    <row r="97" spans="1:6" ht="13.5">
      <c r="A97" s="3109">
        <v>25</v>
      </c>
      <c r="B97" s="3782"/>
      <c r="C97" s="3083" t="s">
        <v>2692</v>
      </c>
      <c r="D97" s="3083" t="s">
        <v>2693</v>
      </c>
      <c r="E97" s="3109">
        <v>0.1</v>
      </c>
      <c r="F97" s="3109">
        <v>15</v>
      </c>
    </row>
    <row r="98" spans="1:6" ht="24">
      <c r="A98" s="3109">
        <v>26</v>
      </c>
      <c r="B98" s="3782"/>
      <c r="C98" s="3083" t="s">
        <v>2694</v>
      </c>
      <c r="D98" s="3083" t="s">
        <v>2695</v>
      </c>
      <c r="E98" s="3109">
        <v>0.1</v>
      </c>
      <c r="F98" s="3109">
        <v>15</v>
      </c>
    </row>
    <row r="99" spans="1:6" ht="24">
      <c r="A99" s="3109">
        <v>27</v>
      </c>
      <c r="B99" s="3782"/>
      <c r="C99" s="3083" t="s">
        <v>2696</v>
      </c>
      <c r="D99" s="3083" t="s">
        <v>2697</v>
      </c>
      <c r="E99" s="3109">
        <v>0.1</v>
      </c>
      <c r="F99" s="3109">
        <v>15</v>
      </c>
    </row>
    <row r="100" spans="1:6" ht="13.5">
      <c r="A100" s="3109">
        <v>28</v>
      </c>
      <c r="B100" s="3782"/>
      <c r="C100" s="3083" t="s">
        <v>2698</v>
      </c>
      <c r="D100" s="3083" t="s">
        <v>2699</v>
      </c>
      <c r="E100" s="3109">
        <v>0.1</v>
      </c>
      <c r="F100" s="3109">
        <v>15</v>
      </c>
    </row>
    <row r="101" spans="1:6" ht="13.5">
      <c r="A101" s="3109">
        <v>29</v>
      </c>
      <c r="B101" s="3782"/>
      <c r="C101" s="3083" t="s">
        <v>2700</v>
      </c>
      <c r="D101" s="3083" t="s">
        <v>2701</v>
      </c>
      <c r="E101" s="3109">
        <v>0.1</v>
      </c>
      <c r="F101" s="3109">
        <v>15</v>
      </c>
    </row>
    <row r="102" spans="1:6" ht="13.5">
      <c r="A102" s="3109">
        <v>30</v>
      </c>
      <c r="B102" s="3782"/>
      <c r="C102" s="3083" t="s">
        <v>2702</v>
      </c>
      <c r="D102" s="3083" t="s">
        <v>2703</v>
      </c>
      <c r="E102" s="3109">
        <v>0.1</v>
      </c>
      <c r="F102" s="3109">
        <v>15</v>
      </c>
    </row>
    <row r="103" spans="1:6" ht="24">
      <c r="A103" s="3109">
        <v>31</v>
      </c>
      <c r="B103" s="3782"/>
      <c r="C103" s="3083" t="s">
        <v>2704</v>
      </c>
      <c r="D103" s="3083" t="s">
        <v>2705</v>
      </c>
      <c r="E103" s="3109">
        <v>0.1</v>
      </c>
      <c r="F103" s="3109">
        <v>15</v>
      </c>
    </row>
    <row r="104" spans="1:6" ht="24">
      <c r="A104" s="3109">
        <v>32</v>
      </c>
      <c r="B104" s="3782"/>
      <c r="C104" s="3083" t="s">
        <v>2706</v>
      </c>
      <c r="D104" s="3083" t="s">
        <v>2707</v>
      </c>
      <c r="E104" s="3109">
        <v>0.1</v>
      </c>
      <c r="F104" s="3109">
        <v>15</v>
      </c>
    </row>
    <row r="105" spans="1:6" ht="24">
      <c r="A105" s="3109">
        <v>33</v>
      </c>
      <c r="B105" s="3782"/>
      <c r="C105" s="3083" t="s">
        <v>2708</v>
      </c>
      <c r="D105" s="3083" t="s">
        <v>2709</v>
      </c>
      <c r="E105" s="3109">
        <v>0.1</v>
      </c>
      <c r="F105" s="3109">
        <v>15</v>
      </c>
    </row>
    <row r="106" spans="1:6" ht="24">
      <c r="A106" s="3109">
        <v>34</v>
      </c>
      <c r="B106" s="3781"/>
      <c r="C106" s="3083" t="s">
        <v>2710</v>
      </c>
      <c r="D106" s="3083" t="s">
        <v>2711</v>
      </c>
      <c r="E106" s="3109">
        <v>0.1</v>
      </c>
      <c r="F106" s="3109">
        <v>15</v>
      </c>
    </row>
    <row r="107" spans="1:6" ht="24">
      <c r="A107" s="3109">
        <v>35</v>
      </c>
      <c r="B107" s="3780" t="s">
        <v>2712</v>
      </c>
      <c r="C107" s="3109" t="s">
        <v>2713</v>
      </c>
      <c r="D107" s="3083" t="s">
        <v>2714</v>
      </c>
      <c r="E107" s="3109">
        <v>0.15</v>
      </c>
      <c r="F107" s="3109">
        <v>20</v>
      </c>
    </row>
    <row r="108" spans="1:6" ht="13.5">
      <c r="A108" s="3109">
        <v>36</v>
      </c>
      <c r="B108" s="3782"/>
      <c r="C108" s="3109" t="s">
        <v>2715</v>
      </c>
      <c r="D108" s="3083" t="s">
        <v>2716</v>
      </c>
      <c r="E108" s="3109">
        <v>0.15</v>
      </c>
      <c r="F108" s="3109">
        <v>20</v>
      </c>
    </row>
    <row r="109" spans="1:6" ht="13.5">
      <c r="A109" s="3109">
        <v>37</v>
      </c>
      <c r="B109" s="3782"/>
      <c r="C109" s="3109" t="s">
        <v>2717</v>
      </c>
      <c r="D109" s="3083" t="s">
        <v>2718</v>
      </c>
      <c r="E109" s="3109">
        <v>0.15</v>
      </c>
      <c r="F109" s="3109">
        <v>20</v>
      </c>
    </row>
    <row r="110" spans="1:6" ht="13.5">
      <c r="A110" s="3109">
        <v>38</v>
      </c>
      <c r="B110" s="3782"/>
      <c r="C110" s="3109" t="s">
        <v>2719</v>
      </c>
      <c r="D110" s="3083" t="s">
        <v>2720</v>
      </c>
      <c r="E110" s="3109">
        <v>0.1</v>
      </c>
      <c r="F110" s="3109">
        <v>15</v>
      </c>
    </row>
    <row r="111" spans="1:6" ht="24">
      <c r="A111" s="3109">
        <v>39</v>
      </c>
      <c r="B111" s="3782"/>
      <c r="C111" s="3109" t="s">
        <v>2721</v>
      </c>
      <c r="D111" s="3083" t="s">
        <v>2722</v>
      </c>
      <c r="E111" s="3109">
        <v>0.1</v>
      </c>
      <c r="F111" s="3109">
        <v>15</v>
      </c>
    </row>
    <row r="112" spans="1:6" ht="24">
      <c r="A112" s="3109">
        <v>40</v>
      </c>
      <c r="B112" s="3781"/>
      <c r="C112" s="3109" t="s">
        <v>2723</v>
      </c>
      <c r="D112" s="3083" t="s">
        <v>2724</v>
      </c>
      <c r="E112" s="3109">
        <v>0.1</v>
      </c>
      <c r="F112" s="3109">
        <v>15</v>
      </c>
    </row>
    <row r="113" spans="1:6" ht="13.5">
      <c r="A113" s="3109">
        <v>41</v>
      </c>
      <c r="B113" s="3779" t="s">
        <v>2725</v>
      </c>
      <c r="C113" s="3109" t="s">
        <v>2726</v>
      </c>
      <c r="D113" s="3083" t="s">
        <v>2727</v>
      </c>
      <c r="E113" s="3109">
        <v>0.1</v>
      </c>
      <c r="F113" s="3109">
        <v>15</v>
      </c>
    </row>
    <row r="114" spans="1:6" ht="13.5">
      <c r="A114" s="3109">
        <v>42</v>
      </c>
      <c r="B114" s="3779"/>
      <c r="C114" s="3109" t="s">
        <v>2728</v>
      </c>
      <c r="D114" s="3083" t="s">
        <v>2729</v>
      </c>
      <c r="E114" s="3109">
        <v>0.1</v>
      </c>
      <c r="F114" s="3109">
        <v>15</v>
      </c>
    </row>
    <row r="115" spans="1:6" ht="24">
      <c r="A115" s="3109">
        <v>43</v>
      </c>
      <c r="B115" s="3779"/>
      <c r="C115" s="3109" t="s">
        <v>2730</v>
      </c>
      <c r="D115" s="3083" t="s">
        <v>2731</v>
      </c>
      <c r="E115" s="3109">
        <v>0.1</v>
      </c>
      <c r="F115" s="3109">
        <v>15</v>
      </c>
    </row>
    <row r="116" spans="1:6" ht="13.5">
      <c r="A116" s="3109">
        <v>44</v>
      </c>
      <c r="B116" s="3780" t="s">
        <v>2732</v>
      </c>
      <c r="C116" s="3109" t="s">
        <v>2733</v>
      </c>
      <c r="D116" s="3083" t="s">
        <v>2734</v>
      </c>
      <c r="E116" s="3109">
        <v>0.1</v>
      </c>
      <c r="F116" s="3109">
        <v>15</v>
      </c>
    </row>
    <row r="117" spans="1:6" ht="24">
      <c r="A117" s="3109">
        <v>45</v>
      </c>
      <c r="B117" s="3781"/>
      <c r="C117" s="3083" t="s">
        <v>2735</v>
      </c>
      <c r="D117" s="3083" t="s">
        <v>2736</v>
      </c>
      <c r="E117" s="3109">
        <v>0.1</v>
      </c>
      <c r="F117" s="3109">
        <v>15</v>
      </c>
    </row>
    <row r="118" spans="1:6" ht="24">
      <c r="A118" s="3109">
        <v>46</v>
      </c>
      <c r="B118" s="3780" t="s">
        <v>2737</v>
      </c>
      <c r="C118" s="3109" t="s">
        <v>2738</v>
      </c>
      <c r="D118" s="3083" t="s">
        <v>2739</v>
      </c>
      <c r="E118" s="3109">
        <v>0.1</v>
      </c>
      <c r="F118" s="3109">
        <v>15</v>
      </c>
    </row>
    <row r="119" spans="1:6" ht="24">
      <c r="A119" s="3109">
        <v>47</v>
      </c>
      <c r="B119" s="3781"/>
      <c r="C119" s="3109" t="s">
        <v>2740</v>
      </c>
      <c r="D119" s="3083" t="s">
        <v>2741</v>
      </c>
      <c r="E119" s="3109">
        <v>0.1</v>
      </c>
      <c r="F119" s="3109">
        <v>15</v>
      </c>
    </row>
    <row r="120" spans="1:6" ht="13.5">
      <c r="A120" s="3109">
        <v>48</v>
      </c>
      <c r="B120" s="3780" t="s">
        <v>2742</v>
      </c>
      <c r="C120" s="3109" t="s">
        <v>2743</v>
      </c>
      <c r="D120" s="3083" t="s">
        <v>2744</v>
      </c>
      <c r="E120" s="3109">
        <v>0.1</v>
      </c>
      <c r="F120" s="3109">
        <v>15</v>
      </c>
    </row>
    <row r="121" spans="1:6" ht="13.5">
      <c r="A121" s="3109">
        <v>49</v>
      </c>
      <c r="B121" s="3781"/>
      <c r="C121" s="3109" t="s">
        <v>2745</v>
      </c>
      <c r="D121" s="3083" t="s">
        <v>2746</v>
      </c>
      <c r="E121" s="3109">
        <v>0.1</v>
      </c>
      <c r="F121" s="3109">
        <v>15</v>
      </c>
    </row>
    <row r="122" spans="1:6" ht="24">
      <c r="A122" s="3109">
        <v>50</v>
      </c>
      <c r="B122" s="3779" t="s">
        <v>2747</v>
      </c>
      <c r="C122" s="3109" t="s">
        <v>2748</v>
      </c>
      <c r="D122" s="3083" t="s">
        <v>2749</v>
      </c>
      <c r="E122" s="3109">
        <v>0.1</v>
      </c>
      <c r="F122" s="3109">
        <v>15</v>
      </c>
    </row>
    <row r="123" spans="1:6" ht="24">
      <c r="A123" s="3109">
        <v>51</v>
      </c>
      <c r="B123" s="3779"/>
      <c r="C123" s="3109" t="s">
        <v>2750</v>
      </c>
      <c r="D123" s="3083" t="s">
        <v>2751</v>
      </c>
      <c r="E123" s="3109">
        <v>0.1</v>
      </c>
      <c r="F123" s="3109">
        <v>15</v>
      </c>
    </row>
    <row r="124" spans="1:6" ht="24">
      <c r="A124" s="3109">
        <v>52</v>
      </c>
      <c r="B124" s="3779" t="s">
        <v>2752</v>
      </c>
      <c r="C124" s="3109" t="s">
        <v>2753</v>
      </c>
      <c r="D124" s="3083" t="s">
        <v>2754</v>
      </c>
      <c r="E124" s="3109">
        <v>0.1</v>
      </c>
      <c r="F124" s="3109">
        <v>15</v>
      </c>
    </row>
    <row r="125" spans="1:6" ht="24">
      <c r="A125" s="3109">
        <v>53</v>
      </c>
      <c r="B125" s="3779"/>
      <c r="C125" s="3109" t="s">
        <v>2755</v>
      </c>
      <c r="D125" s="3083" t="s">
        <v>2756</v>
      </c>
      <c r="E125" s="3109">
        <v>0.1</v>
      </c>
      <c r="F125" s="3109">
        <v>15</v>
      </c>
    </row>
    <row r="126" spans="1:6" ht="13.5">
      <c r="A126" s="3109">
        <v>54</v>
      </c>
      <c r="B126" s="3109" t="s">
        <v>2757</v>
      </c>
      <c r="C126" s="3109" t="s">
        <v>2758</v>
      </c>
      <c r="D126" s="3083" t="s">
        <v>2759</v>
      </c>
      <c r="E126" s="3109">
        <v>0.1</v>
      </c>
      <c r="F126" s="3109">
        <v>15</v>
      </c>
    </row>
    <row r="127" spans="1:6" ht="13.5">
      <c r="A127" s="3109">
        <v>55</v>
      </c>
      <c r="B127" s="3779" t="s">
        <v>2760</v>
      </c>
      <c r="C127" s="3109" t="s">
        <v>2761</v>
      </c>
      <c r="D127" s="3083" t="s">
        <v>2762</v>
      </c>
      <c r="E127" s="3109">
        <v>0.1</v>
      </c>
      <c r="F127" s="3109">
        <v>15</v>
      </c>
    </row>
    <row r="128" spans="1:6" ht="13.5">
      <c r="A128" s="3109">
        <v>56</v>
      </c>
      <c r="B128" s="3779"/>
      <c r="C128" s="3109" t="s">
        <v>2763</v>
      </c>
      <c r="D128" s="3083" t="s">
        <v>2764</v>
      </c>
      <c r="E128" s="3109">
        <v>0.1</v>
      </c>
      <c r="F128" s="3109">
        <v>15</v>
      </c>
    </row>
    <row r="129" spans="1:6" ht="24">
      <c r="A129" s="3109">
        <v>57</v>
      </c>
      <c r="B129" s="3779"/>
      <c r="C129" s="3109" t="s">
        <v>2765</v>
      </c>
      <c r="D129" s="3083" t="s">
        <v>2766</v>
      </c>
      <c r="E129" s="3109">
        <v>0.1</v>
      </c>
      <c r="F129" s="3109">
        <v>15</v>
      </c>
    </row>
    <row r="130" spans="1:6" ht="24">
      <c r="A130" s="3109">
        <v>58</v>
      </c>
      <c r="B130" s="3779" t="s">
        <v>2767</v>
      </c>
      <c r="C130" s="3109" t="s">
        <v>2768</v>
      </c>
      <c r="D130" s="3083" t="s">
        <v>2769</v>
      </c>
      <c r="E130" s="3109">
        <v>0.1</v>
      </c>
      <c r="F130" s="3109">
        <v>15</v>
      </c>
    </row>
    <row r="131" spans="1:6" ht="13.5">
      <c r="A131" s="3109">
        <v>59</v>
      </c>
      <c r="B131" s="3779"/>
      <c r="C131" s="3109" t="s">
        <v>2770</v>
      </c>
      <c r="D131" s="3083" t="s">
        <v>2771</v>
      </c>
      <c r="E131" s="3109">
        <v>0.1</v>
      </c>
      <c r="F131" s="3109">
        <v>15</v>
      </c>
    </row>
    <row r="132" spans="1:6" ht="13.5">
      <c r="A132" s="3109">
        <v>60</v>
      </c>
      <c r="B132" s="3780" t="s">
        <v>2772</v>
      </c>
      <c r="C132" s="3109" t="s">
        <v>2773</v>
      </c>
      <c r="D132" s="3083" t="s">
        <v>2774</v>
      </c>
      <c r="E132" s="3109">
        <v>0.1</v>
      </c>
      <c r="F132" s="3109">
        <v>15</v>
      </c>
    </row>
    <row r="133" spans="1:6" ht="13.5">
      <c r="A133" s="3109">
        <v>61</v>
      </c>
      <c r="B133" s="3781"/>
      <c r="C133" s="3109" t="s">
        <v>2775</v>
      </c>
      <c r="D133" s="3083" t="s">
        <v>2776</v>
      </c>
      <c r="E133" s="3109">
        <v>0.1</v>
      </c>
      <c r="F133" s="3109">
        <v>15</v>
      </c>
    </row>
    <row r="134" spans="1:6" ht="24">
      <c r="A134" s="3109">
        <v>62</v>
      </c>
      <c r="B134" s="3109" t="s">
        <v>2777</v>
      </c>
      <c r="C134" s="3109" t="s">
        <v>2778</v>
      </c>
      <c r="D134" s="3083" t="s">
        <v>2779</v>
      </c>
      <c r="E134" s="3109">
        <v>0.1</v>
      </c>
      <c r="F134" s="3109">
        <v>15</v>
      </c>
    </row>
    <row r="135" spans="1:6" ht="13.5">
      <c r="A135" s="3109">
        <v>63</v>
      </c>
      <c r="B135" s="3779" t="s">
        <v>2780</v>
      </c>
      <c r="C135" s="3109" t="s">
        <v>2781</v>
      </c>
      <c r="D135" s="3083" t="s">
        <v>2782</v>
      </c>
      <c r="E135" s="3109">
        <v>0.1</v>
      </c>
      <c r="F135" s="3109">
        <v>15</v>
      </c>
    </row>
    <row r="136" spans="1:6" ht="13.5">
      <c r="A136" s="3109">
        <v>64</v>
      </c>
      <c r="B136" s="3779"/>
      <c r="C136" s="3109" t="s">
        <v>2783</v>
      </c>
      <c r="D136" s="3083" t="s">
        <v>2784</v>
      </c>
      <c r="E136" s="3109">
        <v>0.1</v>
      </c>
      <c r="F136" s="3109">
        <v>15</v>
      </c>
    </row>
    <row r="137" spans="1:6" ht="13.5">
      <c r="A137" s="3109">
        <v>65</v>
      </c>
      <c r="B137" s="3109" t="s">
        <v>2785</v>
      </c>
      <c r="C137" s="3109" t="s">
        <v>2786</v>
      </c>
      <c r="D137" s="3083" t="s">
        <v>2787</v>
      </c>
      <c r="E137" s="3109">
        <v>0.1</v>
      </c>
      <c r="F137" s="3109">
        <v>15</v>
      </c>
    </row>
    <row r="138" spans="1:6" ht="13.5">
      <c r="A138" s="3109"/>
      <c r="B138" s="3109"/>
      <c r="C138" s="3109"/>
      <c r="D138" s="3109"/>
      <c r="E138" s="3109" t="s">
        <v>2788</v>
      </c>
      <c r="F138" s="3109"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7"/>
  </cols>
  <sheetData>
    <row r="1" spans="1:20" ht="15" thickBot="1">
      <c r="A1" s="3118" t="s">
        <v>2789</v>
      </c>
      <c r="B1" s="3118"/>
      <c r="C1" s="3118"/>
      <c r="D1" s="3118"/>
      <c r="E1" s="3118"/>
      <c r="F1" s="3118"/>
      <c r="G1" s="3118"/>
      <c r="H1" s="3118"/>
      <c r="I1" s="3118"/>
      <c r="J1" s="3118"/>
      <c r="K1" s="3118"/>
      <c r="L1" s="3118"/>
      <c r="M1" s="3118"/>
      <c r="N1" s="746"/>
    </row>
    <row r="2" spans="1:20">
      <c r="A2" s="3119" t="s">
        <v>2790</v>
      </c>
      <c r="B2" s="3120" t="s">
        <v>2586</v>
      </c>
      <c r="C2" s="3120" t="s">
        <v>2587</v>
      </c>
      <c r="D2" s="3120" t="s">
        <v>2588</v>
      </c>
      <c r="E2" s="3120" t="s">
        <v>2589</v>
      </c>
      <c r="F2" s="3120" t="s">
        <v>2590</v>
      </c>
      <c r="G2" s="3120" t="s">
        <v>2591</v>
      </c>
      <c r="H2" s="3121" t="s">
        <v>2592</v>
      </c>
      <c r="I2" s="3121" t="s">
        <v>2593</v>
      </c>
      <c r="J2" s="3122" t="s">
        <v>2594</v>
      </c>
      <c r="K2" s="3122" t="s">
        <v>2595</v>
      </c>
      <c r="L2" s="3122" t="s">
        <v>2596</v>
      </c>
      <c r="M2" s="3123" t="s">
        <v>2597</v>
      </c>
      <c r="Q2" s="3133" t="s">
        <v>2795</v>
      </c>
      <c r="R2" s="3133" t="s">
        <v>2796</v>
      </c>
      <c r="S2" s="3133" t="s">
        <v>2797</v>
      </c>
      <c r="T2" s="3133" t="s">
        <v>2798</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8"/>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8"/>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8"/>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2791</v>
      </c>
      <c r="B93" s="3118"/>
      <c r="C93" s="3118"/>
      <c r="D93" s="3118"/>
      <c r="E93" s="3118"/>
      <c r="F93" s="3118"/>
      <c r="G93" s="3118"/>
      <c r="H93" s="3118"/>
      <c r="I93" s="3118"/>
      <c r="J93" s="3118"/>
      <c r="K93" s="3118"/>
      <c r="L93" s="3118"/>
      <c r="M93" s="3118"/>
    </row>
    <row r="94" spans="1:20">
      <c r="A94" s="3119" t="s">
        <v>2790</v>
      </c>
      <c r="B94" s="3120" t="s">
        <v>2586</v>
      </c>
      <c r="C94" s="3120" t="s">
        <v>2587</v>
      </c>
      <c r="D94" s="3120" t="s">
        <v>2588</v>
      </c>
      <c r="E94" s="3120" t="s">
        <v>2589</v>
      </c>
      <c r="F94" s="3120" t="s">
        <v>2590</v>
      </c>
      <c r="G94" s="3120" t="s">
        <v>2591</v>
      </c>
      <c r="H94" s="3121" t="s">
        <v>2592</v>
      </c>
      <c r="I94" s="3121" t="s">
        <v>2593</v>
      </c>
      <c r="J94" s="3122" t="s">
        <v>2594</v>
      </c>
      <c r="K94" s="3122" t="s">
        <v>2595</v>
      </c>
      <c r="L94" s="3122" t="s">
        <v>2596</v>
      </c>
      <c r="M94" s="3123" t="s">
        <v>2597</v>
      </c>
      <c r="N94" s="747">
        <f>SUMPRODUCT((A95:A184=ROUNDDOWN(基准地价修正!G3,1))*(B94:M94=基准地价修正!G2)*(B95:M184))</f>
        <v>0</v>
      </c>
      <c r="Q94" s="3133" t="s">
        <v>2795</v>
      </c>
      <c r="R94" s="3133" t="s">
        <v>2796</v>
      </c>
      <c r="S94" s="3133" t="s">
        <v>2797</v>
      </c>
      <c r="T94" s="3133" t="s">
        <v>2798</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6"/>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6"/>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2792</v>
      </c>
      <c r="B185" s="3118"/>
      <c r="C185" s="3118"/>
      <c r="D185" s="3118"/>
      <c r="E185" s="3118"/>
      <c r="F185" s="3118"/>
      <c r="G185" s="3118"/>
      <c r="H185" s="3118"/>
      <c r="I185" s="3118"/>
      <c r="J185" s="3118"/>
      <c r="K185" s="3118"/>
      <c r="L185" s="3118"/>
      <c r="M185" s="3118"/>
    </row>
    <row r="186" spans="1:20">
      <c r="A186" s="3119" t="s">
        <v>2790</v>
      </c>
      <c r="B186" s="3120" t="s">
        <v>2586</v>
      </c>
      <c r="C186" s="3120" t="s">
        <v>2587</v>
      </c>
      <c r="D186" s="3120" t="s">
        <v>2588</v>
      </c>
      <c r="E186" s="3120" t="s">
        <v>2589</v>
      </c>
      <c r="F186" s="3120" t="s">
        <v>2590</v>
      </c>
      <c r="G186" s="3120" t="s">
        <v>2591</v>
      </c>
      <c r="H186" s="3121" t="s">
        <v>2592</v>
      </c>
      <c r="I186" s="3121" t="s">
        <v>2593</v>
      </c>
      <c r="J186" s="3122" t="s">
        <v>2594</v>
      </c>
      <c r="K186" s="3122" t="s">
        <v>2595</v>
      </c>
      <c r="L186" s="3122" t="s">
        <v>2596</v>
      </c>
      <c r="M186" s="3123" t="s">
        <v>2597</v>
      </c>
      <c r="Q186" s="3133" t="s">
        <v>2795</v>
      </c>
      <c r="R186" s="3133" t="s">
        <v>2796</v>
      </c>
      <c r="S186" s="3133" t="s">
        <v>2797</v>
      </c>
      <c r="T186" s="3133" t="s">
        <v>2798</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2793</v>
      </c>
      <c r="B277" s="3118"/>
      <c r="C277" s="3118"/>
      <c r="D277" s="3118"/>
      <c r="E277" s="3118"/>
      <c r="F277" s="3118"/>
      <c r="G277" s="3118"/>
      <c r="H277" s="3118"/>
      <c r="I277" s="3118"/>
      <c r="J277" s="3118"/>
      <c r="K277" s="3118"/>
      <c r="L277" s="3118"/>
      <c r="M277" s="3118"/>
    </row>
    <row r="278" spans="1:21">
      <c r="A278" s="3119" t="s">
        <v>2790</v>
      </c>
      <c r="B278" s="3120" t="s">
        <v>2586</v>
      </c>
      <c r="C278" s="3120" t="s">
        <v>2587</v>
      </c>
      <c r="D278" s="3120" t="s">
        <v>2588</v>
      </c>
      <c r="E278" s="3120" t="s">
        <v>2589</v>
      </c>
      <c r="F278" s="3120" t="s">
        <v>2590</v>
      </c>
      <c r="G278" s="3120" t="s">
        <v>2591</v>
      </c>
      <c r="H278" s="3121" t="s">
        <v>2592</v>
      </c>
      <c r="I278" s="3121" t="s">
        <v>2593</v>
      </c>
      <c r="J278" s="3122" t="s">
        <v>2594</v>
      </c>
      <c r="K278" s="3122" t="s">
        <v>2595</v>
      </c>
      <c r="L278" s="3122" t="s">
        <v>2596</v>
      </c>
      <c r="M278" s="3123" t="s">
        <v>2597</v>
      </c>
      <c r="Q278" s="3133" t="s">
        <v>2795</v>
      </c>
      <c r="R278" s="3133" t="s">
        <v>2796</v>
      </c>
      <c r="S278" s="3133" t="s">
        <v>2799</v>
      </c>
      <c r="T278" s="3133" t="s">
        <v>2800</v>
      </c>
      <c r="U278" s="3133" t="s">
        <v>2798</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2794</v>
      </c>
      <c r="B369" s="3131"/>
      <c r="C369" s="3131"/>
      <c r="D369" s="3131"/>
      <c r="E369" s="3131"/>
      <c r="F369" s="3131"/>
      <c r="G369" s="3131"/>
      <c r="H369" s="3131"/>
      <c r="I369" s="3131"/>
      <c r="J369" s="3131"/>
      <c r="K369" s="3131"/>
      <c r="L369" s="3131"/>
      <c r="M369" s="3131"/>
    </row>
    <row r="370" spans="1:20">
      <c r="A370" s="3119" t="s">
        <v>2790</v>
      </c>
      <c r="B370" s="3120" t="s">
        <v>2586</v>
      </c>
      <c r="C370" s="3120" t="s">
        <v>2587</v>
      </c>
      <c r="D370" s="3120" t="s">
        <v>2588</v>
      </c>
      <c r="E370" s="3120" t="s">
        <v>2589</v>
      </c>
      <c r="F370" s="3120" t="s">
        <v>2590</v>
      </c>
      <c r="G370" s="3120" t="s">
        <v>2591</v>
      </c>
      <c r="H370" s="3121" t="s">
        <v>2592</v>
      </c>
      <c r="I370" s="3121" t="s">
        <v>2593</v>
      </c>
      <c r="J370" s="3122" t="s">
        <v>2594</v>
      </c>
      <c r="K370" s="3122" t="s">
        <v>2595</v>
      </c>
      <c r="L370" s="3122" t="s">
        <v>2596</v>
      </c>
      <c r="M370" s="3123" t="s">
        <v>2597</v>
      </c>
      <c r="N370" s="747">
        <f>SUMPRODUCT((A371:A460=ROUNDDOWN(基准地价修正!G3,1))*(B370:M370=基准地价修正!G2)*(B371:M460))</f>
        <v>0</v>
      </c>
      <c r="Q370" s="3133" t="s">
        <v>2795</v>
      </c>
      <c r="R370" s="3133" t="s">
        <v>2796</v>
      </c>
      <c r="S370" s="3133" t="s">
        <v>2797</v>
      </c>
      <c r="T370" s="3133" t="s">
        <v>2798</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0</v>
      </c>
      <c r="D10" s="842">
        <f>'数据-汇总表'!E6</f>
        <v>0</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0</v>
      </c>
      <c r="D19" s="846">
        <f>'数据-汇总表'!E3</f>
        <v>0</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1763</v>
      </c>
      <c r="D22" s="235">
        <f ca="1">C26</f>
        <v>8.0000000000000004E-4</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1746</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2">
        <f ca="1">ROUND(IF('数据-取费表'!B22&lt;=1,C20*F22*'数据-取费表'!B23/2,C20*(POWER((1+F22),'数据-取费表'!B23/2)-1)),0)</f>
        <v>17</v>
      </c>
      <c r="D25" s="238"/>
      <c r="E25" s="241"/>
      <c r="F25" s="239"/>
      <c r="G25" s="242" t="s">
        <v>83</v>
      </c>
    </row>
    <row r="26" spans="1:7" s="214" customFormat="1">
      <c r="A26" s="777" t="s">
        <v>350</v>
      </c>
      <c r="B26" s="215" t="s">
        <v>422</v>
      </c>
      <c r="C26" s="238">
        <f ca="1">ROUND(IF('数据-取费表'!B22&lt;=1,F21*F22*'数据-取费表'!B23/2,F21*(POWER((1+F22),'数据-取费表'!B23/2)-1)),4)</f>
        <v>8.0000000000000004E-4</v>
      </c>
      <c r="D26" s="238"/>
      <c r="E26" s="241"/>
      <c r="F26" s="239"/>
      <c r="G26" s="243"/>
    </row>
    <row r="27" spans="1:7" s="214" customFormat="1" ht="24.75">
      <c r="A27" s="774" t="s">
        <v>342</v>
      </c>
      <c r="B27" s="244" t="s">
        <v>85</v>
      </c>
      <c r="C27" s="245" t="e">
        <f>C28</f>
        <v>#DIV/0!</v>
      </c>
      <c r="D27" s="235" t="e">
        <f>C29</f>
        <v>#DIV/0!</v>
      </c>
      <c r="E27" s="236" t="s">
        <v>99</v>
      </c>
      <c r="F27" s="246" t="e">
        <f>'数据-取费表'!Q16</f>
        <v>#DIV/0!</v>
      </c>
      <c r="G27" s="247" t="s">
        <v>431</v>
      </c>
    </row>
    <row r="28" spans="1:7" s="214" customFormat="1" ht="13.5" customHeight="1">
      <c r="A28" s="777" t="s">
        <v>349</v>
      </c>
      <c r="B28" s="248" t="s">
        <v>424</v>
      </c>
      <c r="C28" s="249" t="e">
        <f>ROUND((C5+C19+C20)*F27*'数据-取费表'!B21/'数据-取费表'!B20,0)</f>
        <v>#DIV/0!</v>
      </c>
      <c r="D28" s="235"/>
      <c r="E28" s="236"/>
      <c r="F28" s="246"/>
      <c r="G28" s="247"/>
    </row>
    <row r="29" spans="1:7" s="214" customFormat="1" ht="13.5" customHeight="1">
      <c r="A29" s="777" t="s">
        <v>347</v>
      </c>
      <c r="B29" s="248" t="s">
        <v>425</v>
      </c>
      <c r="C29" s="238" t="e">
        <f>ROUND(C21*F27*'数据-取费表'!B21/'数据-取费表'!B20,4)</f>
        <v>#DIV/0!</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7" t="s">
        <v>351</v>
      </c>
      <c r="B35" s="215" t="s">
        <v>33</v>
      </c>
      <c r="C35" s="220">
        <f>ROUND(C34*F35,0)</f>
        <v>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0.03</v>
      </c>
      <c r="G36" s="260" t="s">
        <v>35</v>
      </c>
    </row>
    <row r="37" spans="1:7" s="258" customFormat="1" ht="13.5" customHeight="1">
      <c r="A37" s="777" t="s">
        <v>353</v>
      </c>
      <c r="B37" s="215" t="s">
        <v>91</v>
      </c>
      <c r="C37" s="249">
        <f>ROUND(E37*D37*F34/10000,0)</f>
        <v>0</v>
      </c>
      <c r="D37" s="217">
        <f>'数据-汇总表'!E3</f>
        <v>0</v>
      </c>
      <c r="E37" s="249">
        <f>'数据-取费表'!B35</f>
        <v>200</v>
      </c>
      <c r="F37" s="259"/>
      <c r="G37" s="261" t="s">
        <v>92</v>
      </c>
    </row>
    <row r="38" spans="1:7" ht="13.5" customHeight="1">
      <c r="A38" s="777" t="s">
        <v>354</v>
      </c>
      <c r="B38" s="215" t="s">
        <v>36</v>
      </c>
      <c r="C38" s="220">
        <f>ROUND(C34*F38,0)</f>
        <v>0</v>
      </c>
      <c r="D38" s="220"/>
      <c r="E38" s="220"/>
      <c r="F38" s="259">
        <f>'数据-取费表'!B36</f>
        <v>1.4999999999999999E-2</v>
      </c>
      <c r="G38" s="219" t="s">
        <v>90</v>
      </c>
    </row>
    <row r="39" spans="1:7" s="214" customFormat="1" ht="13.5" customHeight="1">
      <c r="A39" s="774" t="s">
        <v>338</v>
      </c>
      <c r="B39" s="210" t="s">
        <v>77</v>
      </c>
      <c r="C39" s="232">
        <f>ROUND(C33*F20,0)</f>
        <v>0</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0</v>
      </c>
      <c r="D41" s="235">
        <f ca="1">C44</f>
        <v>8.0000000000000004E-4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0</v>
      </c>
      <c r="D42" s="238"/>
      <c r="E42" s="238"/>
      <c r="F42" s="239"/>
      <c r="G42" s="3654" t="s">
        <v>94</v>
      </c>
    </row>
    <row r="43" spans="1:7" ht="13.5" customHeight="1">
      <c r="A43" s="777" t="s">
        <v>347</v>
      </c>
      <c r="B43" s="215" t="s">
        <v>426</v>
      </c>
      <c r="C43" s="238">
        <f ca="1">ROUND(IF('数据-取费表'!B22&lt;=1,C39*F22*'数据-取费表'!B21/2,C39*(POWER((1+F22),'数据-取费表'!B21/2)-1)),0)</f>
        <v>0</v>
      </c>
      <c r="D43" s="238"/>
      <c r="E43" s="238"/>
      <c r="F43" s="239"/>
      <c r="G43" s="3655"/>
    </row>
    <row r="44" spans="1:7" ht="13.5" customHeight="1">
      <c r="A44" s="777" t="s">
        <v>348</v>
      </c>
      <c r="B44" s="215" t="s">
        <v>428</v>
      </c>
      <c r="C44" s="238">
        <f ca="1">ROUND(IF('数据-取费表'!B22&lt;=1,C40*F22*'数据-取费表'!B21/2,C40*(POWER((1+F22),'数据-取费表'!B21/2)-1)),4)</f>
        <v>8.0000000000000004E-4</v>
      </c>
      <c r="D44" s="238"/>
      <c r="E44" s="238"/>
      <c r="F44" s="239"/>
      <c r="G44" s="3656"/>
    </row>
    <row r="45" spans="1:7" s="214" customFormat="1" ht="13.5" customHeight="1">
      <c r="A45" s="774" t="s">
        <v>341</v>
      </c>
      <c r="B45" s="244" t="s">
        <v>85</v>
      </c>
      <c r="C45" s="245" t="e">
        <f>C46</f>
        <v>#DIV/0!</v>
      </c>
      <c r="D45" s="235" t="e">
        <f>C47</f>
        <v>#DIV/0!</v>
      </c>
      <c r="E45" s="236" t="s">
        <v>102</v>
      </c>
      <c r="F45" s="246"/>
      <c r="G45" s="247" t="s">
        <v>434</v>
      </c>
    </row>
    <row r="46" spans="1:7" s="214" customFormat="1" ht="13.5" customHeight="1">
      <c r="A46" s="777" t="s">
        <v>349</v>
      </c>
      <c r="B46" s="248" t="s">
        <v>427</v>
      </c>
      <c r="C46" s="249" t="e">
        <f>ROUND((C33+C39)*F27,0)</f>
        <v>#DIV/0!</v>
      </c>
      <c r="D46" s="263"/>
      <c r="E46" s="236"/>
      <c r="F46" s="246"/>
      <c r="G46" s="247"/>
    </row>
    <row r="47" spans="1:7" s="214" customFormat="1" ht="13.5" customHeight="1">
      <c r="A47" s="777" t="s">
        <v>347</v>
      </c>
      <c r="B47" s="248" t="s">
        <v>429</v>
      </c>
      <c r="C47" s="238" t="e">
        <f>ROUND(C40*F27,4)</f>
        <v>#DIV/0!</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t="e">
        <f ca="1">ROUND((C33+C39+C41+C45)/(1-C40-D41-D45-C48/(1+'数据-取费表'!B42)),0)</f>
        <v>#DIV/0!</v>
      </c>
      <c r="D49" s="232"/>
      <c r="E49" s="232"/>
      <c r="F49" s="264"/>
      <c r="G49" s="234" t="s">
        <v>435</v>
      </c>
    </row>
    <row r="50" spans="1:7" s="258" customFormat="1" ht="24">
      <c r="A50" s="774" t="s">
        <v>344</v>
      </c>
      <c r="B50" s="210" t="s">
        <v>97</v>
      </c>
      <c r="C50" s="232"/>
      <c r="D50" s="232"/>
      <c r="E50" s="232"/>
      <c r="F50" s="264" t="e">
        <f>IF('数据-取费表'!B24=0,'数据-取费表'!N16,1)</f>
        <v>#DIV/0!</v>
      </c>
      <c r="G50" s="247" t="s">
        <v>98</v>
      </c>
    </row>
    <row r="51" spans="1:7" ht="16.5" customHeight="1">
      <c r="A51" s="774"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估价结果一览表（市场价值不需“结果表-1”）</v>
      </c>
      <c r="B3" s="3477"/>
      <c r="C3" s="3477"/>
      <c r="D3" s="3477"/>
      <c r="E3" s="3477"/>
    </row>
    <row r="4" spans="1:5" ht="19.5" thickBot="1">
      <c r="A4" s="1490"/>
      <c r="B4" s="3475" t="s">
        <v>917</v>
      </c>
      <c r="C4" s="3475"/>
      <c r="D4" s="3475"/>
      <c r="E4" s="1490"/>
    </row>
    <row r="5" spans="1:5" ht="16.5" thickTop="1">
      <c r="A5" s="1488"/>
      <c r="B5" s="3473" t="s">
        <v>909</v>
      </c>
      <c r="C5" s="1491" t="s">
        <v>910</v>
      </c>
      <c r="D5" s="847" t="e">
        <f ca="1">结果表!H101</f>
        <v>#REF!</v>
      </c>
      <c r="E5" s="1488"/>
    </row>
    <row r="6" spans="1:5" ht="15.75">
      <c r="A6" s="1488"/>
      <c r="B6" s="3473"/>
      <c r="C6" s="1491" t="s">
        <v>911</v>
      </c>
      <c r="D6" s="847" t="e">
        <f ca="1">NUMBERSTRING(INT(D5*10000),2)&amp;"元整"</f>
        <v>#REF!</v>
      </c>
      <c r="E6" s="1488"/>
    </row>
    <row r="7" spans="1:5" ht="15.75">
      <c r="A7" s="1488"/>
      <c r="B7" s="3478"/>
      <c r="C7" s="1492" t="s">
        <v>912</v>
      </c>
      <c r="D7" s="848" t="e">
        <f ca="1">结果表!H102</f>
        <v>#REF!</v>
      </c>
      <c r="E7" s="1488"/>
    </row>
    <row r="8" spans="1:5" ht="15.75">
      <c r="A8" s="1488"/>
      <c r="B8" s="3479" t="str">
        <f>结果表!E103</f>
        <v>2.估价师知悉的法定优先受偿款</v>
      </c>
      <c r="C8" s="1493" t="s">
        <v>913</v>
      </c>
      <c r="D8" s="848">
        <f>结果表!H103</f>
        <v>0</v>
      </c>
      <c r="E8" s="1488"/>
    </row>
    <row r="9" spans="1:5" ht="15.75">
      <c r="A9" s="1488"/>
      <c r="B9" s="3481"/>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2" t="str">
        <f>结果表!E107</f>
        <v>3.房地产抵押价值</v>
      </c>
      <c r="C13" s="1496" t="s">
        <v>910</v>
      </c>
      <c r="D13" s="850" t="e">
        <f ca="1">结果表!H107</f>
        <v>#REF!</v>
      </c>
      <c r="E13" s="1488"/>
    </row>
    <row r="14" spans="1:5" ht="15.75">
      <c r="A14" s="1488"/>
      <c r="B14" s="3473"/>
      <c r="C14" s="1491" t="s">
        <v>911</v>
      </c>
      <c r="D14" s="847" t="e">
        <f ca="1">NUMBERSTRING(INT(D13*10000),2)&amp;"元整"</f>
        <v>#REF!</v>
      </c>
      <c r="E14" s="1488"/>
    </row>
    <row r="15" spans="1:5" ht="15">
      <c r="A15" s="1488"/>
      <c r="B15" s="3478"/>
      <c r="C15" s="1492" t="s">
        <v>921</v>
      </c>
      <c r="D15" s="856" t="e">
        <f ca="1">结果表!H108</f>
        <v>#REF!</v>
      </c>
      <c r="E15" s="1488"/>
    </row>
    <row r="16" spans="1:5" ht="15">
      <c r="A16" s="1488"/>
      <c r="B16" s="3479" t="str">
        <f>结果表!E109</f>
        <v>——</v>
      </c>
      <c r="C16" s="1496" t="s">
        <v>922</v>
      </c>
      <c r="D16" s="1497" t="str">
        <f>结果表!H109</f>
        <v>——</v>
      </c>
      <c r="E16" s="1488"/>
    </row>
    <row r="17" spans="1:5" ht="15.75">
      <c r="A17" s="1488"/>
      <c r="B17" s="3480"/>
      <c r="C17" s="1491" t="s">
        <v>923</v>
      </c>
      <c r="D17" s="847" t="e">
        <f>NUMBERSTRING(INT(D16*10000),2)&amp;"元整"</f>
        <v>#VALUE!</v>
      </c>
      <c r="E17" s="1488"/>
    </row>
    <row r="18" spans="1:5" ht="15">
      <c r="A18" s="1488"/>
      <c r="B18" s="3481"/>
      <c r="C18" s="1492" t="s">
        <v>912</v>
      </c>
      <c r="D18" s="856" t="str">
        <f>结果表!H110</f>
        <v>——</v>
      </c>
      <c r="E18" s="1488"/>
    </row>
    <row r="19" spans="1:5" ht="15.75">
      <c r="A19" s="1488"/>
      <c r="B19" s="3472" t="str">
        <f>结果表!E111</f>
        <v>——</v>
      </c>
      <c r="C19" s="1496" t="s">
        <v>910</v>
      </c>
      <c r="D19" s="848" t="str">
        <f>结果表!H111</f>
        <v>——</v>
      </c>
      <c r="E19" s="1488"/>
    </row>
    <row r="20" spans="1:5" ht="15.75">
      <c r="A20" s="1488"/>
      <c r="B20" s="3473"/>
      <c r="C20" s="1491" t="s">
        <v>923</v>
      </c>
      <c r="D20" s="847" t="e">
        <f>NUMBERSTRING(INT(D19*10000),2)&amp;"元整"</f>
        <v>#VALUE!</v>
      </c>
      <c r="E20" s="1488"/>
    </row>
    <row r="21" spans="1:5" ht="15.75" thickBot="1">
      <c r="A21" s="1488"/>
      <c r="B21" s="3474"/>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93" t="s">
        <v>2832</v>
      </c>
      <c r="B1" s="3793"/>
      <c r="C1" s="3793"/>
      <c r="D1" s="3793"/>
      <c r="E1" s="3793"/>
      <c r="F1" s="3793"/>
      <c r="G1" s="3794"/>
      <c r="I1" s="3214" t="s">
        <v>2833</v>
      </c>
      <c r="J1" s="3215" t="s">
        <v>2834</v>
      </c>
      <c r="K1" s="3215" t="s">
        <v>2835</v>
      </c>
      <c r="L1" s="3215" t="s">
        <v>2836</v>
      </c>
      <c r="M1" s="3215" t="s">
        <v>2837</v>
      </c>
      <c r="N1" s="3215" t="s">
        <v>2838</v>
      </c>
      <c r="O1" s="3215" t="s">
        <v>2839</v>
      </c>
      <c r="P1" s="3215" t="s">
        <v>2840</v>
      </c>
      <c r="Q1" s="3215" t="s">
        <v>2841</v>
      </c>
      <c r="R1" s="3215" t="s">
        <v>2842</v>
      </c>
      <c r="S1" s="3215" t="s">
        <v>2843</v>
      </c>
      <c r="T1" s="3216" t="s">
        <v>2844</v>
      </c>
    </row>
    <row r="2" spans="1:20" ht="12" thickBot="1">
      <c r="A2" s="3218" t="s">
        <v>2845</v>
      </c>
      <c r="B2" s="3218"/>
      <c r="C2" s="3218"/>
      <c r="D2" s="3218"/>
      <c r="E2" s="3218"/>
      <c r="F2" s="3218"/>
      <c r="G2" s="3219" t="s">
        <v>2846</v>
      </c>
      <c r="I2" s="3220" t="s">
        <v>2847</v>
      </c>
      <c r="J2" s="3220" t="s">
        <v>2848</v>
      </c>
      <c r="K2" s="3220" t="s">
        <v>2849</v>
      </c>
      <c r="L2" s="3220" t="s">
        <v>2850</v>
      </c>
      <c r="M2" s="3220" t="s">
        <v>2851</v>
      </c>
      <c r="N2" s="3220" t="s">
        <v>2852</v>
      </c>
      <c r="O2" s="3220" t="s">
        <v>2853</v>
      </c>
      <c r="P2" s="3220" t="s">
        <v>2854</v>
      </c>
      <c r="Q2" s="3220" t="s">
        <v>2855</v>
      </c>
      <c r="R2" s="3220" t="s">
        <v>2856</v>
      </c>
      <c r="S2" s="3220" t="s">
        <v>2857</v>
      </c>
      <c r="T2" s="3220" t="s">
        <v>2858</v>
      </c>
    </row>
    <row r="3" spans="1:20" s="3226" customFormat="1">
      <c r="A3" s="3791" t="s">
        <v>2859</v>
      </c>
      <c r="B3" s="3221"/>
      <c r="C3" s="3222" t="s">
        <v>2802</v>
      </c>
      <c r="D3" s="3222" t="s">
        <v>2860</v>
      </c>
      <c r="E3" s="3222" t="s">
        <v>2804</v>
      </c>
      <c r="F3" s="3222" t="s">
        <v>2861</v>
      </c>
      <c r="G3" s="3222" t="s">
        <v>2622</v>
      </c>
      <c r="H3" s="3223"/>
      <c r="I3" s="3224" t="s">
        <v>2862</v>
      </c>
      <c r="J3" s="3225" t="s">
        <v>128</v>
      </c>
      <c r="K3" s="3225" t="s">
        <v>129</v>
      </c>
      <c r="L3" s="3224" t="s">
        <v>130</v>
      </c>
      <c r="M3" s="3224" t="s">
        <v>131</v>
      </c>
      <c r="N3" s="3224" t="s">
        <v>132</v>
      </c>
      <c r="O3" s="3224" t="s">
        <v>133</v>
      </c>
      <c r="P3" s="3224" t="s">
        <v>134</v>
      </c>
      <c r="Q3" s="3224" t="s">
        <v>135</v>
      </c>
      <c r="R3" s="3224" t="s">
        <v>136</v>
      </c>
      <c r="S3" s="3224" t="s">
        <v>2863</v>
      </c>
      <c r="T3" s="3224" t="s">
        <v>2864</v>
      </c>
    </row>
    <row r="4" spans="1:20" s="3226" customFormat="1" ht="12" thickBot="1">
      <c r="A4" s="3792"/>
      <c r="B4" s="3227" t="s">
        <v>2865</v>
      </c>
      <c r="C4" s="3227" t="s">
        <v>2866</v>
      </c>
      <c r="D4" s="3227" t="s">
        <v>2866</v>
      </c>
      <c r="E4" s="3227" t="s">
        <v>2866</v>
      </c>
      <c r="F4" s="3228" t="s">
        <v>2866</v>
      </c>
      <c r="G4" s="3228" t="s">
        <v>2866</v>
      </c>
      <c r="H4" s="3223"/>
      <c r="I4" s="3225" t="s">
        <v>137</v>
      </c>
      <c r="J4" s="3225" t="s">
        <v>111</v>
      </c>
      <c r="K4" s="3225" t="s">
        <v>138</v>
      </c>
      <c r="L4" s="3224" t="s">
        <v>139</v>
      </c>
      <c r="M4" s="3224" t="s">
        <v>140</v>
      </c>
      <c r="N4" s="3224" t="s">
        <v>141</v>
      </c>
      <c r="O4" s="3224" t="s">
        <v>142</v>
      </c>
      <c r="P4" s="3224" t="s">
        <v>143</v>
      </c>
      <c r="Q4" s="3224" t="s">
        <v>2867</v>
      </c>
      <c r="R4" s="3224" t="s">
        <v>2868</v>
      </c>
      <c r="S4" s="3224" t="s">
        <v>2869</v>
      </c>
      <c r="T4" s="3224" t="s">
        <v>2870</v>
      </c>
    </row>
    <row r="5" spans="1:20">
      <c r="A5" s="3229" t="s">
        <v>2833</v>
      </c>
      <c r="B5" s="3220" t="s">
        <v>2847</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2871</v>
      </c>
      <c r="R5" s="3224" t="s">
        <v>2872</v>
      </c>
      <c r="S5" s="3224" t="s">
        <v>153</v>
      </c>
      <c r="T5" s="3224" t="s">
        <v>2873</v>
      </c>
    </row>
    <row r="6" spans="1:20" ht="12" thickBot="1">
      <c r="A6" s="3224" t="s">
        <v>144</v>
      </c>
      <c r="B6" s="3224" t="s">
        <v>2862</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2874</v>
      </c>
      <c r="Q6" s="3224" t="s">
        <v>2875</v>
      </c>
      <c r="R6" s="3224" t="s">
        <v>161</v>
      </c>
      <c r="S6" s="3224" t="s">
        <v>2876</v>
      </c>
      <c r="T6" s="3224" t="s">
        <v>2877</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2878</v>
      </c>
      <c r="Q7" s="3224" t="s">
        <v>2879</v>
      </c>
      <c r="R7" s="3224" t="s">
        <v>2880</v>
      </c>
      <c r="S7" s="3224" t="s">
        <v>2881</v>
      </c>
      <c r="T7" s="3224" t="s">
        <v>2882</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2883</v>
      </c>
      <c r="Q8" s="3224" t="s">
        <v>174</v>
      </c>
      <c r="R8" s="3224" t="s">
        <v>2884</v>
      </c>
      <c r="S8" s="3224" t="s">
        <v>2885</v>
      </c>
      <c r="T8" s="3231" t="s">
        <v>2886</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2887</v>
      </c>
      <c r="Q9" s="3224" t="s">
        <v>182</v>
      </c>
      <c r="R9" s="3224" t="s">
        <v>183</v>
      </c>
      <c r="S9" s="3224" t="s">
        <v>200</v>
      </c>
    </row>
    <row r="10" spans="1:20">
      <c r="A10" s="3229" t="s">
        <v>184</v>
      </c>
      <c r="B10" s="3220" t="s">
        <v>2848</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2888</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2889</v>
      </c>
      <c r="P11" s="3224" t="s">
        <v>191</v>
      </c>
      <c r="Q11" s="3224" t="s">
        <v>199</v>
      </c>
      <c r="R11" s="3224" t="s">
        <v>2890</v>
      </c>
      <c r="S11" s="3224" t="s">
        <v>2891</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2892</v>
      </c>
      <c r="P12" s="3224" t="s">
        <v>2893</v>
      </c>
      <c r="Q12" s="3224" t="s">
        <v>2894</v>
      </c>
      <c r="R12" s="3224" t="s">
        <v>2895</v>
      </c>
      <c r="S12" s="3224" t="s">
        <v>2896</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2897</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2898</v>
      </c>
      <c r="K14" s="3225" t="s">
        <v>215</v>
      </c>
      <c r="L14" s="3224" t="s">
        <v>216</v>
      </c>
      <c r="M14" s="3224" t="s">
        <v>217</v>
      </c>
      <c r="N14" s="3224" t="s">
        <v>218</v>
      </c>
      <c r="O14" s="3224" t="s">
        <v>240</v>
      </c>
      <c r="P14" s="3224" t="s">
        <v>213</v>
      </c>
      <c r="Q14" s="3224" t="s">
        <v>2899</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2900</v>
      </c>
      <c r="P15" s="3224" t="s">
        <v>2901</v>
      </c>
      <c r="Q15" s="3224" t="s">
        <v>242</v>
      </c>
      <c r="R15" s="3224" t="s">
        <v>2902</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2903</v>
      </c>
      <c r="P16" s="3224" t="s">
        <v>227</v>
      </c>
      <c r="Q16" s="3224" t="s">
        <v>250</v>
      </c>
      <c r="R16" s="3224" t="s">
        <v>207</v>
      </c>
      <c r="S16" s="3224" t="s">
        <v>2904</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2905</v>
      </c>
      <c r="P17" s="3224" t="s">
        <v>2906</v>
      </c>
      <c r="Q17" s="3224" t="s">
        <v>256</v>
      </c>
      <c r="R17" s="3224" t="s">
        <v>2907</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2908</v>
      </c>
      <c r="P18" s="3224" t="s">
        <v>241</v>
      </c>
      <c r="Q18" s="3224" t="s">
        <v>2909</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2910</v>
      </c>
      <c r="P19" s="3224" t="s">
        <v>249</v>
      </c>
      <c r="Q19" s="3224" t="s">
        <v>2911</v>
      </c>
      <c r="R19" s="3224" t="s">
        <v>265</v>
      </c>
      <c r="S19" s="3224" t="s">
        <v>2912</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2913</v>
      </c>
      <c r="P20" s="3224" t="s">
        <v>2914</v>
      </c>
      <c r="Q20" s="3224" t="s">
        <v>290</v>
      </c>
      <c r="R20" s="3224" t="s">
        <v>2915</v>
      </c>
      <c r="S20" s="3224" t="s">
        <v>277</v>
      </c>
    </row>
    <row r="21" spans="1:19" ht="14.25" customHeight="1" thickBot="1">
      <c r="A21" s="3224" t="s">
        <v>184</v>
      </c>
      <c r="B21" s="3225" t="s">
        <v>208</v>
      </c>
      <c r="C21" s="3224">
        <v>32370</v>
      </c>
      <c r="D21" s="3224">
        <v>26730</v>
      </c>
      <c r="E21" s="3224">
        <v>26640</v>
      </c>
      <c r="F21" s="3224"/>
      <c r="G21" s="3224">
        <v>19440</v>
      </c>
      <c r="J21" s="3231" t="s">
        <v>2916</v>
      </c>
      <c r="K21" s="3225" t="s">
        <v>267</v>
      </c>
      <c r="L21" s="3224" t="s">
        <v>268</v>
      </c>
      <c r="M21" s="3224" t="s">
        <v>269</v>
      </c>
      <c r="N21" s="3224" t="s">
        <v>270</v>
      </c>
      <c r="O21" s="3224" t="s">
        <v>264</v>
      </c>
      <c r="P21" s="3224" t="s">
        <v>283</v>
      </c>
      <c r="Q21" s="3224" t="s">
        <v>293</v>
      </c>
      <c r="R21" s="3224" t="s">
        <v>2917</v>
      </c>
      <c r="S21" s="3231" t="s">
        <v>2918</v>
      </c>
    </row>
    <row r="22" spans="1:19" ht="14.25" customHeight="1">
      <c r="A22" s="3224" t="s">
        <v>184</v>
      </c>
      <c r="B22" s="3225" t="s">
        <v>2898</v>
      </c>
      <c r="C22" s="3224">
        <v>29830</v>
      </c>
      <c r="D22" s="3224">
        <v>27600</v>
      </c>
      <c r="E22" s="3224">
        <v>28150</v>
      </c>
      <c r="F22" s="3224"/>
      <c r="G22" s="3224">
        <v>20080</v>
      </c>
      <c r="K22" s="3225" t="s">
        <v>2919</v>
      </c>
      <c r="L22" s="3224" t="s">
        <v>272</v>
      </c>
      <c r="M22" s="3224" t="s">
        <v>273</v>
      </c>
      <c r="N22" s="3224" t="s">
        <v>274</v>
      </c>
      <c r="O22" s="3224" t="s">
        <v>2920</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2921</v>
      </c>
      <c r="L23" s="3224" t="s">
        <v>278</v>
      </c>
      <c r="M23" s="3224" t="s">
        <v>279</v>
      </c>
      <c r="N23" s="3224" t="s">
        <v>2922</v>
      </c>
      <c r="O23" s="3224" t="s">
        <v>2923</v>
      </c>
      <c r="P23" s="3224" t="s">
        <v>289</v>
      </c>
      <c r="Q23" s="3224" t="s">
        <v>298</v>
      </c>
      <c r="R23" s="3224" t="s">
        <v>2924</v>
      </c>
    </row>
    <row r="24" spans="1:19" ht="14.25" customHeight="1">
      <c r="A24" s="3224" t="s">
        <v>184</v>
      </c>
      <c r="B24" s="3225" t="s">
        <v>230</v>
      </c>
      <c r="C24" s="3224">
        <v>27930</v>
      </c>
      <c r="D24" s="3224">
        <v>32260</v>
      </c>
      <c r="E24" s="3224">
        <v>32120</v>
      </c>
      <c r="F24" s="3224"/>
      <c r="G24" s="3224">
        <v>23470</v>
      </c>
      <c r="K24" s="3225" t="s">
        <v>2925</v>
      </c>
      <c r="L24" s="3224" t="s">
        <v>281</v>
      </c>
      <c r="M24" s="3224" t="s">
        <v>282</v>
      </c>
      <c r="N24" s="3224" t="s">
        <v>2926</v>
      </c>
      <c r="O24" s="3224" t="s">
        <v>285</v>
      </c>
      <c r="P24" s="3224" t="s">
        <v>2927</v>
      </c>
      <c r="Q24" s="3233" t="s">
        <v>2928</v>
      </c>
      <c r="R24" s="3224" t="s">
        <v>2929</v>
      </c>
    </row>
    <row r="25" spans="1:19" ht="14.25" customHeight="1">
      <c r="A25" s="3224" t="s">
        <v>184</v>
      </c>
      <c r="B25" s="3225" t="s">
        <v>235</v>
      </c>
      <c r="C25" s="3224">
        <v>32230</v>
      </c>
      <c r="D25" s="3224">
        <v>29640</v>
      </c>
      <c r="E25" s="3224">
        <v>29510</v>
      </c>
      <c r="F25" s="3224"/>
      <c r="G25" s="3224">
        <v>21560</v>
      </c>
      <c r="K25" s="3225" t="s">
        <v>2930</v>
      </c>
      <c r="L25" s="3224" t="s">
        <v>2931</v>
      </c>
      <c r="M25" s="3224" t="s">
        <v>284</v>
      </c>
      <c r="N25" s="3224" t="s">
        <v>292</v>
      </c>
      <c r="O25" s="3224" t="s">
        <v>288</v>
      </c>
      <c r="P25" s="3224" t="s">
        <v>275</v>
      </c>
      <c r="Q25" s="3233" t="s">
        <v>271</v>
      </c>
      <c r="R25" s="3224" t="s">
        <v>2932</v>
      </c>
    </row>
    <row r="26" spans="1:19" ht="14.25" customHeight="1" thickBot="1">
      <c r="A26" s="3224" t="s">
        <v>184</v>
      </c>
      <c r="B26" s="3225" t="s">
        <v>244</v>
      </c>
      <c r="C26" s="3224">
        <v>31690</v>
      </c>
      <c r="D26" s="3224">
        <v>27650</v>
      </c>
      <c r="E26" s="3224">
        <v>28200</v>
      </c>
      <c r="F26" s="3224"/>
      <c r="G26" s="3224">
        <v>20110</v>
      </c>
      <c r="K26" s="3230" t="s">
        <v>2933</v>
      </c>
      <c r="L26" s="3224" t="s">
        <v>2934</v>
      </c>
      <c r="M26" s="3224" t="s">
        <v>287</v>
      </c>
      <c r="N26" s="3224" t="s">
        <v>294</v>
      </c>
      <c r="O26" s="3224" t="s">
        <v>2935</v>
      </c>
      <c r="P26" s="3224" t="s">
        <v>2936</v>
      </c>
      <c r="Q26" s="3233" t="s">
        <v>276</v>
      </c>
      <c r="R26" s="3224" t="s">
        <v>2937</v>
      </c>
    </row>
    <row r="27" spans="1:19" ht="14.25" customHeight="1">
      <c r="A27" s="3224" t="s">
        <v>184</v>
      </c>
      <c r="B27" s="3225" t="s">
        <v>251</v>
      </c>
      <c r="C27" s="3224">
        <v>29610</v>
      </c>
      <c r="D27" s="3224">
        <v>27770</v>
      </c>
      <c r="E27" s="3224">
        <v>28300</v>
      </c>
      <c r="F27" s="3224"/>
      <c r="G27" s="3224">
        <v>20210</v>
      </c>
      <c r="L27" s="3224" t="s">
        <v>2938</v>
      </c>
      <c r="M27" s="3224" t="s">
        <v>291</v>
      </c>
      <c r="N27" s="3224" t="s">
        <v>297</v>
      </c>
      <c r="O27" s="3224" t="s">
        <v>2939</v>
      </c>
      <c r="P27" s="3224" t="s">
        <v>2940</v>
      </c>
      <c r="Q27" s="3224" t="s">
        <v>2941</v>
      </c>
      <c r="R27" s="3224" t="s">
        <v>2942</v>
      </c>
    </row>
    <row r="28" spans="1:19" ht="14.25" customHeight="1">
      <c r="A28" s="3224" t="s">
        <v>184</v>
      </c>
      <c r="B28" s="3225" t="s">
        <v>259</v>
      </c>
      <c r="C28" s="3224"/>
      <c r="D28" s="3224">
        <v>31520</v>
      </c>
      <c r="E28" s="3224">
        <v>31410</v>
      </c>
      <c r="F28" s="3224"/>
      <c r="G28" s="3224">
        <v>22940</v>
      </c>
      <c r="L28" s="3224" t="s">
        <v>2943</v>
      </c>
      <c r="M28" s="3224" t="s">
        <v>2944</v>
      </c>
      <c r="N28" s="3224" t="s">
        <v>2945</v>
      </c>
      <c r="O28" s="3224" t="s">
        <v>2946</v>
      </c>
      <c r="P28" s="3224" t="s">
        <v>2947</v>
      </c>
      <c r="Q28" s="3224" t="s">
        <v>2948</v>
      </c>
      <c r="R28" s="3224" t="s">
        <v>2949</v>
      </c>
    </row>
    <row r="29" spans="1:19" ht="14.25" customHeight="1" thickBot="1">
      <c r="A29" s="3232" t="s">
        <v>184</v>
      </c>
      <c r="B29" s="3234" t="s">
        <v>2916</v>
      </c>
      <c r="C29" s="3235"/>
      <c r="D29" s="3235">
        <v>29460</v>
      </c>
      <c r="E29" s="3235">
        <v>28640</v>
      </c>
      <c r="F29" s="3235"/>
      <c r="G29" s="3235">
        <v>21430</v>
      </c>
      <c r="L29" s="3224" t="s">
        <v>2950</v>
      </c>
      <c r="M29" s="3224" t="s">
        <v>2951</v>
      </c>
      <c r="N29" s="3224" t="s">
        <v>2952</v>
      </c>
      <c r="O29" s="3224" t="s">
        <v>2953</v>
      </c>
      <c r="P29" s="3224" t="s">
        <v>2954</v>
      </c>
      <c r="Q29" s="3224" t="s">
        <v>2955</v>
      </c>
      <c r="R29" s="3224" t="s">
        <v>280</v>
      </c>
    </row>
    <row r="30" spans="1:19" ht="14.25" customHeight="1">
      <c r="A30" s="3229" t="s">
        <v>296</v>
      </c>
      <c r="B30" s="3220" t="s">
        <v>2849</v>
      </c>
      <c r="C30" s="3220">
        <v>26890</v>
      </c>
      <c r="D30" s="3220">
        <v>26770</v>
      </c>
      <c r="E30" s="3220">
        <v>25700</v>
      </c>
      <c r="F30" s="3220">
        <v>8180</v>
      </c>
      <c r="G30" s="3236">
        <v>18740</v>
      </c>
      <c r="L30" s="3224" t="s">
        <v>2956</v>
      </c>
      <c r="M30" s="3224" t="s">
        <v>2957</v>
      </c>
      <c r="N30" s="3224" t="s">
        <v>2958</v>
      </c>
      <c r="O30" s="3224" t="s">
        <v>2959</v>
      </c>
      <c r="P30" s="3224" t="s">
        <v>2960</v>
      </c>
      <c r="Q30" s="3224" t="s">
        <v>2961</v>
      </c>
      <c r="R30" s="3224" t="s">
        <v>2962</v>
      </c>
    </row>
    <row r="31" spans="1:19" ht="14.25" customHeight="1">
      <c r="A31" s="3224" t="s">
        <v>296</v>
      </c>
      <c r="B31" s="3225" t="s">
        <v>129</v>
      </c>
      <c r="C31" s="3224">
        <v>24550</v>
      </c>
      <c r="D31" s="3224">
        <v>23990</v>
      </c>
      <c r="E31" s="3224">
        <v>22930</v>
      </c>
      <c r="F31" s="3224">
        <v>7470</v>
      </c>
      <c r="G31" s="3237">
        <v>16790</v>
      </c>
      <c r="L31" s="3224" t="s">
        <v>2963</v>
      </c>
      <c r="M31" s="3224" t="s">
        <v>2964</v>
      </c>
      <c r="N31" s="3224" t="s">
        <v>2965</v>
      </c>
      <c r="O31" s="3224" t="s">
        <v>2966</v>
      </c>
      <c r="P31" s="3224" t="s">
        <v>2967</v>
      </c>
      <c r="Q31" s="3224" t="s">
        <v>2968</v>
      </c>
      <c r="R31" s="3224" t="s">
        <v>2969</v>
      </c>
    </row>
    <row r="32" spans="1:19" ht="14.25" customHeight="1" thickBot="1">
      <c r="A32" s="3224" t="s">
        <v>296</v>
      </c>
      <c r="B32" s="3225" t="s">
        <v>138</v>
      </c>
      <c r="C32" s="3224">
        <v>27210</v>
      </c>
      <c r="D32" s="3224">
        <v>23240</v>
      </c>
      <c r="E32" s="3224">
        <v>23260</v>
      </c>
      <c r="F32" s="3224">
        <v>7130</v>
      </c>
      <c r="G32" s="3237">
        <v>16270</v>
      </c>
      <c r="L32" s="3224" t="s">
        <v>2970</v>
      </c>
      <c r="M32" s="3224" t="s">
        <v>2971</v>
      </c>
      <c r="N32" s="3224" t="s">
        <v>300</v>
      </c>
      <c r="O32" s="3224" t="s">
        <v>2972</v>
      </c>
      <c r="P32" s="3224" t="s">
        <v>299</v>
      </c>
      <c r="Q32" s="3224" t="s">
        <v>2973</v>
      </c>
      <c r="R32" s="3231" t="s">
        <v>2974</v>
      </c>
    </row>
    <row r="33" spans="1:17" ht="14.25" customHeight="1" thickBot="1">
      <c r="A33" s="3224" t="s">
        <v>296</v>
      </c>
      <c r="B33" s="3225" t="s">
        <v>147</v>
      </c>
      <c r="C33" s="3224">
        <v>27300</v>
      </c>
      <c r="D33" s="3224">
        <v>22980</v>
      </c>
      <c r="E33" s="3224">
        <v>24260</v>
      </c>
      <c r="F33" s="3224">
        <v>5860</v>
      </c>
      <c r="G33" s="3237">
        <v>16090</v>
      </c>
      <c r="L33" s="3231" t="s">
        <v>2975</v>
      </c>
      <c r="M33" s="3224" t="s">
        <v>2976</v>
      </c>
      <c r="N33" s="3224" t="s">
        <v>301</v>
      </c>
      <c r="O33" s="3224" t="s">
        <v>2977</v>
      </c>
      <c r="P33" s="3224" t="s">
        <v>2978</v>
      </c>
      <c r="Q33" s="3224" t="s">
        <v>2979</v>
      </c>
    </row>
    <row r="34" spans="1:17" ht="14.25" customHeight="1">
      <c r="A34" s="3224" t="s">
        <v>296</v>
      </c>
      <c r="B34" s="3225" t="s">
        <v>156</v>
      </c>
      <c r="C34" s="3224">
        <v>23090</v>
      </c>
      <c r="D34" s="3224">
        <v>23390</v>
      </c>
      <c r="E34" s="3224">
        <v>23510</v>
      </c>
      <c r="F34" s="3224">
        <v>6700</v>
      </c>
      <c r="G34" s="3237">
        <v>16370</v>
      </c>
      <c r="M34" s="3224" t="s">
        <v>2980</v>
      </c>
      <c r="N34" s="3224" t="s">
        <v>302</v>
      </c>
      <c r="O34" s="3224" t="s">
        <v>2981</v>
      </c>
      <c r="P34" s="3224" t="s">
        <v>2982</v>
      </c>
      <c r="Q34" s="3224" t="s">
        <v>2983</v>
      </c>
    </row>
    <row r="35" spans="1:17" ht="14.25" customHeight="1">
      <c r="A35" s="3224" t="s">
        <v>296</v>
      </c>
      <c r="B35" s="3225" t="s">
        <v>163</v>
      </c>
      <c r="C35" s="3224">
        <v>27270</v>
      </c>
      <c r="D35" s="3224">
        <v>24270</v>
      </c>
      <c r="E35" s="3224">
        <v>24950</v>
      </c>
      <c r="F35" s="3224">
        <v>6600</v>
      </c>
      <c r="G35" s="3237">
        <v>16990</v>
      </c>
      <c r="M35" s="3224" t="s">
        <v>2984</v>
      </c>
      <c r="N35" s="3224" t="s">
        <v>2985</v>
      </c>
      <c r="O35" s="3224" t="s">
        <v>2986</v>
      </c>
      <c r="P35" s="3224" t="s">
        <v>2987</v>
      </c>
      <c r="Q35" s="3224" t="s">
        <v>2988</v>
      </c>
    </row>
    <row r="36" spans="1:17" ht="14.25" customHeight="1">
      <c r="A36" s="3224" t="s">
        <v>296</v>
      </c>
      <c r="B36" s="3225" t="s">
        <v>169</v>
      </c>
      <c r="C36" s="3224">
        <v>23490</v>
      </c>
      <c r="D36" s="3224">
        <v>23020</v>
      </c>
      <c r="E36" s="3224">
        <v>25230</v>
      </c>
      <c r="F36" s="3224">
        <v>6780</v>
      </c>
      <c r="G36" s="3237">
        <v>16120</v>
      </c>
      <c r="M36" s="3224" t="s">
        <v>2989</v>
      </c>
      <c r="N36" s="3224" t="s">
        <v>2990</v>
      </c>
      <c r="O36" s="3224" t="s">
        <v>2991</v>
      </c>
      <c r="P36" s="3224" t="s">
        <v>2992</v>
      </c>
      <c r="Q36" s="3224" t="s">
        <v>2993</v>
      </c>
    </row>
    <row r="37" spans="1:17" ht="14.25" customHeight="1">
      <c r="A37" s="3224" t="s">
        <v>296</v>
      </c>
      <c r="B37" s="3225" t="s">
        <v>176</v>
      </c>
      <c r="C37" s="3224">
        <v>24380</v>
      </c>
      <c r="D37" s="3224">
        <v>22240</v>
      </c>
      <c r="E37" s="3224">
        <v>25980</v>
      </c>
      <c r="F37" s="3224">
        <v>8160</v>
      </c>
      <c r="G37" s="3237">
        <v>15570</v>
      </c>
      <c r="M37" s="3224" t="s">
        <v>2994</v>
      </c>
      <c r="N37" s="3224" t="s">
        <v>2995</v>
      </c>
      <c r="O37" s="3224" t="s">
        <v>2996</v>
      </c>
      <c r="P37" s="3224" t="s">
        <v>2997</v>
      </c>
      <c r="Q37" s="3224" t="s">
        <v>2998</v>
      </c>
    </row>
    <row r="38" spans="1:17" ht="14.25" customHeight="1">
      <c r="A38" s="3224" t="s">
        <v>296</v>
      </c>
      <c r="B38" s="3225" t="s">
        <v>186</v>
      </c>
      <c r="C38" s="3224">
        <v>23120</v>
      </c>
      <c r="D38" s="3224">
        <v>24630</v>
      </c>
      <c r="E38" s="3224">
        <v>25030</v>
      </c>
      <c r="F38" s="3224">
        <v>7710</v>
      </c>
      <c r="G38" s="3237">
        <v>17240</v>
      </c>
      <c r="M38" s="3224" t="s">
        <v>2999</v>
      </c>
      <c r="N38" s="3224" t="s">
        <v>3000</v>
      </c>
      <c r="O38" s="3224" t="s">
        <v>3001</v>
      </c>
      <c r="P38" s="3224" t="s">
        <v>3002</v>
      </c>
      <c r="Q38" s="3224" t="s">
        <v>3003</v>
      </c>
    </row>
    <row r="39" spans="1:17" ht="14.25" customHeight="1">
      <c r="A39" s="3224" t="s">
        <v>296</v>
      </c>
      <c r="B39" s="3225" t="s">
        <v>195</v>
      </c>
      <c r="C39" s="3224">
        <v>22330</v>
      </c>
      <c r="D39" s="3224">
        <v>21140</v>
      </c>
      <c r="E39" s="3224">
        <v>23970</v>
      </c>
      <c r="F39" s="3224">
        <v>7940</v>
      </c>
      <c r="G39" s="3237">
        <v>14790</v>
      </c>
      <c r="M39" s="3224" t="s">
        <v>3004</v>
      </c>
      <c r="N39" s="3224" t="s">
        <v>3005</v>
      </c>
      <c r="O39" s="3224" t="s">
        <v>3006</v>
      </c>
      <c r="P39" s="3224" t="s">
        <v>3007</v>
      </c>
      <c r="Q39" s="3224" t="s">
        <v>3008</v>
      </c>
    </row>
    <row r="40" spans="1:17" ht="14.25" customHeight="1">
      <c r="A40" s="3224" t="s">
        <v>296</v>
      </c>
      <c r="B40" s="3225" t="s">
        <v>202</v>
      </c>
      <c r="C40" s="3224">
        <v>24740</v>
      </c>
      <c r="D40" s="3224">
        <v>24690</v>
      </c>
      <c r="E40" s="3224">
        <v>22610</v>
      </c>
      <c r="F40" s="3224"/>
      <c r="G40" s="3237">
        <v>17280</v>
      </c>
      <c r="M40" s="3224" t="s">
        <v>3009</v>
      </c>
      <c r="N40" s="3224" t="s">
        <v>3010</v>
      </c>
      <c r="O40" s="3224" t="s">
        <v>3011</v>
      </c>
      <c r="P40" s="3224" t="s">
        <v>3012</v>
      </c>
      <c r="Q40" s="3224" t="s">
        <v>3013</v>
      </c>
    </row>
    <row r="41" spans="1:17" ht="14.25" customHeight="1" thickBot="1">
      <c r="A41" s="3224" t="s">
        <v>296</v>
      </c>
      <c r="B41" s="3225" t="s">
        <v>209</v>
      </c>
      <c r="C41" s="3224">
        <v>21220</v>
      </c>
      <c r="D41" s="3224">
        <v>21120</v>
      </c>
      <c r="E41" s="3224">
        <v>22590</v>
      </c>
      <c r="F41" s="3224"/>
      <c r="G41" s="3237">
        <v>14780</v>
      </c>
      <c r="M41" s="3231" t="s">
        <v>3014</v>
      </c>
      <c r="N41" s="3224" t="s">
        <v>3015</v>
      </c>
      <c r="O41" s="3224" t="s">
        <v>3016</v>
      </c>
      <c r="P41" s="3224" t="s">
        <v>3017</v>
      </c>
      <c r="Q41" s="3224" t="s">
        <v>3018</v>
      </c>
    </row>
    <row r="42" spans="1:17" ht="14.25" customHeight="1">
      <c r="A42" s="3224" t="s">
        <v>296</v>
      </c>
      <c r="B42" s="3225" t="s">
        <v>215</v>
      </c>
      <c r="C42" s="3224">
        <v>24800</v>
      </c>
      <c r="D42" s="3224">
        <v>22280</v>
      </c>
      <c r="E42" s="3224">
        <v>24350</v>
      </c>
      <c r="F42" s="3224"/>
      <c r="G42" s="3237">
        <v>15590</v>
      </c>
      <c r="N42" s="3224" t="s">
        <v>3019</v>
      </c>
      <c r="O42" s="3224" t="s">
        <v>3020</v>
      </c>
      <c r="P42" s="3224" t="s">
        <v>3021</v>
      </c>
      <c r="Q42" s="3224" t="s">
        <v>3022</v>
      </c>
    </row>
    <row r="43" spans="1:17" ht="14.25" customHeight="1">
      <c r="A43" s="3224" t="s">
        <v>3023</v>
      </c>
      <c r="B43" s="3225" t="s">
        <v>223</v>
      </c>
      <c r="C43" s="3224">
        <v>21210</v>
      </c>
      <c r="D43" s="3224">
        <v>21160</v>
      </c>
      <c r="E43" s="3224">
        <v>22650</v>
      </c>
      <c r="F43" s="3224"/>
      <c r="G43" s="3237">
        <v>14800</v>
      </c>
      <c r="N43" s="3224" t="s">
        <v>3024</v>
      </c>
      <c r="O43" s="3224" t="s">
        <v>3025</v>
      </c>
      <c r="P43" s="3224" t="s">
        <v>3026</v>
      </c>
      <c r="Q43" s="3224" t="s">
        <v>3027</v>
      </c>
    </row>
    <row r="44" spans="1:17" ht="14.25" customHeight="1" thickBot="1">
      <c r="A44" s="3224" t="s">
        <v>296</v>
      </c>
      <c r="B44" s="3225" t="s">
        <v>231</v>
      </c>
      <c r="C44" s="3224">
        <v>22370</v>
      </c>
      <c r="D44" s="3224">
        <v>23140</v>
      </c>
      <c r="E44" s="3224">
        <v>25090</v>
      </c>
      <c r="F44" s="3224"/>
      <c r="G44" s="3237">
        <v>16190</v>
      </c>
      <c r="N44" s="3224" t="s">
        <v>3028</v>
      </c>
      <c r="O44" s="3224" t="s">
        <v>3029</v>
      </c>
      <c r="P44" s="3231" t="s">
        <v>3030</v>
      </c>
      <c r="Q44" s="3224" t="s">
        <v>3031</v>
      </c>
    </row>
    <row r="45" spans="1:17" ht="14.25" customHeight="1" thickBot="1">
      <c r="A45" s="3224" t="s">
        <v>296</v>
      </c>
      <c r="B45" s="3225" t="s">
        <v>236</v>
      </c>
      <c r="C45" s="3224">
        <v>21240</v>
      </c>
      <c r="D45" s="3224">
        <v>27050</v>
      </c>
      <c r="E45" s="3224">
        <v>28000</v>
      </c>
      <c r="F45" s="3224"/>
      <c r="G45" s="3237">
        <v>18940</v>
      </c>
      <c r="N45" s="3224" t="s">
        <v>3032</v>
      </c>
      <c r="O45" s="3231" t="s">
        <v>3033</v>
      </c>
      <c r="Q45" s="3224" t="s">
        <v>3034</v>
      </c>
    </row>
    <row r="46" spans="1:17" ht="14.25" customHeight="1">
      <c r="A46" s="3224" t="s">
        <v>296</v>
      </c>
      <c r="B46" s="3225" t="s">
        <v>245</v>
      </c>
      <c r="C46" s="3224">
        <v>23240</v>
      </c>
      <c r="D46" s="3224">
        <v>23000</v>
      </c>
      <c r="E46" s="3224">
        <v>24980</v>
      </c>
      <c r="F46" s="3224"/>
      <c r="G46" s="3237">
        <v>16100</v>
      </c>
      <c r="N46" s="3224" t="s">
        <v>3035</v>
      </c>
      <c r="Q46" s="3224" t="s">
        <v>3036</v>
      </c>
    </row>
    <row r="47" spans="1:17" ht="14.25" customHeight="1">
      <c r="A47" s="3224" t="s">
        <v>296</v>
      </c>
      <c r="B47" s="3225" t="s">
        <v>252</v>
      </c>
      <c r="C47" s="3224">
        <v>27150</v>
      </c>
      <c r="D47" s="3224">
        <v>23310</v>
      </c>
      <c r="E47" s="3224">
        <v>25150</v>
      </c>
      <c r="F47" s="3224"/>
      <c r="G47" s="3237">
        <v>16310</v>
      </c>
      <c r="N47" s="3224" t="s">
        <v>3037</v>
      </c>
      <c r="Q47" s="3224" t="s">
        <v>3038</v>
      </c>
    </row>
    <row r="48" spans="1:17" ht="14.25" customHeight="1">
      <c r="A48" s="3224" t="s">
        <v>296</v>
      </c>
      <c r="B48" s="3225" t="s">
        <v>260</v>
      </c>
      <c r="C48" s="3224">
        <v>23100</v>
      </c>
      <c r="D48" s="3224">
        <v>21110</v>
      </c>
      <c r="E48" s="3224">
        <v>23080</v>
      </c>
      <c r="F48" s="3224"/>
      <c r="G48" s="3237">
        <v>14780</v>
      </c>
      <c r="N48" s="3224" t="s">
        <v>3039</v>
      </c>
      <c r="Q48" s="3224" t="s">
        <v>3040</v>
      </c>
    </row>
    <row r="49" spans="1:17" ht="14.25" customHeight="1">
      <c r="A49" s="3224" t="s">
        <v>296</v>
      </c>
      <c r="B49" s="3225" t="s">
        <v>267</v>
      </c>
      <c r="C49" s="3224">
        <v>23400</v>
      </c>
      <c r="D49" s="3224">
        <v>22920</v>
      </c>
      <c r="E49" s="3224">
        <v>24900</v>
      </c>
      <c r="F49" s="3224"/>
      <c r="G49" s="3237">
        <v>16040</v>
      </c>
      <c r="N49" s="3224" t="s">
        <v>3041</v>
      </c>
      <c r="Q49" s="3224" t="s">
        <v>3042</v>
      </c>
    </row>
    <row r="50" spans="1:17" ht="14.25" customHeight="1">
      <c r="A50" s="3224" t="s">
        <v>296</v>
      </c>
      <c r="B50" s="3225" t="s">
        <v>2919</v>
      </c>
      <c r="C50" s="3224">
        <v>21200</v>
      </c>
      <c r="D50" s="3224">
        <v>26540</v>
      </c>
      <c r="E50" s="3224">
        <v>23200</v>
      </c>
      <c r="F50" s="3224"/>
      <c r="G50" s="3237">
        <v>18580</v>
      </c>
      <c r="N50" s="3224" t="s">
        <v>3043</v>
      </c>
      <c r="Q50" s="3225" t="s">
        <v>3044</v>
      </c>
    </row>
    <row r="51" spans="1:17" ht="14.25" customHeight="1" thickBot="1">
      <c r="A51" s="3224" t="s">
        <v>296</v>
      </c>
      <c r="B51" s="3225" t="s">
        <v>2921</v>
      </c>
      <c r="C51" s="3224">
        <v>23000</v>
      </c>
      <c r="D51" s="3224">
        <v>23460</v>
      </c>
      <c r="E51" s="3224">
        <v>25290</v>
      </c>
      <c r="F51" s="3224"/>
      <c r="G51" s="3237">
        <v>16420</v>
      </c>
      <c r="N51" s="3224" t="s">
        <v>3045</v>
      </c>
      <c r="Q51" s="3231" t="s">
        <v>3046</v>
      </c>
    </row>
    <row r="52" spans="1:17" ht="14.25" customHeight="1">
      <c r="A52" s="3224" t="s">
        <v>296</v>
      </c>
      <c r="B52" s="3225" t="s">
        <v>2925</v>
      </c>
      <c r="C52" s="3224">
        <v>26660</v>
      </c>
      <c r="D52" s="3224">
        <v>22350</v>
      </c>
      <c r="E52" s="3224">
        <v>22920</v>
      </c>
      <c r="F52" s="3224"/>
      <c r="G52" s="3237">
        <v>15640</v>
      </c>
      <c r="N52" s="3224" t="s">
        <v>3047</v>
      </c>
    </row>
    <row r="53" spans="1:17" ht="14.25" customHeight="1">
      <c r="A53" s="3224" t="s">
        <v>296</v>
      </c>
      <c r="B53" s="3225" t="s">
        <v>2930</v>
      </c>
      <c r="C53" s="3224">
        <v>23580</v>
      </c>
      <c r="D53" s="3224"/>
      <c r="E53" s="3224">
        <v>24280</v>
      </c>
      <c r="F53" s="3224"/>
      <c r="G53" s="3237"/>
      <c r="N53" s="3224" t="s">
        <v>3048</v>
      </c>
    </row>
    <row r="54" spans="1:17" ht="14.25" customHeight="1" thickBot="1">
      <c r="A54" s="3238" t="s">
        <v>296</v>
      </c>
      <c r="B54" s="3230" t="s">
        <v>2933</v>
      </c>
      <c r="C54" s="3231">
        <v>22460</v>
      </c>
      <c r="D54" s="3231"/>
      <c r="E54" s="3231"/>
      <c r="F54" s="3231"/>
      <c r="G54" s="3239"/>
      <c r="N54" s="3224" t="s">
        <v>3049</v>
      </c>
    </row>
    <row r="55" spans="1:17" ht="14.25" customHeight="1">
      <c r="A55" s="3229" t="s">
        <v>110</v>
      </c>
      <c r="B55" s="3220" t="s">
        <v>3050</v>
      </c>
      <c r="C55" s="3224">
        <v>21970</v>
      </c>
      <c r="D55" s="3224">
        <v>20370</v>
      </c>
      <c r="E55" s="3224">
        <v>20180</v>
      </c>
      <c r="F55" s="3224">
        <v>5730</v>
      </c>
      <c r="G55" s="3224">
        <v>13820</v>
      </c>
      <c r="N55" s="3224" t="s">
        <v>3051</v>
      </c>
    </row>
    <row r="56" spans="1:17" ht="14.25" customHeight="1">
      <c r="A56" s="3224" t="s">
        <v>110</v>
      </c>
      <c r="B56" s="3224" t="s">
        <v>130</v>
      </c>
      <c r="C56" s="3224">
        <v>20470</v>
      </c>
      <c r="D56" s="3224">
        <v>20700</v>
      </c>
      <c r="E56" s="3224">
        <v>20380</v>
      </c>
      <c r="F56" s="3224">
        <v>4760</v>
      </c>
      <c r="G56" s="3224">
        <v>14050</v>
      </c>
      <c r="N56" s="3224" t="s">
        <v>3052</v>
      </c>
    </row>
    <row r="57" spans="1:17" ht="14.25" customHeight="1">
      <c r="A57" s="3224" t="s">
        <v>110</v>
      </c>
      <c r="B57" s="3224" t="s">
        <v>139</v>
      </c>
      <c r="C57" s="3224">
        <v>20790</v>
      </c>
      <c r="D57" s="3224">
        <v>21370</v>
      </c>
      <c r="E57" s="3224">
        <v>20890</v>
      </c>
      <c r="F57" s="3224">
        <v>4910</v>
      </c>
      <c r="G57" s="3224">
        <v>14510</v>
      </c>
      <c r="N57" s="3224" t="s">
        <v>3053</v>
      </c>
    </row>
    <row r="58" spans="1:17" ht="14.25" customHeight="1">
      <c r="A58" s="3224" t="s">
        <v>110</v>
      </c>
      <c r="B58" s="3224" t="s">
        <v>148</v>
      </c>
      <c r="C58" s="3224">
        <v>21460</v>
      </c>
      <c r="D58" s="3224">
        <v>20920</v>
      </c>
      <c r="E58" s="3224">
        <v>23410</v>
      </c>
      <c r="F58" s="3224">
        <v>5100</v>
      </c>
      <c r="G58" s="3224">
        <v>14200</v>
      </c>
      <c r="N58" s="3224" t="s">
        <v>3054</v>
      </c>
    </row>
    <row r="59" spans="1:17" ht="14.25" customHeight="1">
      <c r="A59" s="3224" t="s">
        <v>110</v>
      </c>
      <c r="B59" s="3224" t="s">
        <v>157</v>
      </c>
      <c r="C59" s="3224">
        <v>21000</v>
      </c>
      <c r="D59" s="3224">
        <v>21550</v>
      </c>
      <c r="E59" s="3224">
        <v>21150</v>
      </c>
      <c r="F59" s="3224">
        <v>5250</v>
      </c>
      <c r="G59" s="3224">
        <v>14630</v>
      </c>
      <c r="N59" s="3224" t="s">
        <v>3055</v>
      </c>
    </row>
    <row r="60" spans="1:17" ht="14.25" customHeight="1">
      <c r="A60" s="3224" t="s">
        <v>110</v>
      </c>
      <c r="B60" s="3224" t="s">
        <v>164</v>
      </c>
      <c r="C60" s="3224">
        <v>21640</v>
      </c>
      <c r="D60" s="3224">
        <v>21260</v>
      </c>
      <c r="E60" s="3224">
        <v>24040</v>
      </c>
      <c r="F60" s="3224">
        <v>4470</v>
      </c>
      <c r="G60" s="3224">
        <v>14430</v>
      </c>
      <c r="N60" s="3224" t="s">
        <v>3056</v>
      </c>
    </row>
    <row r="61" spans="1:17" ht="14.25" customHeight="1">
      <c r="A61" s="3224" t="s">
        <v>110</v>
      </c>
      <c r="B61" s="3224" t="s">
        <v>170</v>
      </c>
      <c r="C61" s="3224">
        <v>21330</v>
      </c>
      <c r="D61" s="3224">
        <v>18640</v>
      </c>
      <c r="E61" s="3224">
        <v>21190</v>
      </c>
      <c r="F61" s="3224">
        <v>4180</v>
      </c>
      <c r="G61" s="3224">
        <v>12650</v>
      </c>
      <c r="N61" s="3224" t="s">
        <v>3057</v>
      </c>
    </row>
    <row r="62" spans="1:17" ht="14.25" customHeight="1">
      <c r="A62" s="3224" t="s">
        <v>110</v>
      </c>
      <c r="B62" s="3224" t="s">
        <v>177</v>
      </c>
      <c r="C62" s="3224">
        <v>18710</v>
      </c>
      <c r="D62" s="3224">
        <v>19400</v>
      </c>
      <c r="E62" s="3224">
        <v>23750</v>
      </c>
      <c r="F62" s="3224">
        <v>4860</v>
      </c>
      <c r="G62" s="3224">
        <v>13170</v>
      </c>
      <c r="N62" s="3224" t="s">
        <v>3058</v>
      </c>
    </row>
    <row r="63" spans="1:17" ht="14.25" customHeight="1">
      <c r="A63" s="3224" t="s">
        <v>110</v>
      </c>
      <c r="B63" s="3224" t="s">
        <v>187</v>
      </c>
      <c r="C63" s="3224">
        <v>19480</v>
      </c>
      <c r="D63" s="3224">
        <v>16830</v>
      </c>
      <c r="E63" s="3224">
        <v>21590</v>
      </c>
      <c r="F63" s="3224">
        <v>4560</v>
      </c>
      <c r="G63" s="3224">
        <v>11420</v>
      </c>
      <c r="N63" s="3224" t="s">
        <v>3059</v>
      </c>
    </row>
    <row r="64" spans="1:17" ht="14.25" customHeight="1" thickBot="1">
      <c r="A64" s="3224" t="s">
        <v>110</v>
      </c>
      <c r="B64" s="3224" t="s">
        <v>196</v>
      </c>
      <c r="C64" s="3224">
        <v>16920</v>
      </c>
      <c r="D64" s="3224">
        <v>19190</v>
      </c>
      <c r="E64" s="3224">
        <v>22200</v>
      </c>
      <c r="F64" s="3224">
        <v>4390</v>
      </c>
      <c r="G64" s="3224">
        <v>13030</v>
      </c>
      <c r="N64" s="3231" t="s">
        <v>3060</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2931</v>
      </c>
      <c r="C78" s="3224">
        <v>19820</v>
      </c>
      <c r="D78" s="3224">
        <v>19780</v>
      </c>
      <c r="E78" s="3224">
        <v>18560</v>
      </c>
      <c r="F78" s="3224"/>
      <c r="G78" s="3224">
        <v>13430</v>
      </c>
    </row>
    <row r="79" spans="1:7" s="3213" customFormat="1" ht="14.25" customHeight="1">
      <c r="A79" s="3224" t="s">
        <v>110</v>
      </c>
      <c r="B79" s="3224" t="s">
        <v>2934</v>
      </c>
      <c r="C79" s="3224">
        <v>21660</v>
      </c>
      <c r="D79" s="3224">
        <v>18000</v>
      </c>
      <c r="E79" s="3224">
        <v>22570</v>
      </c>
      <c r="F79" s="3224"/>
      <c r="G79" s="3224">
        <v>12220</v>
      </c>
    </row>
    <row r="80" spans="1:7" s="3213" customFormat="1" ht="14.25" customHeight="1">
      <c r="A80" s="3224" t="s">
        <v>110</v>
      </c>
      <c r="B80" s="3224" t="s">
        <v>2938</v>
      </c>
      <c r="C80" s="3224">
        <v>19850</v>
      </c>
      <c r="D80" s="3224"/>
      <c r="E80" s="3224">
        <v>21700</v>
      </c>
      <c r="F80" s="3224"/>
      <c r="G80" s="3224"/>
    </row>
    <row r="81" spans="1:7" s="3213" customFormat="1" ht="14.25" customHeight="1">
      <c r="A81" s="3224" t="s">
        <v>110</v>
      </c>
      <c r="B81" s="3224" t="s">
        <v>2943</v>
      </c>
      <c r="C81" s="3224">
        <v>18080</v>
      </c>
      <c r="D81" s="3224"/>
      <c r="E81" s="3224">
        <v>20900</v>
      </c>
      <c r="F81" s="3224"/>
      <c r="G81" s="3224"/>
    </row>
    <row r="82" spans="1:7" s="3213" customFormat="1" ht="14.25" customHeight="1">
      <c r="A82" s="3224" t="s">
        <v>110</v>
      </c>
      <c r="B82" s="3224" t="s">
        <v>2950</v>
      </c>
      <c r="C82" s="3224"/>
      <c r="D82" s="3224"/>
      <c r="E82" s="3224">
        <v>20840</v>
      </c>
      <c r="F82" s="3224"/>
      <c r="G82" s="3224"/>
    </row>
    <row r="83" spans="1:7" s="3213" customFormat="1" ht="14.25" customHeight="1">
      <c r="A83" s="3224" t="s">
        <v>110</v>
      </c>
      <c r="B83" s="3224" t="s">
        <v>3061</v>
      </c>
      <c r="C83" s="3224"/>
      <c r="D83" s="3224"/>
      <c r="E83" s="3224"/>
      <c r="F83" s="3224">
        <v>4770</v>
      </c>
      <c r="G83" s="3224"/>
    </row>
    <row r="84" spans="1:7" s="3213" customFormat="1" ht="14.25" customHeight="1">
      <c r="A84" s="3224" t="s">
        <v>110</v>
      </c>
      <c r="B84" s="3224" t="s">
        <v>3062</v>
      </c>
      <c r="C84" s="3224"/>
      <c r="D84" s="3224"/>
      <c r="E84" s="3224"/>
      <c r="F84" s="3224">
        <v>4600</v>
      </c>
      <c r="G84" s="3224"/>
    </row>
    <row r="85" spans="1:7" s="3213" customFormat="1" ht="14.25" customHeight="1">
      <c r="A85" s="3224" t="s">
        <v>110</v>
      </c>
      <c r="B85" s="3224" t="s">
        <v>3063</v>
      </c>
      <c r="C85" s="3224"/>
      <c r="D85" s="3224"/>
      <c r="E85" s="3224"/>
      <c r="F85" s="3224">
        <v>4680</v>
      </c>
      <c r="G85" s="3224"/>
    </row>
    <row r="86" spans="1:7" s="3213" customFormat="1" ht="14.25" customHeight="1" thickBot="1">
      <c r="A86" s="3232" t="s">
        <v>110</v>
      </c>
      <c r="B86" s="3234" t="s">
        <v>3064</v>
      </c>
      <c r="C86" s="3235">
        <v>16610</v>
      </c>
      <c r="D86" s="3235">
        <v>16540</v>
      </c>
      <c r="E86" s="3235">
        <v>18850</v>
      </c>
      <c r="F86" s="3235"/>
      <c r="G86" s="3235">
        <v>11220</v>
      </c>
    </row>
    <row r="87" spans="1:7" s="3213" customFormat="1" ht="14.25" customHeight="1">
      <c r="A87" s="3229" t="s">
        <v>303</v>
      </c>
      <c r="B87" s="3220" t="s">
        <v>3065</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2944</v>
      </c>
      <c r="C113" s="3224">
        <v>15520</v>
      </c>
      <c r="D113" s="3224">
        <v>15450</v>
      </c>
      <c r="E113" s="3224"/>
      <c r="F113" s="3224"/>
      <c r="G113" s="3237">
        <v>10210</v>
      </c>
    </row>
    <row r="114" spans="1:7" s="3213" customFormat="1" ht="14.25" customHeight="1">
      <c r="A114" s="3224" t="s">
        <v>303</v>
      </c>
      <c r="B114" s="3224" t="s">
        <v>2951</v>
      </c>
      <c r="C114" s="3224">
        <v>13110</v>
      </c>
      <c r="D114" s="3224">
        <v>13050</v>
      </c>
      <c r="E114" s="3224"/>
      <c r="F114" s="3224"/>
      <c r="G114" s="3237">
        <v>8620</v>
      </c>
    </row>
    <row r="115" spans="1:7" s="3213" customFormat="1" ht="14.25" customHeight="1">
      <c r="A115" s="3224" t="s">
        <v>303</v>
      </c>
      <c r="B115" s="3224" t="s">
        <v>2957</v>
      </c>
      <c r="C115" s="3224">
        <v>12460</v>
      </c>
      <c r="D115" s="3224">
        <v>12390</v>
      </c>
      <c r="E115" s="3224"/>
      <c r="F115" s="3224"/>
      <c r="G115" s="3237">
        <v>8190</v>
      </c>
    </row>
    <row r="116" spans="1:7" s="3213" customFormat="1" ht="14.25" customHeight="1">
      <c r="A116" s="3224" t="s">
        <v>303</v>
      </c>
      <c r="B116" s="3224" t="s">
        <v>2964</v>
      </c>
      <c r="C116" s="3224">
        <v>13580</v>
      </c>
      <c r="D116" s="3224">
        <v>13520</v>
      </c>
      <c r="E116" s="3224"/>
      <c r="F116" s="3224"/>
      <c r="G116" s="3237">
        <v>8930</v>
      </c>
    </row>
    <row r="117" spans="1:7" s="3213" customFormat="1" ht="14.25" customHeight="1">
      <c r="A117" s="3224" t="s">
        <v>303</v>
      </c>
      <c r="B117" s="3224" t="s">
        <v>2971</v>
      </c>
      <c r="C117" s="3224">
        <v>17120</v>
      </c>
      <c r="D117" s="3224">
        <v>17040</v>
      </c>
      <c r="E117" s="3224"/>
      <c r="F117" s="3224"/>
      <c r="G117" s="3237">
        <v>11260</v>
      </c>
    </row>
    <row r="118" spans="1:7" s="3213" customFormat="1" ht="14.25" customHeight="1">
      <c r="A118" s="3224" t="s">
        <v>303</v>
      </c>
      <c r="B118" s="3224" t="s">
        <v>2976</v>
      </c>
      <c r="C118" s="3224">
        <v>14860</v>
      </c>
      <c r="D118" s="3224">
        <v>14790</v>
      </c>
      <c r="E118" s="3224"/>
      <c r="F118" s="3224"/>
      <c r="G118" s="3237">
        <v>9780</v>
      </c>
    </row>
    <row r="119" spans="1:7" s="3213" customFormat="1" ht="14.25" customHeight="1">
      <c r="A119" s="3224" t="s">
        <v>303</v>
      </c>
      <c r="B119" s="3224" t="s">
        <v>2980</v>
      </c>
      <c r="C119" s="3224">
        <v>16470</v>
      </c>
      <c r="D119" s="3224">
        <v>16400</v>
      </c>
      <c r="E119" s="3224"/>
      <c r="F119" s="3224"/>
      <c r="G119" s="3237">
        <v>10840</v>
      </c>
    </row>
    <row r="120" spans="1:7" s="3213" customFormat="1" ht="14.25" customHeight="1">
      <c r="A120" s="3224" t="s">
        <v>303</v>
      </c>
      <c r="B120" s="3224" t="s">
        <v>3066</v>
      </c>
      <c r="C120" s="3224"/>
      <c r="D120" s="3224"/>
      <c r="E120" s="3224"/>
      <c r="F120" s="3224">
        <v>4160</v>
      </c>
      <c r="G120" s="3237"/>
    </row>
    <row r="121" spans="1:7" s="3213" customFormat="1" ht="14.25" customHeight="1">
      <c r="A121" s="3224" t="s">
        <v>303</v>
      </c>
      <c r="B121" s="3224" t="s">
        <v>3067</v>
      </c>
      <c r="C121" s="3224"/>
      <c r="D121" s="3224"/>
      <c r="E121" s="3224"/>
      <c r="F121" s="3224">
        <v>3880</v>
      </c>
      <c r="G121" s="3237"/>
    </row>
    <row r="122" spans="1:7" s="3213" customFormat="1" ht="14.25" customHeight="1">
      <c r="A122" s="3224" t="s">
        <v>303</v>
      </c>
      <c r="B122" s="3224" t="s">
        <v>3068</v>
      </c>
      <c r="C122" s="3224">
        <v>13750</v>
      </c>
      <c r="D122" s="3224">
        <v>13680</v>
      </c>
      <c r="E122" s="3224">
        <v>16460</v>
      </c>
      <c r="F122" s="3224">
        <v>2880</v>
      </c>
      <c r="G122" s="3237">
        <v>9040</v>
      </c>
    </row>
    <row r="123" spans="1:7" s="3213" customFormat="1" ht="14.25" customHeight="1">
      <c r="A123" s="3224" t="s">
        <v>303</v>
      </c>
      <c r="B123" s="3224" t="s">
        <v>2999</v>
      </c>
      <c r="C123" s="3224">
        <v>13590</v>
      </c>
      <c r="D123" s="3224">
        <v>13520</v>
      </c>
      <c r="E123" s="3224">
        <v>16290</v>
      </c>
      <c r="F123" s="3224">
        <v>2790</v>
      </c>
      <c r="G123" s="3237">
        <v>8930</v>
      </c>
    </row>
    <row r="124" spans="1:7" s="3213" customFormat="1" ht="14.25" customHeight="1">
      <c r="A124" s="3224" t="s">
        <v>303</v>
      </c>
      <c r="B124" s="3224" t="s">
        <v>3004</v>
      </c>
      <c r="C124" s="3224">
        <v>13400</v>
      </c>
      <c r="D124" s="3224">
        <v>13320</v>
      </c>
      <c r="E124" s="3224">
        <v>16100</v>
      </c>
      <c r="F124" s="3224">
        <v>2320</v>
      </c>
      <c r="G124" s="3237">
        <v>8800</v>
      </c>
    </row>
    <row r="125" spans="1:7" s="3213" customFormat="1" ht="14.25" customHeight="1">
      <c r="A125" s="3224" t="s">
        <v>303</v>
      </c>
      <c r="B125" s="3224" t="s">
        <v>3009</v>
      </c>
      <c r="C125" s="3224">
        <v>12860</v>
      </c>
      <c r="D125" s="3224">
        <v>12790</v>
      </c>
      <c r="E125" s="3224">
        <v>15370</v>
      </c>
      <c r="F125" s="3224">
        <v>2280</v>
      </c>
      <c r="G125" s="3237">
        <v>8450</v>
      </c>
    </row>
    <row r="126" spans="1:7" s="3213" customFormat="1" ht="14.25" customHeight="1" thickBot="1">
      <c r="A126" s="3238" t="s">
        <v>303</v>
      </c>
      <c r="B126" s="3231" t="s">
        <v>3014</v>
      </c>
      <c r="C126" s="3231">
        <v>12960</v>
      </c>
      <c r="D126" s="3231">
        <v>12890</v>
      </c>
      <c r="E126" s="3231">
        <v>15530</v>
      </c>
      <c r="F126" s="3231">
        <v>2910</v>
      </c>
      <c r="G126" s="3239">
        <v>8520</v>
      </c>
    </row>
    <row r="127" spans="1:7" s="3213" customFormat="1" ht="14.25" customHeight="1">
      <c r="A127" s="3229" t="s">
        <v>29</v>
      </c>
      <c r="B127" s="3220" t="s">
        <v>3069</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3070</v>
      </c>
      <c r="C148" s="3224">
        <v>10370</v>
      </c>
      <c r="D148" s="3224">
        <v>10310</v>
      </c>
      <c r="E148" s="3224">
        <v>12970</v>
      </c>
      <c r="F148" s="3224"/>
      <c r="G148" s="3224">
        <v>6630</v>
      </c>
    </row>
    <row r="149" spans="1:7" s="3213" customFormat="1" ht="14.25" customHeight="1">
      <c r="A149" s="3224" t="s">
        <v>29</v>
      </c>
      <c r="B149" s="3224" t="s">
        <v>3071</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2945</v>
      </c>
      <c r="C153" s="3224">
        <v>10880</v>
      </c>
      <c r="D153" s="3224">
        <v>10820</v>
      </c>
      <c r="E153" s="3224">
        <v>13660</v>
      </c>
      <c r="F153" s="3224">
        <v>2260</v>
      </c>
      <c r="G153" s="3224">
        <v>6970</v>
      </c>
    </row>
    <row r="154" spans="1:7" s="3213" customFormat="1" ht="14.25" customHeight="1">
      <c r="A154" s="3224" t="s">
        <v>29</v>
      </c>
      <c r="B154" s="3224" t="s">
        <v>3072</v>
      </c>
      <c r="C154" s="3224">
        <v>11220</v>
      </c>
      <c r="D154" s="3224">
        <v>11160</v>
      </c>
      <c r="E154" s="3224">
        <v>14130</v>
      </c>
      <c r="F154" s="3224">
        <v>2230</v>
      </c>
      <c r="G154" s="3224">
        <v>7180</v>
      </c>
    </row>
    <row r="155" spans="1:7" s="3213" customFormat="1" ht="14.25" customHeight="1">
      <c r="A155" s="3224" t="s">
        <v>29</v>
      </c>
      <c r="B155" s="3224" t="s">
        <v>2958</v>
      </c>
      <c r="C155" s="3224">
        <v>10430</v>
      </c>
      <c r="D155" s="3224">
        <v>10380</v>
      </c>
      <c r="E155" s="3224">
        <v>13140</v>
      </c>
      <c r="F155" s="3224">
        <v>2080</v>
      </c>
      <c r="G155" s="3224">
        <v>6650</v>
      </c>
    </row>
    <row r="156" spans="1:7" s="3213" customFormat="1" ht="14.25" customHeight="1">
      <c r="A156" s="3224" t="s">
        <v>29</v>
      </c>
      <c r="B156" s="3224" t="s">
        <v>3073</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3074</v>
      </c>
      <c r="C160" s="3224">
        <v>11180</v>
      </c>
      <c r="D160" s="3224">
        <v>11140</v>
      </c>
      <c r="E160" s="3224">
        <v>14050</v>
      </c>
      <c r="F160" s="3224">
        <v>2270</v>
      </c>
      <c r="G160" s="3224">
        <v>7170</v>
      </c>
    </row>
    <row r="161" spans="1:7" s="3213" customFormat="1" ht="14.25" customHeight="1">
      <c r="A161" s="3224" t="s">
        <v>29</v>
      </c>
      <c r="B161" s="3224" t="s">
        <v>2990</v>
      </c>
      <c r="C161" s="3224">
        <v>11160</v>
      </c>
      <c r="D161" s="3224">
        <v>11120</v>
      </c>
      <c r="E161" s="3224">
        <v>14020</v>
      </c>
      <c r="F161" s="3224">
        <v>2150</v>
      </c>
      <c r="G161" s="3224">
        <v>7160</v>
      </c>
    </row>
    <row r="162" spans="1:7" s="3213" customFormat="1" ht="14.25" customHeight="1">
      <c r="A162" s="3224" t="s">
        <v>29</v>
      </c>
      <c r="B162" s="3224" t="s">
        <v>2995</v>
      </c>
      <c r="C162" s="3224">
        <v>9620</v>
      </c>
      <c r="D162" s="3224">
        <v>9570</v>
      </c>
      <c r="E162" s="3224">
        <v>12320</v>
      </c>
      <c r="F162" s="3224">
        <v>2010</v>
      </c>
      <c r="G162" s="3224">
        <v>6160</v>
      </c>
    </row>
    <row r="163" spans="1:7" s="3213" customFormat="1" ht="14.25" customHeight="1">
      <c r="A163" s="3224" t="s">
        <v>29</v>
      </c>
      <c r="B163" s="3224" t="s">
        <v>3000</v>
      </c>
      <c r="C163" s="3224">
        <v>9320</v>
      </c>
      <c r="D163" s="3224">
        <v>9270</v>
      </c>
      <c r="E163" s="3224">
        <v>11790</v>
      </c>
      <c r="F163" s="3224">
        <v>1920</v>
      </c>
      <c r="G163" s="3224">
        <v>5960</v>
      </c>
    </row>
    <row r="164" spans="1:7" s="3213" customFormat="1" ht="14.25" customHeight="1">
      <c r="A164" s="3224" t="s">
        <v>29</v>
      </c>
      <c r="B164" s="3224" t="s">
        <v>3005</v>
      </c>
      <c r="C164" s="3224"/>
      <c r="D164" s="3224"/>
      <c r="E164" s="3224"/>
      <c r="F164" s="3224">
        <v>1980</v>
      </c>
      <c r="G164" s="3224"/>
    </row>
    <row r="165" spans="1:7" s="3213" customFormat="1" ht="14.25" customHeight="1">
      <c r="A165" s="3224" t="s">
        <v>29</v>
      </c>
      <c r="B165" s="3224" t="s">
        <v>3075</v>
      </c>
      <c r="C165" s="3224">
        <v>11060</v>
      </c>
      <c r="D165" s="3224">
        <v>11030</v>
      </c>
      <c r="E165" s="3224">
        <v>13850</v>
      </c>
      <c r="F165" s="3224">
        <v>2170</v>
      </c>
      <c r="G165" s="3224">
        <v>7090</v>
      </c>
    </row>
    <row r="166" spans="1:7" s="3213" customFormat="1" ht="14.25" customHeight="1">
      <c r="A166" s="3224" t="s">
        <v>29</v>
      </c>
      <c r="B166" s="3224" t="s">
        <v>3015</v>
      </c>
      <c r="C166" s="3224">
        <v>11050</v>
      </c>
      <c r="D166" s="3224">
        <v>11010</v>
      </c>
      <c r="E166" s="3224">
        <v>13920</v>
      </c>
      <c r="F166" s="3224">
        <v>2140</v>
      </c>
      <c r="G166" s="3224">
        <v>7080</v>
      </c>
    </row>
    <row r="167" spans="1:7" s="3213" customFormat="1" ht="14.25" customHeight="1">
      <c r="A167" s="3224" t="s">
        <v>29</v>
      </c>
      <c r="B167" s="3224" t="s">
        <v>3019</v>
      </c>
      <c r="C167" s="3224">
        <v>10930</v>
      </c>
      <c r="D167" s="3224">
        <v>10890</v>
      </c>
      <c r="E167" s="3224">
        <v>13790</v>
      </c>
      <c r="F167" s="3224">
        <v>2010</v>
      </c>
      <c r="G167" s="3224">
        <v>7000</v>
      </c>
    </row>
    <row r="168" spans="1:7" s="3213" customFormat="1" ht="14.25" customHeight="1">
      <c r="A168" s="3224" t="s">
        <v>29</v>
      </c>
      <c r="B168" s="3224" t="s">
        <v>3024</v>
      </c>
      <c r="C168" s="3224">
        <v>9420</v>
      </c>
      <c r="D168" s="3224">
        <v>9380</v>
      </c>
      <c r="E168" s="3224">
        <v>11970</v>
      </c>
      <c r="F168" s="3224"/>
      <c r="G168" s="3224">
        <v>6040</v>
      </c>
    </row>
    <row r="169" spans="1:7" s="3213" customFormat="1" ht="14.25" customHeight="1">
      <c r="A169" s="3224" t="s">
        <v>29</v>
      </c>
      <c r="B169" s="3224" t="s">
        <v>3076</v>
      </c>
      <c r="C169" s="3224"/>
      <c r="D169" s="3224"/>
      <c r="E169" s="3224"/>
      <c r="F169" s="3224">
        <v>2880</v>
      </c>
      <c r="G169" s="3224"/>
    </row>
    <row r="170" spans="1:7" s="3213" customFormat="1" ht="14.25" customHeight="1">
      <c r="A170" s="3224" t="s">
        <v>29</v>
      </c>
      <c r="B170" s="3224" t="s">
        <v>3032</v>
      </c>
      <c r="C170" s="3224"/>
      <c r="D170" s="3224"/>
      <c r="E170" s="3224"/>
      <c r="F170" s="3224">
        <v>2880</v>
      </c>
      <c r="G170" s="3224"/>
    </row>
    <row r="171" spans="1:7" s="3213" customFormat="1" ht="14.25" customHeight="1">
      <c r="A171" s="3224" t="s">
        <v>29</v>
      </c>
      <c r="B171" s="3224" t="s">
        <v>3035</v>
      </c>
      <c r="C171" s="3224"/>
      <c r="D171" s="3224"/>
      <c r="E171" s="3224"/>
      <c r="F171" s="3224">
        <v>2880</v>
      </c>
      <c r="G171" s="3224"/>
    </row>
    <row r="172" spans="1:7" s="3213" customFormat="1" ht="14.25" customHeight="1">
      <c r="A172" s="3224" t="s">
        <v>29</v>
      </c>
      <c r="B172" s="3224" t="s">
        <v>3037</v>
      </c>
      <c r="C172" s="3224"/>
      <c r="D172" s="3224"/>
      <c r="E172" s="3224"/>
      <c r="F172" s="3224">
        <v>2880</v>
      </c>
      <c r="G172" s="3224"/>
    </row>
    <row r="173" spans="1:7" s="3213" customFormat="1" ht="14.25" customHeight="1">
      <c r="A173" s="3224" t="s">
        <v>29</v>
      </c>
      <c r="B173" s="3224" t="s">
        <v>3039</v>
      </c>
      <c r="C173" s="3224"/>
      <c r="D173" s="3224"/>
      <c r="E173" s="3224"/>
      <c r="F173" s="3224">
        <v>2150</v>
      </c>
      <c r="G173" s="3224"/>
    </row>
    <row r="174" spans="1:7" s="3213" customFormat="1" ht="14.25" customHeight="1">
      <c r="A174" s="3224" t="s">
        <v>29</v>
      </c>
      <c r="B174" s="3224" t="s">
        <v>3041</v>
      </c>
      <c r="C174" s="3224"/>
      <c r="D174" s="3224"/>
      <c r="E174" s="3224"/>
      <c r="F174" s="3224">
        <v>2030</v>
      </c>
      <c r="G174" s="3224"/>
    </row>
    <row r="175" spans="1:7" s="3213" customFormat="1" ht="14.25" customHeight="1">
      <c r="A175" s="3224" t="s">
        <v>29</v>
      </c>
      <c r="B175" s="3224" t="s">
        <v>3043</v>
      </c>
      <c r="C175" s="3224"/>
      <c r="D175" s="3224"/>
      <c r="E175" s="3224"/>
      <c r="F175" s="3224">
        <v>2780</v>
      </c>
      <c r="G175" s="3224"/>
    </row>
    <row r="176" spans="1:7" s="3213" customFormat="1" ht="14.25" customHeight="1">
      <c r="A176" s="3224" t="s">
        <v>29</v>
      </c>
      <c r="B176" s="3224" t="s">
        <v>3045</v>
      </c>
      <c r="C176" s="3224"/>
      <c r="D176" s="3224"/>
      <c r="E176" s="3224"/>
      <c r="F176" s="3224">
        <v>2780</v>
      </c>
      <c r="G176" s="3224"/>
    </row>
    <row r="177" spans="1:7" s="3213" customFormat="1" ht="14.25" customHeight="1">
      <c r="A177" s="3224" t="s">
        <v>29</v>
      </c>
      <c r="B177" s="3224" t="s">
        <v>3077</v>
      </c>
      <c r="C177" s="3224"/>
      <c r="D177" s="3224"/>
      <c r="E177" s="3224"/>
      <c r="F177" s="3224">
        <v>2780</v>
      </c>
      <c r="G177" s="3224"/>
    </row>
    <row r="178" spans="1:7" s="3213" customFormat="1" ht="14.25" customHeight="1">
      <c r="A178" s="3224" t="s">
        <v>29</v>
      </c>
      <c r="B178" s="3224" t="s">
        <v>3078</v>
      </c>
      <c r="C178" s="3224"/>
      <c r="D178" s="3224"/>
      <c r="E178" s="3224"/>
      <c r="F178" s="3224">
        <v>2060</v>
      </c>
      <c r="G178" s="3224"/>
    </row>
    <row r="179" spans="1:7" s="3213" customFormat="1" ht="14.25" customHeight="1">
      <c r="A179" s="3224" t="s">
        <v>29</v>
      </c>
      <c r="B179" s="3224" t="s">
        <v>3079</v>
      </c>
      <c r="C179" s="3224"/>
      <c r="D179" s="3224"/>
      <c r="E179" s="3224"/>
      <c r="F179" s="3224">
        <v>2120</v>
      </c>
      <c r="G179" s="3224"/>
    </row>
    <row r="180" spans="1:7" s="3213" customFormat="1" ht="14.25" customHeight="1">
      <c r="A180" s="3224" t="s">
        <v>29</v>
      </c>
      <c r="B180" s="3224" t="s">
        <v>3051</v>
      </c>
      <c r="C180" s="3224"/>
      <c r="D180" s="3224"/>
      <c r="E180" s="3224"/>
      <c r="F180" s="3224">
        <v>2340</v>
      </c>
      <c r="G180" s="3224"/>
    </row>
    <row r="181" spans="1:7" s="3213" customFormat="1" ht="14.25" customHeight="1">
      <c r="A181" s="3224" t="s">
        <v>29</v>
      </c>
      <c r="B181" s="3224" t="s">
        <v>3052</v>
      </c>
      <c r="C181" s="3224"/>
      <c r="D181" s="3224"/>
      <c r="E181" s="3224"/>
      <c r="F181" s="3224">
        <v>2340</v>
      </c>
      <c r="G181" s="3224"/>
    </row>
    <row r="182" spans="1:7" s="3213" customFormat="1" ht="14.25" customHeight="1">
      <c r="A182" s="3224" t="s">
        <v>29</v>
      </c>
      <c r="B182" s="3224" t="s">
        <v>3053</v>
      </c>
      <c r="C182" s="3224"/>
      <c r="D182" s="3224"/>
      <c r="E182" s="3224"/>
      <c r="F182" s="3224">
        <v>2340</v>
      </c>
      <c r="G182" s="3224"/>
    </row>
    <row r="183" spans="1:7" s="3213" customFormat="1" ht="14.25" customHeight="1">
      <c r="A183" s="3224" t="s">
        <v>29</v>
      </c>
      <c r="B183" s="3224" t="s">
        <v>3054</v>
      </c>
      <c r="C183" s="3224"/>
      <c r="D183" s="3224"/>
      <c r="E183" s="3224"/>
      <c r="F183" s="3224">
        <v>2340</v>
      </c>
      <c r="G183" s="3224"/>
    </row>
    <row r="184" spans="1:7" s="3213" customFormat="1" ht="14.25" customHeight="1">
      <c r="A184" s="3224" t="s">
        <v>29</v>
      </c>
      <c r="B184" s="3224" t="s">
        <v>3055</v>
      </c>
      <c r="C184" s="3224"/>
      <c r="D184" s="3224"/>
      <c r="E184" s="3224"/>
      <c r="F184" s="3224">
        <v>2340</v>
      </c>
      <c r="G184" s="3224"/>
    </row>
    <row r="185" spans="1:7" s="3213" customFormat="1" ht="14.25" customHeight="1">
      <c r="A185" s="3224" t="s">
        <v>29</v>
      </c>
      <c r="B185" s="3224" t="s">
        <v>3056</v>
      </c>
      <c r="C185" s="3224"/>
      <c r="D185" s="3224"/>
      <c r="E185" s="3224"/>
      <c r="F185" s="3224">
        <v>2530</v>
      </c>
      <c r="G185" s="3224"/>
    </row>
    <row r="186" spans="1:7" s="3213" customFormat="1" ht="14.25" customHeight="1">
      <c r="A186" s="3224" t="s">
        <v>29</v>
      </c>
      <c r="B186" s="3224" t="s">
        <v>3057</v>
      </c>
      <c r="C186" s="3224"/>
      <c r="D186" s="3224"/>
      <c r="E186" s="3224"/>
      <c r="F186" s="3224">
        <v>2550</v>
      </c>
      <c r="G186" s="3224"/>
    </row>
    <row r="187" spans="1:7" s="3213" customFormat="1" ht="14.25" customHeight="1">
      <c r="A187" s="3224" t="s">
        <v>29</v>
      </c>
      <c r="B187" s="3224" t="s">
        <v>3058</v>
      </c>
      <c r="C187" s="3224"/>
      <c r="D187" s="3224"/>
      <c r="E187" s="3224"/>
      <c r="F187" s="3224">
        <v>2070</v>
      </c>
      <c r="G187" s="3224"/>
    </row>
    <row r="188" spans="1:7" s="3213" customFormat="1" ht="14.25" customHeight="1">
      <c r="A188" s="3224" t="s">
        <v>29</v>
      </c>
      <c r="B188" s="3224" t="s">
        <v>3059</v>
      </c>
      <c r="C188" s="3224"/>
      <c r="D188" s="3224"/>
      <c r="E188" s="3224"/>
      <c r="F188" s="3224">
        <v>2340</v>
      </c>
      <c r="G188" s="3224"/>
    </row>
    <row r="189" spans="1:7" s="3213" customFormat="1" ht="14.25" customHeight="1" thickBot="1">
      <c r="A189" s="3232" t="s">
        <v>29</v>
      </c>
      <c r="B189" s="3235" t="s">
        <v>3060</v>
      </c>
      <c r="C189" s="3235"/>
      <c r="D189" s="3235"/>
      <c r="E189" s="3235"/>
      <c r="F189" s="3235">
        <v>2050</v>
      </c>
      <c r="G189" s="3235"/>
    </row>
    <row r="190" spans="1:7" s="3213" customFormat="1" ht="14.25" customHeight="1">
      <c r="A190" s="3229" t="s">
        <v>304</v>
      </c>
      <c r="B190" s="3220" t="s">
        <v>3080</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3081</v>
      </c>
      <c r="C199" s="3224">
        <v>8690</v>
      </c>
      <c r="D199" s="3224">
        <v>8630</v>
      </c>
      <c r="E199" s="3224">
        <v>11350</v>
      </c>
      <c r="F199" s="3224">
        <v>1600</v>
      </c>
      <c r="G199" s="3237">
        <v>5450</v>
      </c>
    </row>
    <row r="200" spans="1:7" s="3213" customFormat="1" ht="14.25" customHeight="1">
      <c r="A200" s="3224" t="s">
        <v>304</v>
      </c>
      <c r="B200" s="3224" t="s">
        <v>2892</v>
      </c>
      <c r="C200" s="3224"/>
      <c r="D200" s="3224"/>
      <c r="E200" s="3224"/>
      <c r="F200" s="3224">
        <v>1510</v>
      </c>
      <c r="G200" s="3237"/>
    </row>
    <row r="201" spans="1:7" s="3213" customFormat="1" ht="14.25" customHeight="1">
      <c r="A201" s="3224" t="s">
        <v>304</v>
      </c>
      <c r="B201" s="3224" t="s">
        <v>3082</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3083</v>
      </c>
      <c r="C203" s="3224">
        <v>8130</v>
      </c>
      <c r="D203" s="3224">
        <v>8070</v>
      </c>
      <c r="E203" s="3224">
        <v>10820</v>
      </c>
      <c r="F203" s="3224">
        <v>1690</v>
      </c>
      <c r="G203" s="3237">
        <v>5100</v>
      </c>
    </row>
    <row r="204" spans="1:7" s="3213" customFormat="1" ht="14.25" customHeight="1">
      <c r="A204" s="3224" t="s">
        <v>304</v>
      </c>
      <c r="B204" s="3224" t="s">
        <v>2903</v>
      </c>
      <c r="C204" s="3224">
        <v>8350</v>
      </c>
      <c r="D204" s="3224">
        <v>8290</v>
      </c>
      <c r="E204" s="3224">
        <v>11080</v>
      </c>
      <c r="F204" s="3224">
        <v>1450</v>
      </c>
      <c r="G204" s="3237">
        <v>5240</v>
      </c>
    </row>
    <row r="205" spans="1:7" s="3213" customFormat="1" ht="14.25" customHeight="1">
      <c r="A205" s="3224" t="s">
        <v>304</v>
      </c>
      <c r="B205" s="3224" t="s">
        <v>2905</v>
      </c>
      <c r="C205" s="3224">
        <v>7190</v>
      </c>
      <c r="D205" s="3224">
        <v>7130</v>
      </c>
      <c r="E205" s="3224">
        <v>9490</v>
      </c>
      <c r="F205" s="3224">
        <v>1470</v>
      </c>
      <c r="G205" s="3237">
        <v>4510</v>
      </c>
    </row>
    <row r="206" spans="1:7" s="3213" customFormat="1" ht="14.25" customHeight="1">
      <c r="A206" s="3224" t="s">
        <v>304</v>
      </c>
      <c r="B206" s="3224" t="s">
        <v>2908</v>
      </c>
      <c r="C206" s="3224">
        <v>7000</v>
      </c>
      <c r="D206" s="3224">
        <v>6950</v>
      </c>
      <c r="E206" s="3224">
        <v>9170</v>
      </c>
      <c r="F206" s="3224">
        <v>1400</v>
      </c>
      <c r="G206" s="3237">
        <v>4380</v>
      </c>
    </row>
    <row r="207" spans="1:7" s="3213" customFormat="1" ht="14.25" customHeight="1">
      <c r="A207" s="3224" t="s">
        <v>304</v>
      </c>
      <c r="B207" s="3224" t="s">
        <v>2910</v>
      </c>
      <c r="C207" s="3224">
        <v>6950</v>
      </c>
      <c r="D207" s="3224">
        <v>6900</v>
      </c>
      <c r="E207" s="3224">
        <v>9110</v>
      </c>
      <c r="F207" s="3224">
        <v>1790</v>
      </c>
      <c r="G207" s="3237">
        <v>4360</v>
      </c>
    </row>
    <row r="208" spans="1:7" s="3213" customFormat="1" ht="14.25" customHeight="1">
      <c r="A208" s="3224" t="s">
        <v>304</v>
      </c>
      <c r="B208" s="3224" t="s">
        <v>3084</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2920</v>
      </c>
      <c r="C210" s="3224">
        <v>8710</v>
      </c>
      <c r="D210" s="3224">
        <v>8660</v>
      </c>
      <c r="E210" s="3224">
        <v>11440</v>
      </c>
      <c r="F210" s="3224">
        <v>1740</v>
      </c>
      <c r="G210" s="3237">
        <v>5470</v>
      </c>
    </row>
    <row r="211" spans="1:7" s="3213" customFormat="1" ht="14.25" customHeight="1">
      <c r="A211" s="3224" t="s">
        <v>304</v>
      </c>
      <c r="B211" s="3224" t="s">
        <v>3085</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3086</v>
      </c>
      <c r="C214" s="3224">
        <v>8090</v>
      </c>
      <c r="D214" s="3224">
        <v>8030</v>
      </c>
      <c r="E214" s="3224">
        <v>10780</v>
      </c>
      <c r="F214" s="3224">
        <v>1570</v>
      </c>
      <c r="G214" s="3237">
        <v>5070</v>
      </c>
    </row>
    <row r="215" spans="1:7" s="3213" customFormat="1" ht="14.25" customHeight="1">
      <c r="A215" s="3224" t="s">
        <v>304</v>
      </c>
      <c r="B215" s="3224" t="s">
        <v>3087</v>
      </c>
      <c r="C215" s="3224">
        <v>7950</v>
      </c>
      <c r="D215" s="3224">
        <v>7900</v>
      </c>
      <c r="E215" s="3224">
        <v>10560</v>
      </c>
      <c r="F215" s="3224">
        <v>1630</v>
      </c>
      <c r="G215" s="3237">
        <v>4990</v>
      </c>
    </row>
    <row r="216" spans="1:7" s="3213" customFormat="1" ht="14.25" customHeight="1">
      <c r="A216" s="3224" t="s">
        <v>304</v>
      </c>
      <c r="B216" s="3224" t="s">
        <v>3088</v>
      </c>
      <c r="C216" s="3224">
        <v>8490</v>
      </c>
      <c r="D216" s="3224">
        <v>8440</v>
      </c>
      <c r="E216" s="3224">
        <v>11260</v>
      </c>
      <c r="F216" s="3224">
        <v>1690</v>
      </c>
      <c r="G216" s="3237">
        <v>5330</v>
      </c>
    </row>
    <row r="217" spans="1:7" s="3213" customFormat="1" ht="14.25" customHeight="1">
      <c r="A217" s="3224" t="s">
        <v>304</v>
      </c>
      <c r="B217" s="3224" t="s">
        <v>2953</v>
      </c>
      <c r="C217" s="3224">
        <v>8200</v>
      </c>
      <c r="D217" s="3224">
        <v>8150</v>
      </c>
      <c r="E217" s="3224">
        <v>10910</v>
      </c>
      <c r="F217" s="3224">
        <v>1670</v>
      </c>
      <c r="G217" s="3237">
        <v>5150</v>
      </c>
    </row>
    <row r="218" spans="1:7" s="3213" customFormat="1" ht="14.25" customHeight="1">
      <c r="A218" s="3224" t="s">
        <v>304</v>
      </c>
      <c r="B218" s="3224" t="s">
        <v>3089</v>
      </c>
      <c r="C218" s="3224"/>
      <c r="D218" s="3224"/>
      <c r="E218" s="3224"/>
      <c r="F218" s="3224">
        <v>2040</v>
      </c>
      <c r="G218" s="3237"/>
    </row>
    <row r="219" spans="1:7" s="3213" customFormat="1" ht="14.25" customHeight="1">
      <c r="A219" s="3224" t="s">
        <v>304</v>
      </c>
      <c r="B219" s="3224" t="s">
        <v>3090</v>
      </c>
      <c r="C219" s="3224"/>
      <c r="D219" s="3224"/>
      <c r="E219" s="3224"/>
      <c r="F219" s="3224">
        <v>2040</v>
      </c>
      <c r="G219" s="3237"/>
    </row>
    <row r="220" spans="1:7" s="3213" customFormat="1" ht="14.25" customHeight="1">
      <c r="A220" s="3224" t="s">
        <v>304</v>
      </c>
      <c r="B220" s="3224" t="s">
        <v>3091</v>
      </c>
      <c r="C220" s="3224"/>
      <c r="D220" s="3224"/>
      <c r="E220" s="3224"/>
      <c r="F220" s="3224">
        <v>2040</v>
      </c>
      <c r="G220" s="3237"/>
    </row>
    <row r="221" spans="1:7" s="3213" customFormat="1" ht="14.25" customHeight="1">
      <c r="A221" s="3224" t="s">
        <v>304</v>
      </c>
      <c r="B221" s="3224" t="s">
        <v>3092</v>
      </c>
      <c r="C221" s="3224"/>
      <c r="D221" s="3224"/>
      <c r="E221" s="3224"/>
      <c r="F221" s="3224">
        <v>2040</v>
      </c>
      <c r="G221" s="3237"/>
    </row>
    <row r="222" spans="1:7" s="3213" customFormat="1" ht="14.25" customHeight="1">
      <c r="A222" s="3224" t="s">
        <v>304</v>
      </c>
      <c r="B222" s="3224" t="s">
        <v>3093</v>
      </c>
      <c r="C222" s="3224"/>
      <c r="D222" s="3224"/>
      <c r="E222" s="3224"/>
      <c r="F222" s="3224">
        <v>2040</v>
      </c>
      <c r="G222" s="3237"/>
    </row>
    <row r="223" spans="1:7" s="3213" customFormat="1" ht="14.25" customHeight="1">
      <c r="A223" s="3224" t="s">
        <v>304</v>
      </c>
      <c r="B223" s="3224" t="s">
        <v>3094</v>
      </c>
      <c r="C223" s="3224"/>
      <c r="D223" s="3224"/>
      <c r="E223" s="3224"/>
      <c r="F223" s="3224">
        <v>1930</v>
      </c>
      <c r="G223" s="3237"/>
    </row>
    <row r="224" spans="1:7" s="3213" customFormat="1" ht="14.25" customHeight="1">
      <c r="A224" s="3224" t="s">
        <v>304</v>
      </c>
      <c r="B224" s="3224" t="s">
        <v>3095</v>
      </c>
      <c r="C224" s="3224"/>
      <c r="D224" s="3224"/>
      <c r="E224" s="3224"/>
      <c r="F224" s="3224">
        <v>1930</v>
      </c>
      <c r="G224" s="3237"/>
    </row>
    <row r="225" spans="1:7" s="3213" customFormat="1" ht="14.25" customHeight="1">
      <c r="A225" s="3224" t="s">
        <v>304</v>
      </c>
      <c r="B225" s="3224" t="s">
        <v>3096</v>
      </c>
      <c r="C225" s="3224"/>
      <c r="D225" s="3224"/>
      <c r="E225" s="3224"/>
      <c r="F225" s="3224">
        <v>1930</v>
      </c>
      <c r="G225" s="3237"/>
    </row>
    <row r="226" spans="1:7" s="3213" customFormat="1" ht="14.25" customHeight="1">
      <c r="A226" s="3224" t="s">
        <v>304</v>
      </c>
      <c r="B226" s="3224" t="s">
        <v>3097</v>
      </c>
      <c r="C226" s="3224"/>
      <c r="D226" s="3224"/>
      <c r="E226" s="3224"/>
      <c r="F226" s="3224">
        <v>1700</v>
      </c>
      <c r="G226" s="3237"/>
    </row>
    <row r="227" spans="1:7" s="3213" customFormat="1" ht="14.25" customHeight="1">
      <c r="A227" s="3224" t="s">
        <v>304</v>
      </c>
      <c r="B227" s="3224" t="s">
        <v>3098</v>
      </c>
      <c r="C227" s="3224"/>
      <c r="D227" s="3224"/>
      <c r="E227" s="3224"/>
      <c r="F227" s="3224">
        <v>1520</v>
      </c>
      <c r="G227" s="3237"/>
    </row>
    <row r="228" spans="1:7" s="3213" customFormat="1" ht="14.25" customHeight="1">
      <c r="A228" s="3224" t="s">
        <v>304</v>
      </c>
      <c r="B228" s="3224" t="s">
        <v>3099</v>
      </c>
      <c r="C228" s="3224"/>
      <c r="D228" s="3224"/>
      <c r="E228" s="3224"/>
      <c r="F228" s="3224">
        <v>1520</v>
      </c>
      <c r="G228" s="3237"/>
    </row>
    <row r="229" spans="1:7" s="3213" customFormat="1" ht="14.25" customHeight="1">
      <c r="A229" s="3224" t="s">
        <v>304</v>
      </c>
      <c r="B229" s="3224" t="s">
        <v>3016</v>
      </c>
      <c r="C229" s="3224"/>
      <c r="D229" s="3224"/>
      <c r="E229" s="3224"/>
      <c r="F229" s="3224">
        <v>1520</v>
      </c>
      <c r="G229" s="3237"/>
    </row>
    <row r="230" spans="1:7" s="3213" customFormat="1" ht="14.25" customHeight="1">
      <c r="A230" s="3224" t="s">
        <v>304</v>
      </c>
      <c r="B230" s="3224" t="s">
        <v>3100</v>
      </c>
      <c r="C230" s="3224"/>
      <c r="D230" s="3224"/>
      <c r="E230" s="3224"/>
      <c r="F230" s="3224">
        <v>1820</v>
      </c>
      <c r="G230" s="3237"/>
    </row>
    <row r="231" spans="1:7" s="3213" customFormat="1" ht="14.25" customHeight="1">
      <c r="A231" s="3224" t="s">
        <v>304</v>
      </c>
      <c r="B231" s="3224" t="s">
        <v>3101</v>
      </c>
      <c r="C231" s="3224"/>
      <c r="D231" s="3224"/>
      <c r="E231" s="3224"/>
      <c r="F231" s="3224">
        <v>1760</v>
      </c>
      <c r="G231" s="3237"/>
    </row>
    <row r="232" spans="1:7" s="3213" customFormat="1" ht="14.25" customHeight="1">
      <c r="A232" s="3224" t="s">
        <v>304</v>
      </c>
      <c r="B232" s="3224" t="s">
        <v>3102</v>
      </c>
      <c r="C232" s="3224"/>
      <c r="D232" s="3224"/>
      <c r="E232" s="3224"/>
      <c r="F232" s="3224">
        <v>1840</v>
      </c>
      <c r="G232" s="3237"/>
    </row>
    <row r="233" spans="1:7" s="3213" customFormat="1" ht="14.25" customHeight="1" thickBot="1">
      <c r="A233" s="3238" t="s">
        <v>304</v>
      </c>
      <c r="B233" s="3231" t="s">
        <v>3033</v>
      </c>
      <c r="C233" s="3231"/>
      <c r="D233" s="3231"/>
      <c r="E233" s="3231"/>
      <c r="F233" s="3231">
        <v>1770</v>
      </c>
      <c r="G233" s="3239"/>
    </row>
    <row r="234" spans="1:7" s="3213" customFormat="1" ht="14.25" customHeight="1">
      <c r="A234" s="3229" t="s">
        <v>305</v>
      </c>
      <c r="B234" s="3220" t="s">
        <v>3103</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2874</v>
      </c>
      <c r="C238" s="3224">
        <v>6920</v>
      </c>
      <c r="D238" s="3224">
        <v>6890</v>
      </c>
      <c r="E238" s="3224">
        <v>8640</v>
      </c>
      <c r="F238" s="3224">
        <v>1310</v>
      </c>
      <c r="G238" s="3224">
        <v>4230</v>
      </c>
    </row>
    <row r="239" spans="1:7" s="3213" customFormat="1" ht="14.25" customHeight="1">
      <c r="A239" s="3224" t="s">
        <v>305</v>
      </c>
      <c r="B239" s="3224" t="s">
        <v>3104</v>
      </c>
      <c r="C239" s="3224">
        <v>6780</v>
      </c>
      <c r="D239" s="3224">
        <v>6750</v>
      </c>
      <c r="E239" s="3224">
        <v>8440</v>
      </c>
      <c r="F239" s="3224">
        <v>1160</v>
      </c>
      <c r="G239" s="3224">
        <v>4140</v>
      </c>
    </row>
    <row r="240" spans="1:7" s="3213" customFormat="1" ht="14.25" customHeight="1">
      <c r="A240" s="3224" t="s">
        <v>305</v>
      </c>
      <c r="B240" s="3224" t="s">
        <v>3105</v>
      </c>
      <c r="C240" s="3224">
        <v>5420</v>
      </c>
      <c r="D240" s="3224">
        <v>5380</v>
      </c>
      <c r="E240" s="3224">
        <v>6640</v>
      </c>
      <c r="F240" s="3224">
        <v>1020</v>
      </c>
      <c r="G240" s="3224">
        <v>3300</v>
      </c>
    </row>
    <row r="241" spans="1:7" s="3213" customFormat="1" ht="14.25" customHeight="1">
      <c r="A241" s="3224" t="s">
        <v>305</v>
      </c>
      <c r="B241" s="3224" t="s">
        <v>3106</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3107</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3108</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3109</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3110</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3111</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2936</v>
      </c>
      <c r="C258" s="3224">
        <v>6190</v>
      </c>
      <c r="D258" s="3224">
        <v>6160</v>
      </c>
      <c r="E258" s="3224">
        <v>7680</v>
      </c>
      <c r="F258" s="3224">
        <v>1170</v>
      </c>
      <c r="G258" s="3224">
        <v>3780</v>
      </c>
    </row>
    <row r="259" spans="1:7" s="3213" customFormat="1" ht="14.25" customHeight="1">
      <c r="A259" s="3224" t="s">
        <v>305</v>
      </c>
      <c r="B259" s="3224" t="s">
        <v>3112</v>
      </c>
      <c r="C259" s="3224">
        <v>7610</v>
      </c>
      <c r="D259" s="3224">
        <v>7570</v>
      </c>
      <c r="E259" s="3224">
        <v>9350</v>
      </c>
      <c r="F259" s="3224">
        <v>1350</v>
      </c>
      <c r="G259" s="3224">
        <v>4650</v>
      </c>
    </row>
    <row r="260" spans="1:7" s="3213" customFormat="1" ht="14.25" customHeight="1">
      <c r="A260" s="3224" t="s">
        <v>305</v>
      </c>
      <c r="B260" s="3224" t="s">
        <v>3113</v>
      </c>
      <c r="C260" s="3224">
        <v>6920</v>
      </c>
      <c r="D260" s="3224">
        <v>6880</v>
      </c>
      <c r="E260" s="3224">
        <v>8380</v>
      </c>
      <c r="F260" s="3224">
        <v>1160</v>
      </c>
      <c r="G260" s="3224">
        <v>4220</v>
      </c>
    </row>
    <row r="261" spans="1:7" s="3213" customFormat="1" ht="14.25" customHeight="1">
      <c r="A261" s="3224" t="s">
        <v>305</v>
      </c>
      <c r="B261" s="3224" t="s">
        <v>3114</v>
      </c>
      <c r="C261" s="3224">
        <v>6850</v>
      </c>
      <c r="D261" s="3224">
        <v>6810</v>
      </c>
      <c r="E261" s="3224">
        <v>8290</v>
      </c>
      <c r="F261" s="3224">
        <v>1130</v>
      </c>
      <c r="G261" s="3224">
        <v>4180</v>
      </c>
    </row>
    <row r="262" spans="1:7" s="3213" customFormat="1" ht="14.25" customHeight="1">
      <c r="A262" s="3224" t="s">
        <v>305</v>
      </c>
      <c r="B262" s="3224" t="s">
        <v>3115</v>
      </c>
      <c r="C262" s="3224">
        <v>5860</v>
      </c>
      <c r="D262" s="3224">
        <v>5820</v>
      </c>
      <c r="E262" s="3224">
        <v>7640</v>
      </c>
      <c r="F262" s="3224">
        <v>1070</v>
      </c>
      <c r="G262" s="3224">
        <v>3570</v>
      </c>
    </row>
    <row r="263" spans="1:7" s="3213" customFormat="1" ht="14.25" customHeight="1">
      <c r="A263" s="3224" t="s">
        <v>305</v>
      </c>
      <c r="B263" s="3224" t="s">
        <v>3116</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3117</v>
      </c>
      <c r="C265" s="3224"/>
      <c r="D265" s="3224"/>
      <c r="E265" s="3224"/>
      <c r="F265" s="3224">
        <v>1500</v>
      </c>
      <c r="G265" s="3224"/>
    </row>
    <row r="266" spans="1:7" s="3213" customFormat="1" ht="14.25" customHeight="1">
      <c r="A266" s="3224" t="s">
        <v>305</v>
      </c>
      <c r="B266" s="3224" t="s">
        <v>3118</v>
      </c>
      <c r="C266" s="3224"/>
      <c r="D266" s="3224"/>
      <c r="E266" s="3224"/>
      <c r="F266" s="3224">
        <v>1500</v>
      </c>
      <c r="G266" s="3224"/>
    </row>
    <row r="267" spans="1:7" s="3213" customFormat="1" ht="14.25" customHeight="1">
      <c r="A267" s="3224" t="s">
        <v>305</v>
      </c>
      <c r="B267" s="3224" t="s">
        <v>3119</v>
      </c>
      <c r="C267" s="3224"/>
      <c r="D267" s="3224"/>
      <c r="E267" s="3224"/>
      <c r="F267" s="3224">
        <v>1500</v>
      </c>
      <c r="G267" s="3224"/>
    </row>
    <row r="268" spans="1:7" s="3213" customFormat="1" ht="14.25" customHeight="1">
      <c r="A268" s="3224" t="s">
        <v>305</v>
      </c>
      <c r="B268" s="3224" t="s">
        <v>3120</v>
      </c>
      <c r="C268" s="3224"/>
      <c r="D268" s="3224"/>
      <c r="E268" s="3224"/>
      <c r="F268" s="3224">
        <v>1290</v>
      </c>
      <c r="G268" s="3224"/>
    </row>
    <row r="269" spans="1:7" s="3213" customFormat="1" ht="14.25" customHeight="1">
      <c r="A269" s="3224" t="s">
        <v>305</v>
      </c>
      <c r="B269" s="3224" t="s">
        <v>3121</v>
      </c>
      <c r="C269" s="3224"/>
      <c r="D269" s="3224"/>
      <c r="E269" s="3224"/>
      <c r="F269" s="3224">
        <v>1150</v>
      </c>
      <c r="G269" s="3224"/>
    </row>
    <row r="270" spans="1:7" s="3213" customFormat="1" ht="14.25" customHeight="1">
      <c r="A270" s="3224" t="s">
        <v>305</v>
      </c>
      <c r="B270" s="3224" t="s">
        <v>3122</v>
      </c>
      <c r="C270" s="3224"/>
      <c r="D270" s="3224"/>
      <c r="E270" s="3224"/>
      <c r="F270" s="3224">
        <v>1380</v>
      </c>
      <c r="G270" s="3224"/>
    </row>
    <row r="271" spans="1:7" s="3213" customFormat="1" ht="14.25" customHeight="1">
      <c r="A271" s="3224" t="s">
        <v>305</v>
      </c>
      <c r="B271" s="3224" t="s">
        <v>3123</v>
      </c>
      <c r="C271" s="3224"/>
      <c r="D271" s="3224"/>
      <c r="E271" s="3224"/>
      <c r="F271" s="3224">
        <v>1460</v>
      </c>
      <c r="G271" s="3224"/>
    </row>
    <row r="272" spans="1:7" s="3213" customFormat="1" ht="14.25" customHeight="1">
      <c r="A272" s="3224" t="s">
        <v>305</v>
      </c>
      <c r="B272" s="3224" t="s">
        <v>3124</v>
      </c>
      <c r="C272" s="3224"/>
      <c r="D272" s="3224"/>
      <c r="E272" s="3224"/>
      <c r="F272" s="3224">
        <v>1460</v>
      </c>
      <c r="G272" s="3224"/>
    </row>
    <row r="273" spans="1:7" s="3213" customFormat="1" ht="14.25" customHeight="1">
      <c r="A273" s="3224" t="s">
        <v>305</v>
      </c>
      <c r="B273" s="3224" t="s">
        <v>3017</v>
      </c>
      <c r="C273" s="3224"/>
      <c r="D273" s="3224"/>
      <c r="E273" s="3224"/>
      <c r="F273" s="3224">
        <v>1490</v>
      </c>
      <c r="G273" s="3224"/>
    </row>
    <row r="274" spans="1:7" s="3213" customFormat="1" ht="14.25" customHeight="1">
      <c r="A274" s="3224" t="s">
        <v>305</v>
      </c>
      <c r="B274" s="3224" t="s">
        <v>3125</v>
      </c>
      <c r="C274" s="3224"/>
      <c r="D274" s="3224"/>
      <c r="E274" s="3224"/>
      <c r="F274" s="3224">
        <v>1490</v>
      </c>
      <c r="G274" s="3224"/>
    </row>
    <row r="275" spans="1:7" s="3213" customFormat="1" ht="14.25" customHeight="1">
      <c r="A275" s="3224" t="s">
        <v>305</v>
      </c>
      <c r="B275" s="3224" t="s">
        <v>3126</v>
      </c>
      <c r="C275" s="3224"/>
      <c r="D275" s="3224"/>
      <c r="E275" s="3224"/>
      <c r="F275" s="3224">
        <v>1220</v>
      </c>
      <c r="G275" s="3224"/>
    </row>
    <row r="276" spans="1:7" s="3213" customFormat="1" ht="14.25" customHeight="1" thickBot="1">
      <c r="A276" s="3232" t="s">
        <v>305</v>
      </c>
      <c r="B276" s="3234" t="s">
        <v>3127</v>
      </c>
      <c r="C276" s="3235"/>
      <c r="D276" s="3235"/>
      <c r="E276" s="3235"/>
      <c r="F276" s="3235">
        <v>1380</v>
      </c>
      <c r="G276" s="3235"/>
    </row>
    <row r="277" spans="1:7" s="3213" customFormat="1" ht="14.25" customHeight="1">
      <c r="A277" s="3229" t="s">
        <v>306</v>
      </c>
      <c r="B277" s="3220" t="s">
        <v>3128</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3129</v>
      </c>
      <c r="C279" s="3224">
        <v>4760</v>
      </c>
      <c r="D279" s="3224">
        <v>4720</v>
      </c>
      <c r="E279" s="3224">
        <v>5540</v>
      </c>
      <c r="F279" s="3224">
        <v>810</v>
      </c>
      <c r="G279" s="3237">
        <v>2850</v>
      </c>
    </row>
    <row r="280" spans="1:7" s="3213" customFormat="1" ht="14.25" customHeight="1">
      <c r="A280" s="3224" t="s">
        <v>306</v>
      </c>
      <c r="B280" s="3224" t="s">
        <v>3130</v>
      </c>
      <c r="C280" s="3224">
        <v>4010</v>
      </c>
      <c r="D280" s="3224">
        <v>3950</v>
      </c>
      <c r="E280" s="3224">
        <v>4710</v>
      </c>
      <c r="F280" s="3224">
        <v>800</v>
      </c>
      <c r="G280" s="3237">
        <v>2390</v>
      </c>
    </row>
    <row r="281" spans="1:7" s="3213" customFormat="1" ht="14.25" customHeight="1">
      <c r="A281" s="3224" t="s">
        <v>306</v>
      </c>
      <c r="B281" s="3224" t="s">
        <v>3131</v>
      </c>
      <c r="C281" s="3224">
        <v>4480</v>
      </c>
      <c r="D281" s="3224">
        <v>4420</v>
      </c>
      <c r="E281" s="3224">
        <v>5230</v>
      </c>
      <c r="F281" s="3224">
        <v>870</v>
      </c>
      <c r="G281" s="3237">
        <v>2660</v>
      </c>
    </row>
    <row r="282" spans="1:7" s="3213" customFormat="1" ht="14.25" customHeight="1">
      <c r="A282" s="3224" t="s">
        <v>306</v>
      </c>
      <c r="B282" s="3224" t="s">
        <v>3132</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3133</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3134</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2909</v>
      </c>
      <c r="C293" s="3224">
        <v>5320</v>
      </c>
      <c r="D293" s="3224">
        <v>5270</v>
      </c>
      <c r="E293" s="3224">
        <v>6160</v>
      </c>
      <c r="F293" s="3224">
        <v>990</v>
      </c>
      <c r="G293" s="3237">
        <v>3170</v>
      </c>
    </row>
    <row r="294" spans="1:7" s="3213" customFormat="1" ht="14.25" customHeight="1">
      <c r="A294" s="3224" t="s">
        <v>306</v>
      </c>
      <c r="B294" s="3224" t="s">
        <v>3135</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2928</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3136</v>
      </c>
      <c r="C302" s="3224">
        <v>5520</v>
      </c>
      <c r="D302" s="3224">
        <v>5470</v>
      </c>
      <c r="E302" s="3224">
        <v>6410</v>
      </c>
      <c r="F302" s="3224">
        <v>950</v>
      </c>
      <c r="G302" s="3237">
        <v>3300</v>
      </c>
    </row>
    <row r="303" spans="1:7" s="3213" customFormat="1" ht="14.25" customHeight="1">
      <c r="A303" s="3224" t="s">
        <v>306</v>
      </c>
      <c r="B303" s="3224" t="s">
        <v>2948</v>
      </c>
      <c r="C303" s="3224">
        <v>5630</v>
      </c>
      <c r="D303" s="3224">
        <v>5590</v>
      </c>
      <c r="E303" s="3224">
        <v>6550</v>
      </c>
      <c r="F303" s="3224">
        <v>1010</v>
      </c>
      <c r="G303" s="3237">
        <v>3370</v>
      </c>
    </row>
    <row r="304" spans="1:7" s="3213" customFormat="1" ht="14.25" customHeight="1">
      <c r="A304" s="3224" t="s">
        <v>306</v>
      </c>
      <c r="B304" s="3224" t="s">
        <v>2955</v>
      </c>
      <c r="C304" s="3224">
        <v>5680</v>
      </c>
      <c r="D304" s="3224">
        <v>5620</v>
      </c>
      <c r="E304" s="3224">
        <v>6620</v>
      </c>
      <c r="F304" s="3224">
        <v>1050</v>
      </c>
      <c r="G304" s="3237">
        <v>3390</v>
      </c>
    </row>
    <row r="305" spans="1:7" s="3213" customFormat="1" ht="14.25" customHeight="1">
      <c r="A305" s="3224" t="s">
        <v>306</v>
      </c>
      <c r="B305" s="3224" t="s">
        <v>2961</v>
      </c>
      <c r="C305" s="3224">
        <v>5590</v>
      </c>
      <c r="D305" s="3224">
        <v>5530</v>
      </c>
      <c r="E305" s="3224">
        <v>6460</v>
      </c>
      <c r="F305" s="3224">
        <v>900</v>
      </c>
      <c r="G305" s="3237">
        <v>3340</v>
      </c>
    </row>
    <row r="306" spans="1:7" s="3213" customFormat="1" ht="14.25" customHeight="1">
      <c r="A306" s="3224" t="s">
        <v>306</v>
      </c>
      <c r="B306" s="3224" t="s">
        <v>3137</v>
      </c>
      <c r="C306" s="3224">
        <v>5560</v>
      </c>
      <c r="D306" s="3224">
        <v>5510</v>
      </c>
      <c r="E306" s="3224">
        <v>6440</v>
      </c>
      <c r="F306" s="3224">
        <v>900</v>
      </c>
      <c r="G306" s="3237">
        <v>3320</v>
      </c>
    </row>
    <row r="307" spans="1:7" s="3213" customFormat="1" ht="14.25" customHeight="1">
      <c r="A307" s="3224" t="s">
        <v>306</v>
      </c>
      <c r="B307" s="3224" t="s">
        <v>2973</v>
      </c>
      <c r="C307" s="3224">
        <v>5650</v>
      </c>
      <c r="D307" s="3224">
        <v>5600</v>
      </c>
      <c r="E307" s="3224">
        <v>6590</v>
      </c>
      <c r="F307" s="3224">
        <v>930</v>
      </c>
      <c r="G307" s="3237">
        <v>3380</v>
      </c>
    </row>
    <row r="308" spans="1:7" s="3213" customFormat="1" ht="14.25" customHeight="1">
      <c r="A308" s="3224" t="s">
        <v>306</v>
      </c>
      <c r="B308" s="3224" t="s">
        <v>3138</v>
      </c>
      <c r="C308" s="3224">
        <v>5620</v>
      </c>
      <c r="D308" s="3224">
        <v>5580</v>
      </c>
      <c r="E308" s="3224">
        <v>6540</v>
      </c>
      <c r="F308" s="3224">
        <v>910</v>
      </c>
      <c r="G308" s="3237">
        <v>3370</v>
      </c>
    </row>
    <row r="309" spans="1:7" s="3213" customFormat="1" ht="14.25" customHeight="1">
      <c r="A309" s="3224" t="s">
        <v>306</v>
      </c>
      <c r="B309" s="3224" t="s">
        <v>3139</v>
      </c>
      <c r="C309" s="3224">
        <v>5060</v>
      </c>
      <c r="D309" s="3224">
        <v>5020</v>
      </c>
      <c r="E309" s="3224">
        <v>6370</v>
      </c>
      <c r="F309" s="3224">
        <v>800</v>
      </c>
      <c r="G309" s="3237">
        <v>3020</v>
      </c>
    </row>
    <row r="310" spans="1:7" s="3213" customFormat="1" ht="14.25" customHeight="1">
      <c r="A310" s="3224" t="s">
        <v>306</v>
      </c>
      <c r="B310" s="3224" t="s">
        <v>2988</v>
      </c>
      <c r="C310" s="3224">
        <v>5150</v>
      </c>
      <c r="D310" s="3224">
        <v>5110</v>
      </c>
      <c r="E310" s="3224">
        <v>6500</v>
      </c>
      <c r="F310" s="3224">
        <v>880</v>
      </c>
      <c r="G310" s="3237">
        <v>3080</v>
      </c>
    </row>
    <row r="311" spans="1:7" s="3213" customFormat="1" ht="14.25" customHeight="1">
      <c r="A311" s="3224" t="s">
        <v>306</v>
      </c>
      <c r="B311" s="3224" t="s">
        <v>3140</v>
      </c>
      <c r="C311" s="3224">
        <v>4750</v>
      </c>
      <c r="D311" s="3224">
        <v>4710</v>
      </c>
      <c r="E311" s="3224">
        <v>5510</v>
      </c>
      <c r="F311" s="3224">
        <v>880</v>
      </c>
      <c r="G311" s="3237">
        <v>2840</v>
      </c>
    </row>
    <row r="312" spans="1:7" s="3213" customFormat="1" ht="14.25" customHeight="1">
      <c r="A312" s="3224" t="s">
        <v>306</v>
      </c>
      <c r="B312" s="3224" t="s">
        <v>2998</v>
      </c>
      <c r="C312" s="3224">
        <v>4690</v>
      </c>
      <c r="D312" s="3224">
        <v>4640</v>
      </c>
      <c r="E312" s="3224">
        <v>5420</v>
      </c>
      <c r="F312" s="3224">
        <v>800</v>
      </c>
      <c r="G312" s="3237">
        <v>2800</v>
      </c>
    </row>
    <row r="313" spans="1:7" s="3213" customFormat="1" ht="14.25" customHeight="1">
      <c r="A313" s="3224" t="s">
        <v>306</v>
      </c>
      <c r="B313" s="3224" t="s">
        <v>3003</v>
      </c>
      <c r="C313" s="3224">
        <v>4810</v>
      </c>
      <c r="D313" s="3224">
        <v>4760</v>
      </c>
      <c r="E313" s="3224">
        <v>5550</v>
      </c>
      <c r="F313" s="3224">
        <v>920</v>
      </c>
      <c r="G313" s="3237">
        <v>2870</v>
      </c>
    </row>
    <row r="314" spans="1:7" s="3213" customFormat="1" ht="14.25" customHeight="1">
      <c r="A314" s="3224" t="s">
        <v>306</v>
      </c>
      <c r="B314" s="3224" t="s">
        <v>3141</v>
      </c>
      <c r="C314" s="3224"/>
      <c r="D314" s="3224"/>
      <c r="E314" s="3224"/>
      <c r="F314" s="3224">
        <v>1020</v>
      </c>
      <c r="G314" s="3237"/>
    </row>
    <row r="315" spans="1:7" s="3213" customFormat="1" ht="14.25" customHeight="1">
      <c r="A315" s="3224" t="s">
        <v>306</v>
      </c>
      <c r="B315" s="3224" t="s">
        <v>3142</v>
      </c>
      <c r="C315" s="3224"/>
      <c r="D315" s="3224"/>
      <c r="E315" s="3224"/>
      <c r="F315" s="3224">
        <v>1050</v>
      </c>
      <c r="G315" s="3237"/>
    </row>
    <row r="316" spans="1:7" s="3213" customFormat="1" ht="14.25" customHeight="1">
      <c r="A316" s="3224" t="s">
        <v>306</v>
      </c>
      <c r="B316" s="3224" t="s">
        <v>3018</v>
      </c>
      <c r="C316" s="3224"/>
      <c r="D316" s="3224"/>
      <c r="E316" s="3224"/>
      <c r="F316" s="3224">
        <v>900</v>
      </c>
      <c r="G316" s="3237"/>
    </row>
    <row r="317" spans="1:7" s="3213" customFormat="1" ht="14.25" customHeight="1">
      <c r="A317" s="3224" t="s">
        <v>306</v>
      </c>
      <c r="B317" s="3224" t="s">
        <v>3143</v>
      </c>
      <c r="C317" s="3224"/>
      <c r="D317" s="3224"/>
      <c r="E317" s="3224"/>
      <c r="F317" s="3224">
        <v>920</v>
      </c>
      <c r="G317" s="3237"/>
    </row>
    <row r="318" spans="1:7" s="3213" customFormat="1" ht="14.25" customHeight="1">
      <c r="A318" s="3224" t="s">
        <v>306</v>
      </c>
      <c r="B318" s="3224" t="s">
        <v>3144</v>
      </c>
      <c r="C318" s="3224"/>
      <c r="D318" s="3224"/>
      <c r="E318" s="3224"/>
      <c r="F318" s="3224">
        <v>1080</v>
      </c>
      <c r="G318" s="3237"/>
    </row>
    <row r="319" spans="1:7" s="3213" customFormat="1" ht="14.25" customHeight="1">
      <c r="A319" s="3224" t="s">
        <v>306</v>
      </c>
      <c r="B319" s="3224" t="s">
        <v>3031</v>
      </c>
      <c r="C319" s="3224"/>
      <c r="D319" s="3224"/>
      <c r="E319" s="3224"/>
      <c r="F319" s="3224">
        <v>1020</v>
      </c>
      <c r="G319" s="3237"/>
    </row>
    <row r="320" spans="1:7" s="3213" customFormat="1" ht="14.25" customHeight="1">
      <c r="A320" s="3224" t="s">
        <v>306</v>
      </c>
      <c r="B320" s="3224" t="s">
        <v>3034</v>
      </c>
      <c r="C320" s="3224"/>
      <c r="D320" s="3224"/>
      <c r="E320" s="3224"/>
      <c r="F320" s="3224">
        <v>1050</v>
      </c>
      <c r="G320" s="3237"/>
    </row>
    <row r="321" spans="1:7" s="3213" customFormat="1" ht="14.25" customHeight="1">
      <c r="A321" s="3224" t="s">
        <v>306</v>
      </c>
      <c r="B321" s="3224" t="s">
        <v>3036</v>
      </c>
      <c r="C321" s="3224"/>
      <c r="D321" s="3224"/>
      <c r="E321" s="3224"/>
      <c r="F321" s="3224">
        <v>960</v>
      </c>
      <c r="G321" s="3237"/>
    </row>
    <row r="322" spans="1:7" s="3213" customFormat="1" ht="14.25" customHeight="1">
      <c r="A322" s="3224" t="s">
        <v>306</v>
      </c>
      <c r="B322" s="3224" t="s">
        <v>3038</v>
      </c>
      <c r="C322" s="3224"/>
      <c r="D322" s="3224"/>
      <c r="E322" s="3224"/>
      <c r="F322" s="3224">
        <v>960</v>
      </c>
      <c r="G322" s="3237"/>
    </row>
    <row r="323" spans="1:7" s="3213" customFormat="1" ht="14.25" customHeight="1">
      <c r="A323" s="3224" t="s">
        <v>306</v>
      </c>
      <c r="B323" s="3224" t="s">
        <v>3040</v>
      </c>
      <c r="C323" s="3224"/>
      <c r="D323" s="3224"/>
      <c r="E323" s="3224"/>
      <c r="F323" s="3224">
        <v>880</v>
      </c>
      <c r="G323" s="3237"/>
    </row>
    <row r="324" spans="1:7" s="3213" customFormat="1" ht="14.25" customHeight="1">
      <c r="A324" s="3224" t="s">
        <v>306</v>
      </c>
      <c r="B324" s="3224" t="s">
        <v>3042</v>
      </c>
      <c r="C324" s="3224"/>
      <c r="D324" s="3224"/>
      <c r="E324" s="3224"/>
      <c r="F324" s="3224">
        <v>930</v>
      </c>
      <c r="G324" s="3237"/>
    </row>
    <row r="325" spans="1:7" s="3213" customFormat="1" ht="14.25" customHeight="1">
      <c r="A325" s="3224" t="s">
        <v>306</v>
      </c>
      <c r="B325" s="3225" t="s">
        <v>3044</v>
      </c>
      <c r="C325" s="3224"/>
      <c r="D325" s="3224"/>
      <c r="E325" s="3224"/>
      <c r="F325" s="3224">
        <v>900</v>
      </c>
      <c r="G325" s="3237"/>
    </row>
    <row r="326" spans="1:7" s="3213" customFormat="1" ht="14.25" customHeight="1" thickBot="1">
      <c r="A326" s="3238" t="s">
        <v>306</v>
      </c>
      <c r="B326" s="3231" t="s">
        <v>3046</v>
      </c>
      <c r="C326" s="3231"/>
      <c r="D326" s="3231"/>
      <c r="E326" s="3231"/>
      <c r="F326" s="3231">
        <v>790</v>
      </c>
      <c r="G326" s="3239"/>
    </row>
    <row r="327" spans="1:7" s="3213" customFormat="1" ht="14.25" customHeight="1">
      <c r="A327" s="3229" t="s">
        <v>307</v>
      </c>
      <c r="B327" s="3220" t="s">
        <v>3145</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3146</v>
      </c>
      <c r="C329" s="3224">
        <v>2730</v>
      </c>
      <c r="D329" s="3224">
        <v>2690</v>
      </c>
      <c r="E329" s="3224">
        <v>3100</v>
      </c>
      <c r="F329" s="3224">
        <v>660</v>
      </c>
      <c r="G329" s="3224">
        <v>1610</v>
      </c>
    </row>
    <row r="330" spans="1:7" s="3213" customFormat="1" ht="14.25" customHeight="1">
      <c r="A330" s="3224" t="s">
        <v>307</v>
      </c>
      <c r="B330" s="3224" t="s">
        <v>3147</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2880</v>
      </c>
      <c r="C332" s="3224">
        <v>3520</v>
      </c>
      <c r="D332" s="3224">
        <v>3480</v>
      </c>
      <c r="E332" s="3224">
        <v>3830</v>
      </c>
      <c r="F332" s="3224">
        <v>720</v>
      </c>
      <c r="G332" s="3224">
        <v>2090</v>
      </c>
    </row>
    <row r="333" spans="1:7" s="3213" customFormat="1" ht="14.25" customHeight="1">
      <c r="A333" s="3224" t="s">
        <v>307</v>
      </c>
      <c r="B333" s="3224" t="s">
        <v>3148</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2890</v>
      </c>
      <c r="C336" s="3224">
        <v>3570</v>
      </c>
      <c r="D336" s="3224">
        <v>3530</v>
      </c>
      <c r="E336" s="3224">
        <v>3880</v>
      </c>
      <c r="F336" s="3224">
        <v>770</v>
      </c>
      <c r="G336" s="3224">
        <v>2110</v>
      </c>
    </row>
    <row r="337" spans="1:10" s="3213" customFormat="1" ht="14.25" customHeight="1">
      <c r="A337" s="3224" t="s">
        <v>307</v>
      </c>
      <c r="B337" s="3224" t="s">
        <v>3149</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3150</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3151</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2915</v>
      </c>
      <c r="C345" s="3224">
        <v>3190</v>
      </c>
      <c r="D345" s="3224">
        <v>3140</v>
      </c>
      <c r="E345" s="3224">
        <v>3450</v>
      </c>
      <c r="F345" s="3224">
        <v>720</v>
      </c>
      <c r="G345" s="3224">
        <v>1880</v>
      </c>
      <c r="J345" s="3213"/>
    </row>
    <row r="346" spans="1:10">
      <c r="A346" s="3224" t="s">
        <v>307</v>
      </c>
      <c r="B346" s="3224" t="s">
        <v>3152</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2924</v>
      </c>
      <c r="C348" s="3224">
        <v>4000</v>
      </c>
      <c r="D348" s="3224">
        <v>3950</v>
      </c>
      <c r="E348" s="3224">
        <v>4430</v>
      </c>
      <c r="F348" s="3224">
        <v>760</v>
      </c>
      <c r="G348" s="3224">
        <v>2360</v>
      </c>
      <c r="J348" s="3213"/>
    </row>
    <row r="349" spans="1:10">
      <c r="A349" s="3224" t="s">
        <v>307</v>
      </c>
      <c r="B349" s="3224" t="s">
        <v>2929</v>
      </c>
      <c r="C349" s="3224">
        <v>3820</v>
      </c>
      <c r="D349" s="3224">
        <v>3780</v>
      </c>
      <c r="E349" s="3224">
        <v>4170</v>
      </c>
      <c r="F349" s="3224">
        <v>710</v>
      </c>
      <c r="G349" s="3224">
        <v>2260</v>
      </c>
      <c r="J349" s="3213"/>
    </row>
    <row r="350" spans="1:10">
      <c r="A350" s="3224" t="s">
        <v>307</v>
      </c>
      <c r="B350" s="3224" t="s">
        <v>3153</v>
      </c>
      <c r="C350" s="3224">
        <v>3760</v>
      </c>
      <c r="D350" s="3224">
        <v>3730</v>
      </c>
      <c r="E350" s="3224">
        <v>4100</v>
      </c>
      <c r="F350" s="3224">
        <v>800</v>
      </c>
      <c r="G350" s="3224">
        <v>2230</v>
      </c>
      <c r="J350" s="3213"/>
    </row>
    <row r="351" spans="1:10">
      <c r="A351" s="3224" t="s">
        <v>307</v>
      </c>
      <c r="B351" s="3224" t="s">
        <v>2937</v>
      </c>
      <c r="C351" s="3224">
        <v>3610</v>
      </c>
      <c r="D351" s="3224">
        <v>3580</v>
      </c>
      <c r="E351" s="3224">
        <v>3930</v>
      </c>
      <c r="F351" s="3224">
        <v>700</v>
      </c>
      <c r="G351" s="3224">
        <v>2140</v>
      </c>
      <c r="J351" s="3213"/>
    </row>
    <row r="352" spans="1:10">
      <c r="A352" s="3224" t="s">
        <v>307</v>
      </c>
      <c r="B352" s="3224" t="s">
        <v>2942</v>
      </c>
      <c r="C352" s="3224">
        <v>3670</v>
      </c>
      <c r="D352" s="3224">
        <v>3630</v>
      </c>
      <c r="E352" s="3224">
        <v>4000</v>
      </c>
      <c r="F352" s="3224">
        <v>750</v>
      </c>
      <c r="G352" s="3224">
        <v>2180</v>
      </c>
    </row>
    <row r="353" spans="1:7" s="3217" customFormat="1">
      <c r="A353" s="3224" t="s">
        <v>307</v>
      </c>
      <c r="B353" s="3224" t="s">
        <v>3154</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2962</v>
      </c>
      <c r="C355" s="3224">
        <v>3650</v>
      </c>
      <c r="D355" s="3224">
        <v>3610</v>
      </c>
      <c r="E355" s="3224">
        <v>4200</v>
      </c>
      <c r="F355" s="3224">
        <v>640</v>
      </c>
      <c r="G355" s="3224">
        <v>2160</v>
      </c>
    </row>
    <row r="356" spans="1:7" s="3217" customFormat="1">
      <c r="A356" s="3224" t="s">
        <v>307</v>
      </c>
      <c r="B356" s="3224" t="s">
        <v>2969</v>
      </c>
      <c r="C356" s="3224">
        <v>3260</v>
      </c>
      <c r="D356" s="3224">
        <v>3230</v>
      </c>
      <c r="E356" s="3224">
        <v>3740</v>
      </c>
      <c r="F356" s="3224">
        <v>600</v>
      </c>
      <c r="G356" s="3224">
        <v>1930</v>
      </c>
    </row>
    <row r="357" spans="1:7" s="3217" customFormat="1" ht="12" thickBot="1">
      <c r="A357" s="3232" t="s">
        <v>307</v>
      </c>
      <c r="B357" s="3235" t="s">
        <v>3155</v>
      </c>
      <c r="C357" s="3235">
        <v>3690</v>
      </c>
      <c r="D357" s="3235">
        <v>3650</v>
      </c>
      <c r="E357" s="3235">
        <v>4020</v>
      </c>
      <c r="F357" s="3235">
        <v>700</v>
      </c>
      <c r="G357" s="3235">
        <v>2190</v>
      </c>
    </row>
    <row r="358" spans="1:7" s="3217" customFormat="1">
      <c r="A358" s="3229" t="s">
        <v>3156</v>
      </c>
      <c r="B358" s="3220" t="s">
        <v>3157</v>
      </c>
      <c r="C358" s="3220">
        <v>2080</v>
      </c>
      <c r="D358" s="3220">
        <v>2040</v>
      </c>
      <c r="E358" s="3220">
        <v>2010</v>
      </c>
      <c r="F358" s="3220">
        <v>530</v>
      </c>
      <c r="G358" s="3236">
        <v>1230</v>
      </c>
    </row>
    <row r="359" spans="1:7" s="3217" customFormat="1">
      <c r="A359" s="3224" t="s">
        <v>3156</v>
      </c>
      <c r="B359" s="3224" t="s">
        <v>3158</v>
      </c>
      <c r="C359" s="3224">
        <v>1850</v>
      </c>
      <c r="D359" s="3224">
        <v>1820</v>
      </c>
      <c r="E359" s="3224">
        <v>1780</v>
      </c>
      <c r="F359" s="3224">
        <v>520</v>
      </c>
      <c r="G359" s="3237">
        <v>1100</v>
      </c>
    </row>
    <row r="360" spans="1:7" s="3217" customFormat="1">
      <c r="A360" s="3224" t="s">
        <v>3156</v>
      </c>
      <c r="B360" s="3224" t="s">
        <v>3159</v>
      </c>
      <c r="C360" s="3224">
        <v>2020</v>
      </c>
      <c r="D360" s="3224">
        <v>1990</v>
      </c>
      <c r="E360" s="3224">
        <v>1950</v>
      </c>
      <c r="F360" s="3224">
        <v>500</v>
      </c>
      <c r="G360" s="3237">
        <v>1200</v>
      </c>
    </row>
    <row r="361" spans="1:7" s="3217" customFormat="1">
      <c r="A361" s="3224" t="s">
        <v>3156</v>
      </c>
      <c r="B361" s="3224" t="s">
        <v>153</v>
      </c>
      <c r="C361" s="3224">
        <v>2260</v>
      </c>
      <c r="D361" s="3224">
        <v>2220</v>
      </c>
      <c r="E361" s="3224">
        <v>2180</v>
      </c>
      <c r="F361" s="3224">
        <v>580</v>
      </c>
      <c r="G361" s="3237">
        <v>1340</v>
      </c>
    </row>
    <row r="362" spans="1:7" s="3217" customFormat="1">
      <c r="A362" s="3224" t="s">
        <v>3156</v>
      </c>
      <c r="B362" s="3224" t="s">
        <v>3160</v>
      </c>
      <c r="C362" s="3224">
        <v>2650</v>
      </c>
      <c r="D362" s="3224">
        <v>2610</v>
      </c>
      <c r="E362" s="3224">
        <v>2570</v>
      </c>
      <c r="F362" s="3224">
        <v>630</v>
      </c>
      <c r="G362" s="3237">
        <v>1570</v>
      </c>
    </row>
    <row r="363" spans="1:7" s="3217" customFormat="1">
      <c r="A363" s="3224" t="s">
        <v>3156</v>
      </c>
      <c r="B363" s="3224" t="s">
        <v>2881</v>
      </c>
      <c r="C363" s="3224">
        <v>2390</v>
      </c>
      <c r="D363" s="3224">
        <v>2360</v>
      </c>
      <c r="E363" s="3224">
        <v>2320</v>
      </c>
      <c r="F363" s="3224">
        <v>600</v>
      </c>
      <c r="G363" s="3237">
        <v>1420</v>
      </c>
    </row>
    <row r="364" spans="1:7" s="3217" customFormat="1">
      <c r="A364" s="3224" t="s">
        <v>3156</v>
      </c>
      <c r="B364" s="3224" t="s">
        <v>3161</v>
      </c>
      <c r="C364" s="3224">
        <v>2050</v>
      </c>
      <c r="D364" s="3224">
        <v>2030</v>
      </c>
      <c r="E364" s="3224">
        <v>1990</v>
      </c>
      <c r="F364" s="3224">
        <v>550</v>
      </c>
      <c r="G364" s="3237">
        <v>1220</v>
      </c>
    </row>
    <row r="365" spans="1:7" s="3217" customFormat="1">
      <c r="A365" s="3224" t="s">
        <v>3156</v>
      </c>
      <c r="B365" s="3224" t="s">
        <v>200</v>
      </c>
      <c r="C365" s="3224">
        <v>2140</v>
      </c>
      <c r="D365" s="3224">
        <v>2100</v>
      </c>
      <c r="E365" s="3224">
        <v>2060</v>
      </c>
      <c r="F365" s="3224">
        <v>540</v>
      </c>
      <c r="G365" s="3237">
        <v>1270</v>
      </c>
    </row>
    <row r="366" spans="1:7" s="3217" customFormat="1">
      <c r="A366" s="3224" t="s">
        <v>3156</v>
      </c>
      <c r="B366" s="3224" t="s">
        <v>2888</v>
      </c>
      <c r="C366" s="3224">
        <v>2410</v>
      </c>
      <c r="D366" s="3224">
        <v>2370</v>
      </c>
      <c r="E366" s="3224">
        <v>2330</v>
      </c>
      <c r="F366" s="3224">
        <v>570</v>
      </c>
      <c r="G366" s="3237">
        <v>1440</v>
      </c>
    </row>
    <row r="367" spans="1:7" s="3217" customFormat="1">
      <c r="A367" s="3224" t="s">
        <v>3156</v>
      </c>
      <c r="B367" s="3224" t="s">
        <v>3162</v>
      </c>
      <c r="C367" s="3224">
        <v>2300</v>
      </c>
      <c r="D367" s="3224">
        <v>2260</v>
      </c>
      <c r="E367" s="3224">
        <v>2220</v>
      </c>
      <c r="F367" s="3224">
        <v>560</v>
      </c>
      <c r="G367" s="3237">
        <v>1370</v>
      </c>
    </row>
    <row r="368" spans="1:7" s="3217" customFormat="1">
      <c r="A368" s="3224" t="s">
        <v>3156</v>
      </c>
      <c r="B368" s="3224" t="s">
        <v>3163</v>
      </c>
      <c r="C368" s="3224">
        <v>2430</v>
      </c>
      <c r="D368" s="3224">
        <v>2390</v>
      </c>
      <c r="E368" s="3224">
        <v>2350</v>
      </c>
      <c r="F368" s="3224">
        <v>570</v>
      </c>
      <c r="G368" s="3237">
        <v>1450</v>
      </c>
    </row>
    <row r="369" spans="1:7" s="3217" customFormat="1">
      <c r="A369" s="3224" t="s">
        <v>3156</v>
      </c>
      <c r="B369" s="3224" t="s">
        <v>214</v>
      </c>
      <c r="C369" s="3224">
        <v>2320</v>
      </c>
      <c r="D369" s="3224">
        <v>2290</v>
      </c>
      <c r="E369" s="3224">
        <v>2250</v>
      </c>
      <c r="F369" s="3224">
        <v>550</v>
      </c>
      <c r="G369" s="3237">
        <v>1380</v>
      </c>
    </row>
    <row r="370" spans="1:7" s="3217" customFormat="1">
      <c r="A370" s="3224" t="s">
        <v>3156</v>
      </c>
      <c r="B370" s="3224" t="s">
        <v>221</v>
      </c>
      <c r="C370" s="3224">
        <v>2190</v>
      </c>
      <c r="D370" s="3224">
        <v>2170</v>
      </c>
      <c r="E370" s="3224">
        <v>2130</v>
      </c>
      <c r="F370" s="3224">
        <v>530</v>
      </c>
      <c r="G370" s="3237">
        <v>1310</v>
      </c>
    </row>
    <row r="371" spans="1:7" s="3217" customFormat="1">
      <c r="A371" s="3224" t="s">
        <v>3156</v>
      </c>
      <c r="B371" s="3224" t="s">
        <v>229</v>
      </c>
      <c r="C371" s="3224">
        <v>2460</v>
      </c>
      <c r="D371" s="3224">
        <v>2420</v>
      </c>
      <c r="E371" s="3224">
        <v>2370</v>
      </c>
      <c r="F371" s="3224">
        <v>560</v>
      </c>
      <c r="G371" s="3237">
        <v>1470</v>
      </c>
    </row>
    <row r="372" spans="1:7" s="3217" customFormat="1">
      <c r="A372" s="3224" t="s">
        <v>3156</v>
      </c>
      <c r="B372" s="3224" t="s">
        <v>3164</v>
      </c>
      <c r="C372" s="3224">
        <v>2250</v>
      </c>
      <c r="D372" s="3224">
        <v>2210</v>
      </c>
      <c r="E372" s="3224">
        <v>2180</v>
      </c>
      <c r="F372" s="3224">
        <v>550</v>
      </c>
      <c r="G372" s="3237">
        <v>1340</v>
      </c>
    </row>
    <row r="373" spans="1:7" s="3217" customFormat="1">
      <c r="A373" s="3224" t="s">
        <v>3156</v>
      </c>
      <c r="B373" s="3224" t="s">
        <v>258</v>
      </c>
      <c r="C373" s="3224">
        <v>2210</v>
      </c>
      <c r="D373" s="3224">
        <v>2190</v>
      </c>
      <c r="E373" s="3224">
        <v>2150</v>
      </c>
      <c r="F373" s="3224">
        <v>530</v>
      </c>
      <c r="G373" s="3237">
        <v>1320</v>
      </c>
    </row>
    <row r="374" spans="1:7" s="3217" customFormat="1">
      <c r="A374" s="3224" t="s">
        <v>3156</v>
      </c>
      <c r="B374" s="3224" t="s">
        <v>266</v>
      </c>
      <c r="C374" s="3224">
        <v>2320</v>
      </c>
      <c r="D374" s="3224">
        <v>2280</v>
      </c>
      <c r="E374" s="3224">
        <v>2230</v>
      </c>
      <c r="F374" s="3224">
        <v>580</v>
      </c>
      <c r="G374" s="3237">
        <v>1380</v>
      </c>
    </row>
    <row r="375" spans="1:7" s="3217" customFormat="1">
      <c r="A375" s="3224" t="s">
        <v>3156</v>
      </c>
      <c r="B375" s="3224" t="s">
        <v>3165</v>
      </c>
      <c r="C375" s="3224">
        <v>2090</v>
      </c>
      <c r="D375" s="3224">
        <v>2050</v>
      </c>
      <c r="E375" s="3224">
        <v>2020</v>
      </c>
      <c r="F375" s="3224">
        <v>520</v>
      </c>
      <c r="G375" s="3237">
        <v>1240</v>
      </c>
    </row>
    <row r="376" spans="1:7" s="3217" customFormat="1">
      <c r="A376" s="3224" t="s">
        <v>3156</v>
      </c>
      <c r="B376" s="3224" t="s">
        <v>277</v>
      </c>
      <c r="C376" s="3224">
        <v>2010</v>
      </c>
      <c r="D376" s="3224">
        <v>1980</v>
      </c>
      <c r="E376" s="3224">
        <v>1940</v>
      </c>
      <c r="F376" s="3224">
        <v>540</v>
      </c>
      <c r="G376" s="3237">
        <v>1190</v>
      </c>
    </row>
    <row r="377" spans="1:7" s="3217" customFormat="1" ht="12" thickBot="1">
      <c r="A377" s="3232" t="s">
        <v>3156</v>
      </c>
      <c r="B377" s="3235" t="s">
        <v>2918</v>
      </c>
      <c r="C377" s="3235">
        <v>1930</v>
      </c>
      <c r="D377" s="3235">
        <v>1890</v>
      </c>
      <c r="E377" s="3235">
        <v>1860</v>
      </c>
      <c r="F377" s="3235">
        <v>530</v>
      </c>
      <c r="G377" s="3240">
        <v>1150</v>
      </c>
    </row>
    <row r="378" spans="1:7" s="3217" customFormat="1">
      <c r="A378" s="3241" t="s">
        <v>3166</v>
      </c>
      <c r="B378" s="3220" t="s">
        <v>3167</v>
      </c>
      <c r="C378" s="3220">
        <v>1520</v>
      </c>
      <c r="D378" s="3220">
        <v>1490</v>
      </c>
      <c r="E378" s="3220">
        <v>1460</v>
      </c>
      <c r="F378" s="3220">
        <v>460</v>
      </c>
      <c r="G378" s="3236">
        <v>940</v>
      </c>
    </row>
    <row r="379" spans="1:7" s="3217" customFormat="1">
      <c r="A379" s="3242" t="s">
        <v>3166</v>
      </c>
      <c r="B379" s="3224" t="s">
        <v>3168</v>
      </c>
      <c r="C379" s="3224">
        <v>1500</v>
      </c>
      <c r="D379" s="3224">
        <v>1470</v>
      </c>
      <c r="E379" s="3224">
        <v>1430</v>
      </c>
      <c r="F379" s="3224">
        <v>460</v>
      </c>
      <c r="G379" s="3237">
        <v>920</v>
      </c>
    </row>
    <row r="380" spans="1:7" s="3217" customFormat="1">
      <c r="A380" s="3242" t="s">
        <v>3166</v>
      </c>
      <c r="B380" s="3224" t="s">
        <v>3169</v>
      </c>
      <c r="C380" s="3224">
        <v>1620</v>
      </c>
      <c r="D380" s="3224">
        <v>1590</v>
      </c>
      <c r="E380" s="3224">
        <v>1560</v>
      </c>
      <c r="F380" s="3224">
        <v>480</v>
      </c>
      <c r="G380" s="3237">
        <v>1000</v>
      </c>
    </row>
    <row r="381" spans="1:7" s="3217" customFormat="1">
      <c r="A381" s="3242" t="s">
        <v>3166</v>
      </c>
      <c r="B381" s="3224" t="s">
        <v>3170</v>
      </c>
      <c r="C381" s="3224">
        <v>1460</v>
      </c>
      <c r="D381" s="3224">
        <v>1430</v>
      </c>
      <c r="E381" s="3224">
        <v>1390</v>
      </c>
      <c r="F381" s="3224">
        <v>450</v>
      </c>
      <c r="G381" s="3237">
        <v>900</v>
      </c>
    </row>
    <row r="382" spans="1:7" s="3217" customFormat="1">
      <c r="A382" s="3242" t="s">
        <v>3166</v>
      </c>
      <c r="B382" s="3224" t="s">
        <v>3171</v>
      </c>
      <c r="C382" s="3224">
        <v>1310</v>
      </c>
      <c r="D382" s="3224">
        <v>1280</v>
      </c>
      <c r="E382" s="3224">
        <v>1250</v>
      </c>
      <c r="F382" s="3224">
        <v>440</v>
      </c>
      <c r="G382" s="3237">
        <v>800</v>
      </c>
    </row>
    <row r="383" spans="1:7" s="3217" customFormat="1">
      <c r="A383" s="3242" t="s">
        <v>3166</v>
      </c>
      <c r="B383" s="3224" t="s">
        <v>3172</v>
      </c>
      <c r="C383" s="3224">
        <v>1260</v>
      </c>
      <c r="D383" s="3224">
        <v>1230</v>
      </c>
      <c r="E383" s="3224">
        <v>1200</v>
      </c>
      <c r="F383" s="3224">
        <v>420</v>
      </c>
      <c r="G383" s="3237">
        <v>770</v>
      </c>
    </row>
    <row r="384" spans="1:7" s="3217" customFormat="1" ht="12" thickBot="1">
      <c r="A384" s="3243" t="s">
        <v>3166</v>
      </c>
      <c r="B384" s="3231" t="s">
        <v>3173</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795" t="s">
        <v>3174</v>
      </c>
      <c r="B1" s="3795"/>
    </row>
    <row r="2" spans="1:7" ht="14.25" thickBot="1">
      <c r="A2" s="3246"/>
      <c r="B2" s="3246"/>
    </row>
    <row r="3" spans="1:7" ht="14.25" thickBot="1">
      <c r="A3" s="3246"/>
      <c r="B3" s="3246"/>
      <c r="C3" s="3247" t="s">
        <v>2802</v>
      </c>
      <c r="D3" s="3247" t="s">
        <v>2860</v>
      </c>
      <c r="E3" s="3247" t="s">
        <v>2804</v>
      </c>
      <c r="F3" s="3247" t="s">
        <v>2861</v>
      </c>
      <c r="G3" s="3247" t="s">
        <v>2622</v>
      </c>
    </row>
    <row r="4" spans="1:7" ht="14.25" thickBot="1">
      <c r="A4" s="3248" t="s">
        <v>2859</v>
      </c>
      <c r="B4" s="3249" t="s">
        <v>2865</v>
      </c>
      <c r="C4" s="3247"/>
      <c r="D4" s="3247"/>
      <c r="E4" s="3247"/>
      <c r="F4" s="3247"/>
      <c r="G4" s="3247"/>
    </row>
    <row r="5" spans="1:7">
      <c r="A5" s="3250" t="s">
        <v>2833</v>
      </c>
      <c r="B5" s="3251" t="s">
        <v>2847</v>
      </c>
      <c r="C5" s="3252">
        <v>9.8000000000000004E-2</v>
      </c>
      <c r="D5" s="3252">
        <v>8.6999999999999994E-2</v>
      </c>
      <c r="E5" s="3252">
        <v>8.6999999999999994E-2</v>
      </c>
      <c r="F5" s="3252">
        <v>9.8000000000000004E-2</v>
      </c>
      <c r="G5" s="3253">
        <v>9.5000000000000001E-2</v>
      </c>
    </row>
    <row r="6" spans="1:7">
      <c r="A6" s="3254" t="s">
        <v>144</v>
      </c>
      <c r="B6" s="3255" t="s">
        <v>2862</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2848</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2898</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2916</v>
      </c>
      <c r="C29" s="3264"/>
      <c r="D29" s="3260">
        <v>5.1999999999999998E-2</v>
      </c>
      <c r="E29" s="3260">
        <v>7.0000000000000007E-2</v>
      </c>
      <c r="F29" s="3264"/>
      <c r="G29" s="3262">
        <v>7.0999999999999994E-2</v>
      </c>
    </row>
    <row r="30" spans="1:7">
      <c r="A30" s="3265" t="s">
        <v>296</v>
      </c>
      <c r="B30" s="3251" t="s">
        <v>2849</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2835</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2919</v>
      </c>
      <c r="C50" s="3256">
        <v>9.8000000000000004E-2</v>
      </c>
      <c r="D50" s="3256">
        <v>7.2999999999999995E-2</v>
      </c>
      <c r="E50" s="3256">
        <v>7.0999999999999994E-2</v>
      </c>
      <c r="F50" s="3267"/>
      <c r="G50" s="3257">
        <v>7.2999999999999995E-2</v>
      </c>
    </row>
    <row r="51" spans="1:7">
      <c r="A51" s="3266" t="s">
        <v>296</v>
      </c>
      <c r="B51" s="3255" t="s">
        <v>2921</v>
      </c>
      <c r="C51" s="3256">
        <v>9.9000000000000005E-2</v>
      </c>
      <c r="D51" s="3256">
        <v>8.5000000000000006E-2</v>
      </c>
      <c r="E51" s="3256">
        <v>6.3E-2</v>
      </c>
      <c r="F51" s="3267"/>
      <c r="G51" s="3257">
        <v>9.6000000000000002E-2</v>
      </c>
    </row>
    <row r="52" spans="1:7">
      <c r="A52" s="3266" t="s">
        <v>296</v>
      </c>
      <c r="B52" s="3255" t="s">
        <v>2925</v>
      </c>
      <c r="C52" s="3256">
        <v>7.3999999999999996E-2</v>
      </c>
      <c r="D52" s="3256">
        <v>9.6000000000000002E-2</v>
      </c>
      <c r="E52" s="3256">
        <v>0.05</v>
      </c>
      <c r="F52" s="3267"/>
      <c r="G52" s="3257">
        <v>9.8000000000000004E-2</v>
      </c>
    </row>
    <row r="53" spans="1:7">
      <c r="A53" s="3266" t="s">
        <v>296</v>
      </c>
      <c r="B53" s="3255" t="s">
        <v>2930</v>
      </c>
      <c r="C53" s="3256">
        <v>8.5999999999999993E-2</v>
      </c>
      <c r="D53" s="3267"/>
      <c r="E53" s="3256">
        <v>9.1999999999999998E-2</v>
      </c>
      <c r="F53" s="3267"/>
      <c r="G53" s="3268"/>
    </row>
    <row r="54" spans="1:7" ht="14.25" thickBot="1">
      <c r="A54" s="3269" t="s">
        <v>296</v>
      </c>
      <c r="B54" s="3259" t="s">
        <v>2933</v>
      </c>
      <c r="C54" s="3260">
        <v>9.6000000000000002E-2</v>
      </c>
      <c r="D54" s="3261"/>
      <c r="E54" s="3270"/>
      <c r="F54" s="3261"/>
      <c r="G54" s="3271"/>
    </row>
    <row r="55" spans="1:7">
      <c r="A55" s="3265" t="s">
        <v>110</v>
      </c>
      <c r="B55" s="3251" t="s">
        <v>2850</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2931</v>
      </c>
      <c r="C78" s="3256">
        <v>0.1</v>
      </c>
      <c r="D78" s="3256">
        <v>8.5000000000000006E-2</v>
      </c>
      <c r="E78" s="3256">
        <v>9.6000000000000002E-2</v>
      </c>
      <c r="F78" s="3267"/>
      <c r="G78" s="3257">
        <v>9.6000000000000002E-2</v>
      </c>
    </row>
    <row r="79" spans="1:7">
      <c r="A79" s="3266" t="s">
        <v>110</v>
      </c>
      <c r="B79" s="3255" t="s">
        <v>2934</v>
      </c>
      <c r="C79" s="3256">
        <v>0.05</v>
      </c>
      <c r="D79" s="3256">
        <v>9.6000000000000002E-2</v>
      </c>
      <c r="E79" s="3256">
        <v>9.5000000000000001E-2</v>
      </c>
      <c r="F79" s="3267"/>
      <c r="G79" s="3257">
        <v>9.8000000000000004E-2</v>
      </c>
    </row>
    <row r="80" spans="1:7">
      <c r="A80" s="3266" t="s">
        <v>110</v>
      </c>
      <c r="B80" s="3255" t="s">
        <v>2938</v>
      </c>
      <c r="C80" s="3256">
        <v>8.5999999999999993E-2</v>
      </c>
      <c r="D80" s="3272"/>
      <c r="E80" s="3256">
        <v>0.1</v>
      </c>
      <c r="F80" s="3267"/>
      <c r="G80" s="3268"/>
    </row>
    <row r="81" spans="1:7">
      <c r="A81" s="3266" t="s">
        <v>110</v>
      </c>
      <c r="B81" s="3255" t="s">
        <v>2943</v>
      </c>
      <c r="C81" s="3256">
        <v>9.6000000000000002E-2</v>
      </c>
      <c r="D81" s="3267"/>
      <c r="E81" s="3256">
        <v>9.8000000000000004E-2</v>
      </c>
      <c r="F81" s="3267"/>
      <c r="G81" s="3268"/>
    </row>
    <row r="82" spans="1:7">
      <c r="A82" s="3266" t="s">
        <v>110</v>
      </c>
      <c r="B82" s="3255" t="s">
        <v>2950</v>
      </c>
      <c r="C82" s="3272"/>
      <c r="D82" s="3267"/>
      <c r="E82" s="3256">
        <v>7.6999999999999999E-2</v>
      </c>
      <c r="F82" s="3267"/>
      <c r="G82" s="3268"/>
    </row>
    <row r="83" spans="1:7">
      <c r="A83" s="3266" t="s">
        <v>110</v>
      </c>
      <c r="B83" s="3255" t="s">
        <v>2956</v>
      </c>
      <c r="C83" s="3267"/>
      <c r="D83" s="3267"/>
      <c r="E83" s="3267"/>
      <c r="F83" s="3256">
        <v>0.1</v>
      </c>
      <c r="G83" s="3273"/>
    </row>
    <row r="84" spans="1:7">
      <c r="A84" s="3266" t="s">
        <v>110</v>
      </c>
      <c r="B84" s="3255" t="s">
        <v>2963</v>
      </c>
      <c r="C84" s="3267"/>
      <c r="D84" s="3267"/>
      <c r="E84" s="3267"/>
      <c r="F84" s="3256">
        <v>0.1</v>
      </c>
      <c r="G84" s="3273"/>
    </row>
    <row r="85" spans="1:7">
      <c r="A85" s="3266" t="s">
        <v>110</v>
      </c>
      <c r="B85" s="3255" t="s">
        <v>2970</v>
      </c>
      <c r="C85" s="3267"/>
      <c r="D85" s="3267"/>
      <c r="E85" s="3267"/>
      <c r="F85" s="3256">
        <v>0.1</v>
      </c>
      <c r="G85" s="3273"/>
    </row>
    <row r="86" spans="1:7" ht="14.25" thickBot="1">
      <c r="A86" s="3269" t="s">
        <v>110</v>
      </c>
      <c r="B86" s="3259" t="s">
        <v>2975</v>
      </c>
      <c r="C86" s="3260">
        <v>9.8000000000000004E-2</v>
      </c>
      <c r="D86" s="3260">
        <v>9.8000000000000004E-2</v>
      </c>
      <c r="E86" s="3260">
        <v>9.6000000000000002E-2</v>
      </c>
      <c r="F86" s="3270"/>
      <c r="G86" s="3262">
        <v>0.1</v>
      </c>
    </row>
    <row r="87" spans="1:7">
      <c r="A87" s="3265" t="s">
        <v>303</v>
      </c>
      <c r="B87" s="3251" t="s">
        <v>2851</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2944</v>
      </c>
      <c r="C113" s="3256">
        <v>0.1</v>
      </c>
      <c r="D113" s="3256">
        <v>0.1</v>
      </c>
      <c r="E113" s="3267"/>
      <c r="F113" s="3267"/>
      <c r="G113" s="3257">
        <v>0.1</v>
      </c>
    </row>
    <row r="114" spans="1:7">
      <c r="A114" s="3266" t="s">
        <v>303</v>
      </c>
      <c r="B114" s="3255" t="s">
        <v>2951</v>
      </c>
      <c r="C114" s="3256">
        <v>9.7000000000000003E-2</v>
      </c>
      <c r="D114" s="3256">
        <v>9.7000000000000003E-2</v>
      </c>
      <c r="E114" s="3267"/>
      <c r="F114" s="3267"/>
      <c r="G114" s="3257">
        <v>9.9000000000000005E-2</v>
      </c>
    </row>
    <row r="115" spans="1:7">
      <c r="A115" s="3266" t="s">
        <v>303</v>
      </c>
      <c r="B115" s="3255" t="s">
        <v>2957</v>
      </c>
      <c r="C115" s="3256">
        <v>0.1</v>
      </c>
      <c r="D115" s="3256">
        <v>0.1</v>
      </c>
      <c r="E115" s="3267"/>
      <c r="F115" s="3267"/>
      <c r="G115" s="3257">
        <v>0.1</v>
      </c>
    </row>
    <row r="116" spans="1:7">
      <c r="A116" s="3266" t="s">
        <v>303</v>
      </c>
      <c r="B116" s="3255" t="s">
        <v>2964</v>
      </c>
      <c r="C116" s="3256">
        <v>0.1</v>
      </c>
      <c r="D116" s="3256">
        <v>0.1</v>
      </c>
      <c r="E116" s="3267"/>
      <c r="F116" s="3267"/>
      <c r="G116" s="3257">
        <v>0.1</v>
      </c>
    </row>
    <row r="117" spans="1:7">
      <c r="A117" s="3266" t="s">
        <v>303</v>
      </c>
      <c r="B117" s="3255" t="s">
        <v>2971</v>
      </c>
      <c r="C117" s="3256">
        <v>9.7000000000000003E-2</v>
      </c>
      <c r="D117" s="3256">
        <v>9.7000000000000003E-2</v>
      </c>
      <c r="E117" s="3267"/>
      <c r="F117" s="3267"/>
      <c r="G117" s="3257">
        <v>9.7000000000000003E-2</v>
      </c>
    </row>
    <row r="118" spans="1:7">
      <c r="A118" s="3266" t="s">
        <v>303</v>
      </c>
      <c r="B118" s="3255" t="s">
        <v>2976</v>
      </c>
      <c r="C118" s="3256">
        <v>0.1</v>
      </c>
      <c r="D118" s="3256">
        <v>0.1</v>
      </c>
      <c r="E118" s="3267"/>
      <c r="F118" s="3267"/>
      <c r="G118" s="3257">
        <v>0.1</v>
      </c>
    </row>
    <row r="119" spans="1:7">
      <c r="A119" s="3266" t="s">
        <v>303</v>
      </c>
      <c r="B119" s="3255" t="s">
        <v>2980</v>
      </c>
      <c r="C119" s="3256">
        <v>5.0999999999999997E-2</v>
      </c>
      <c r="D119" s="3256">
        <v>5.1999999999999998E-2</v>
      </c>
      <c r="E119" s="3267"/>
      <c r="F119" s="3272"/>
      <c r="G119" s="3257">
        <v>0.06</v>
      </c>
    </row>
    <row r="120" spans="1:7">
      <c r="A120" s="3266" t="s">
        <v>303</v>
      </c>
      <c r="B120" s="3255" t="s">
        <v>2984</v>
      </c>
      <c r="C120" s="3267"/>
      <c r="D120" s="3267"/>
      <c r="E120" s="3267"/>
      <c r="F120" s="3256">
        <v>0.1</v>
      </c>
      <c r="G120" s="3273"/>
    </row>
    <row r="121" spans="1:7">
      <c r="A121" s="3266" t="s">
        <v>303</v>
      </c>
      <c r="B121" s="3255" t="s">
        <v>2989</v>
      </c>
      <c r="C121" s="3267"/>
      <c r="D121" s="3267"/>
      <c r="E121" s="3267"/>
      <c r="F121" s="3256">
        <v>0.1</v>
      </c>
      <c r="G121" s="3273"/>
    </row>
    <row r="122" spans="1:7">
      <c r="A122" s="3266" t="s">
        <v>303</v>
      </c>
      <c r="B122" s="3255" t="s">
        <v>2994</v>
      </c>
      <c r="C122" s="3256">
        <v>0.1</v>
      </c>
      <c r="D122" s="3256">
        <v>0.1</v>
      </c>
      <c r="E122" s="3256">
        <v>9.8000000000000004E-2</v>
      </c>
      <c r="F122" s="3256">
        <v>0.1</v>
      </c>
      <c r="G122" s="3257">
        <v>0.1</v>
      </c>
    </row>
    <row r="123" spans="1:7">
      <c r="A123" s="3266" t="s">
        <v>303</v>
      </c>
      <c r="B123" s="3255" t="s">
        <v>2999</v>
      </c>
      <c r="C123" s="3256">
        <v>0.1</v>
      </c>
      <c r="D123" s="3256">
        <v>0.1</v>
      </c>
      <c r="E123" s="3256">
        <v>9.8000000000000004E-2</v>
      </c>
      <c r="F123" s="3256">
        <v>0.1</v>
      </c>
      <c r="G123" s="3257">
        <v>0.1</v>
      </c>
    </row>
    <row r="124" spans="1:7">
      <c r="A124" s="3266" t="s">
        <v>303</v>
      </c>
      <c r="B124" s="3255" t="s">
        <v>3004</v>
      </c>
      <c r="C124" s="3256">
        <v>0.1</v>
      </c>
      <c r="D124" s="3256">
        <v>0.1</v>
      </c>
      <c r="E124" s="3256">
        <v>9.8000000000000004E-2</v>
      </c>
      <c r="F124" s="3272"/>
      <c r="G124" s="3257">
        <v>0.1</v>
      </c>
    </row>
    <row r="125" spans="1:7">
      <c r="A125" s="3266" t="s">
        <v>303</v>
      </c>
      <c r="B125" s="3255" t="s">
        <v>3009</v>
      </c>
      <c r="C125" s="3256">
        <v>9.8000000000000004E-2</v>
      </c>
      <c r="D125" s="3256">
        <v>9.8000000000000004E-2</v>
      </c>
      <c r="E125" s="3256">
        <v>9.6000000000000002E-2</v>
      </c>
      <c r="F125" s="3272"/>
      <c r="G125" s="3257">
        <v>0.1</v>
      </c>
    </row>
    <row r="126" spans="1:7" ht="14.25" thickBot="1">
      <c r="A126" s="3269" t="s">
        <v>303</v>
      </c>
      <c r="B126" s="3259" t="s">
        <v>3175</v>
      </c>
      <c r="C126" s="3260">
        <v>0.1</v>
      </c>
      <c r="D126" s="3260">
        <v>0.1</v>
      </c>
      <c r="E126" s="3260">
        <v>9.8000000000000004E-2</v>
      </c>
      <c r="F126" s="3260">
        <v>0.1</v>
      </c>
      <c r="G126" s="3262">
        <v>0.1</v>
      </c>
    </row>
    <row r="127" spans="1:7">
      <c r="A127" s="3265" t="s">
        <v>29</v>
      </c>
      <c r="B127" s="3251" t="s">
        <v>2852</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2922</v>
      </c>
      <c r="C148" s="3256">
        <v>0.13</v>
      </c>
      <c r="D148" s="3256">
        <v>0.13</v>
      </c>
      <c r="E148" s="3256">
        <v>0.13</v>
      </c>
      <c r="F148" s="3267"/>
      <c r="G148" s="3257">
        <v>0.13</v>
      </c>
    </row>
    <row r="149" spans="1:7">
      <c r="A149" s="3266" t="s">
        <v>29</v>
      </c>
      <c r="B149" s="3255" t="s">
        <v>2926</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2945</v>
      </c>
      <c r="C153" s="3256">
        <v>0.13</v>
      </c>
      <c r="D153" s="3256">
        <v>0.13</v>
      </c>
      <c r="E153" s="3256">
        <v>0.13</v>
      </c>
      <c r="F153" s="3256">
        <v>0.13</v>
      </c>
      <c r="G153" s="3257">
        <v>0.13</v>
      </c>
    </row>
    <row r="154" spans="1:7">
      <c r="A154" s="3266" t="s">
        <v>29</v>
      </c>
      <c r="B154" s="3255" t="s">
        <v>2952</v>
      </c>
      <c r="C154" s="3256">
        <v>0.121</v>
      </c>
      <c r="D154" s="3256">
        <v>0.121</v>
      </c>
      <c r="E154" s="3256">
        <v>0.105</v>
      </c>
      <c r="F154" s="3256">
        <v>0.121</v>
      </c>
      <c r="G154" s="3257">
        <v>0.123</v>
      </c>
    </row>
    <row r="155" spans="1:7">
      <c r="A155" s="3266" t="s">
        <v>29</v>
      </c>
      <c r="B155" s="3255" t="s">
        <v>2958</v>
      </c>
      <c r="C155" s="3256">
        <v>0.1</v>
      </c>
      <c r="D155" s="3256">
        <v>0.1</v>
      </c>
      <c r="E155" s="3256">
        <v>0.1</v>
      </c>
      <c r="F155" s="3256">
        <v>0.1</v>
      </c>
      <c r="G155" s="3257">
        <v>0.1</v>
      </c>
    </row>
    <row r="156" spans="1:7">
      <c r="A156" s="3266" t="s">
        <v>29</v>
      </c>
      <c r="B156" s="3255" t="s">
        <v>2965</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2985</v>
      </c>
      <c r="C160" s="3256">
        <v>0.13</v>
      </c>
      <c r="D160" s="3256">
        <v>0.13</v>
      </c>
      <c r="E160" s="3256">
        <v>0.124</v>
      </c>
      <c r="F160" s="3256">
        <v>0.126</v>
      </c>
      <c r="G160" s="3257">
        <v>0.13</v>
      </c>
    </row>
    <row r="161" spans="1:7">
      <c r="A161" s="3266" t="s">
        <v>29</v>
      </c>
      <c r="B161" s="3255" t="s">
        <v>2990</v>
      </c>
      <c r="C161" s="3256">
        <v>0.13</v>
      </c>
      <c r="D161" s="3256">
        <v>0.13</v>
      </c>
      <c r="E161" s="3256">
        <v>0.124</v>
      </c>
      <c r="F161" s="3256">
        <v>0.127</v>
      </c>
      <c r="G161" s="3257">
        <v>0.13</v>
      </c>
    </row>
    <row r="162" spans="1:7">
      <c r="A162" s="3266" t="s">
        <v>29</v>
      </c>
      <c r="B162" s="3255" t="s">
        <v>2995</v>
      </c>
      <c r="C162" s="3256">
        <v>0.1</v>
      </c>
      <c r="D162" s="3256">
        <v>0.1</v>
      </c>
      <c r="E162" s="3256">
        <v>0.1</v>
      </c>
      <c r="F162" s="3256">
        <v>0.121</v>
      </c>
      <c r="G162" s="3257">
        <v>0.105</v>
      </c>
    </row>
    <row r="163" spans="1:7">
      <c r="A163" s="3266" t="s">
        <v>29</v>
      </c>
      <c r="B163" s="3255" t="s">
        <v>3000</v>
      </c>
      <c r="C163" s="3256">
        <v>0.1</v>
      </c>
      <c r="D163" s="3256">
        <v>0.1</v>
      </c>
      <c r="E163" s="3256">
        <v>0.1</v>
      </c>
      <c r="F163" s="3256">
        <v>0.1</v>
      </c>
      <c r="G163" s="3257">
        <v>0.1</v>
      </c>
    </row>
    <row r="164" spans="1:7">
      <c r="A164" s="3266" t="s">
        <v>29</v>
      </c>
      <c r="B164" s="3255" t="s">
        <v>3005</v>
      </c>
      <c r="C164" s="3272"/>
      <c r="D164" s="3272"/>
      <c r="E164" s="3272"/>
      <c r="F164" s="3256">
        <v>0.1</v>
      </c>
      <c r="G164" s="3268"/>
    </row>
    <row r="165" spans="1:7">
      <c r="A165" s="3266" t="s">
        <v>29</v>
      </c>
      <c r="B165" s="3255" t="s">
        <v>3176</v>
      </c>
      <c r="C165" s="3256">
        <v>0.126</v>
      </c>
      <c r="D165" s="3256">
        <v>0.126</v>
      </c>
      <c r="E165" s="3256">
        <v>0.11899999999999999</v>
      </c>
      <c r="F165" s="3256">
        <v>0.13</v>
      </c>
      <c r="G165" s="3257">
        <v>0.128</v>
      </c>
    </row>
    <row r="166" spans="1:7">
      <c r="A166" s="3266" t="s">
        <v>29</v>
      </c>
      <c r="B166" s="3255" t="s">
        <v>3015</v>
      </c>
      <c r="C166" s="3256">
        <v>0.129</v>
      </c>
      <c r="D166" s="3256">
        <v>0.129</v>
      </c>
      <c r="E166" s="3256">
        <v>0.123</v>
      </c>
      <c r="F166" s="3256">
        <v>0.128</v>
      </c>
      <c r="G166" s="3257">
        <v>0.13</v>
      </c>
    </row>
    <row r="167" spans="1:7">
      <c r="A167" s="3266" t="s">
        <v>29</v>
      </c>
      <c r="B167" s="3255" t="s">
        <v>3019</v>
      </c>
      <c r="C167" s="3256">
        <v>0.125</v>
      </c>
      <c r="D167" s="3256">
        <v>0.125</v>
      </c>
      <c r="E167" s="3256">
        <v>0.11700000000000001</v>
      </c>
      <c r="F167" s="3256">
        <v>0.13</v>
      </c>
      <c r="G167" s="3257">
        <v>0.126</v>
      </c>
    </row>
    <row r="168" spans="1:7">
      <c r="A168" s="3266" t="s">
        <v>29</v>
      </c>
      <c r="B168" s="3255" t="s">
        <v>3024</v>
      </c>
      <c r="C168" s="3256">
        <v>0.128</v>
      </c>
      <c r="D168" s="3256">
        <v>0.128</v>
      </c>
      <c r="E168" s="3256">
        <v>0.123</v>
      </c>
      <c r="F168" s="3267"/>
      <c r="G168" s="3257">
        <v>0.13</v>
      </c>
    </row>
    <row r="169" spans="1:7">
      <c r="A169" s="3266" t="s">
        <v>29</v>
      </c>
      <c r="B169" s="3255" t="s">
        <v>3177</v>
      </c>
      <c r="C169" s="3272"/>
      <c r="D169" s="3272"/>
      <c r="E169" s="3272"/>
      <c r="F169" s="3256">
        <v>0.05</v>
      </c>
      <c r="G169" s="3268"/>
    </row>
    <row r="170" spans="1:7">
      <c r="A170" s="3266" t="s">
        <v>29</v>
      </c>
      <c r="B170" s="3255" t="s">
        <v>3178</v>
      </c>
      <c r="C170" s="3272"/>
      <c r="D170" s="3272"/>
      <c r="E170" s="3272"/>
      <c r="F170" s="3256">
        <v>0.05</v>
      </c>
      <c r="G170" s="3268"/>
    </row>
    <row r="171" spans="1:7">
      <c r="A171" s="3266" t="s">
        <v>29</v>
      </c>
      <c r="B171" s="3255" t="s">
        <v>3179</v>
      </c>
      <c r="C171" s="3272"/>
      <c r="D171" s="3272"/>
      <c r="E171" s="3272"/>
      <c r="F171" s="3256">
        <v>0.05</v>
      </c>
      <c r="G171" s="3273"/>
    </row>
    <row r="172" spans="1:7">
      <c r="A172" s="3266" t="s">
        <v>29</v>
      </c>
      <c r="B172" s="3255" t="s">
        <v>3180</v>
      </c>
      <c r="C172" s="3272"/>
      <c r="D172" s="3272"/>
      <c r="E172" s="3272"/>
      <c r="F172" s="3256">
        <v>0.05</v>
      </c>
      <c r="G172" s="3273"/>
    </row>
    <row r="173" spans="1:7">
      <c r="A173" s="3266" t="s">
        <v>29</v>
      </c>
      <c r="B173" s="3255" t="s">
        <v>3181</v>
      </c>
      <c r="C173" s="3272"/>
      <c r="D173" s="3272"/>
      <c r="E173" s="3272"/>
      <c r="F173" s="3256">
        <v>0.05</v>
      </c>
      <c r="G173" s="3268"/>
    </row>
    <row r="174" spans="1:7">
      <c r="A174" s="3266" t="s">
        <v>29</v>
      </c>
      <c r="B174" s="3255" t="s">
        <v>3182</v>
      </c>
      <c r="C174" s="3272"/>
      <c r="D174" s="3272"/>
      <c r="E174" s="3272"/>
      <c r="F174" s="3256">
        <v>0.05</v>
      </c>
      <c r="G174" s="3268"/>
    </row>
    <row r="175" spans="1:7">
      <c r="A175" s="3266" t="s">
        <v>29</v>
      </c>
      <c r="B175" s="3255" t="s">
        <v>3183</v>
      </c>
      <c r="C175" s="3272"/>
      <c r="D175" s="3272"/>
      <c r="E175" s="3272"/>
      <c r="F175" s="3256">
        <v>0.05</v>
      </c>
      <c r="G175" s="3268"/>
    </row>
    <row r="176" spans="1:7">
      <c r="A176" s="3266" t="s">
        <v>29</v>
      </c>
      <c r="B176" s="3255" t="s">
        <v>3184</v>
      </c>
      <c r="C176" s="3272"/>
      <c r="D176" s="3272"/>
      <c r="E176" s="3272"/>
      <c r="F176" s="3256">
        <v>0.05</v>
      </c>
      <c r="G176" s="3268"/>
    </row>
    <row r="177" spans="1:7">
      <c r="A177" s="3266" t="s">
        <v>29</v>
      </c>
      <c r="B177" s="3255" t="s">
        <v>3185</v>
      </c>
      <c r="C177" s="3267"/>
      <c r="D177" s="3267"/>
      <c r="E177" s="3267"/>
      <c r="F177" s="3256">
        <v>0.05</v>
      </c>
      <c r="G177" s="3273"/>
    </row>
    <row r="178" spans="1:7">
      <c r="A178" s="3266" t="s">
        <v>29</v>
      </c>
      <c r="B178" s="3255" t="s">
        <v>3186</v>
      </c>
      <c r="C178" s="3267"/>
      <c r="D178" s="3267"/>
      <c r="E178" s="3267"/>
      <c r="F178" s="3256">
        <v>0.05</v>
      </c>
      <c r="G178" s="3273"/>
    </row>
    <row r="179" spans="1:7">
      <c r="A179" s="3266" t="s">
        <v>29</v>
      </c>
      <c r="B179" s="3255" t="s">
        <v>3187</v>
      </c>
      <c r="C179" s="3267"/>
      <c r="D179" s="3267"/>
      <c r="E179" s="3267"/>
      <c r="F179" s="3256">
        <v>0.05</v>
      </c>
      <c r="G179" s="3273"/>
    </row>
    <row r="180" spans="1:7">
      <c r="A180" s="3266" t="s">
        <v>29</v>
      </c>
      <c r="B180" s="3255" t="s">
        <v>3188</v>
      </c>
      <c r="C180" s="3267"/>
      <c r="D180" s="3267"/>
      <c r="E180" s="3267"/>
      <c r="F180" s="3256">
        <v>0.05</v>
      </c>
      <c r="G180" s="3273"/>
    </row>
    <row r="181" spans="1:7">
      <c r="A181" s="3266" t="s">
        <v>29</v>
      </c>
      <c r="B181" s="3255" t="s">
        <v>3189</v>
      </c>
      <c r="C181" s="3267"/>
      <c r="D181" s="3267"/>
      <c r="E181" s="3267"/>
      <c r="F181" s="3256">
        <v>0.05</v>
      </c>
      <c r="G181" s="3273"/>
    </row>
    <row r="182" spans="1:7">
      <c r="A182" s="3266" t="s">
        <v>29</v>
      </c>
      <c r="B182" s="3255" t="s">
        <v>3190</v>
      </c>
      <c r="C182" s="3267"/>
      <c r="D182" s="3267"/>
      <c r="E182" s="3267"/>
      <c r="F182" s="3256">
        <v>0.05</v>
      </c>
      <c r="G182" s="3273"/>
    </row>
    <row r="183" spans="1:7">
      <c r="A183" s="3266" t="s">
        <v>29</v>
      </c>
      <c r="B183" s="3255" t="s">
        <v>3191</v>
      </c>
      <c r="C183" s="3267"/>
      <c r="D183" s="3267"/>
      <c r="E183" s="3267"/>
      <c r="F183" s="3256">
        <v>0.05</v>
      </c>
      <c r="G183" s="3273"/>
    </row>
    <row r="184" spans="1:7">
      <c r="A184" s="3266" t="s">
        <v>29</v>
      </c>
      <c r="B184" s="3255" t="s">
        <v>3192</v>
      </c>
      <c r="C184" s="3267"/>
      <c r="D184" s="3267"/>
      <c r="E184" s="3267"/>
      <c r="F184" s="3256">
        <v>0.05</v>
      </c>
      <c r="G184" s="3273"/>
    </row>
    <row r="185" spans="1:7">
      <c r="A185" s="3266" t="s">
        <v>29</v>
      </c>
      <c r="B185" s="3255" t="s">
        <v>3193</v>
      </c>
      <c r="C185" s="3267"/>
      <c r="D185" s="3267"/>
      <c r="E185" s="3267"/>
      <c r="F185" s="3256">
        <v>0.05</v>
      </c>
      <c r="G185" s="3273"/>
    </row>
    <row r="186" spans="1:7">
      <c r="A186" s="3266" t="s">
        <v>29</v>
      </c>
      <c r="B186" s="3255" t="s">
        <v>3194</v>
      </c>
      <c r="C186" s="3267"/>
      <c r="D186" s="3267"/>
      <c r="E186" s="3267"/>
      <c r="F186" s="3256">
        <v>0.05</v>
      </c>
      <c r="G186" s="3273"/>
    </row>
    <row r="187" spans="1:7">
      <c r="A187" s="3266" t="s">
        <v>29</v>
      </c>
      <c r="B187" s="3255" t="s">
        <v>3195</v>
      </c>
      <c r="C187" s="3267"/>
      <c r="D187" s="3267"/>
      <c r="E187" s="3267"/>
      <c r="F187" s="3256">
        <v>0.05</v>
      </c>
      <c r="G187" s="3273"/>
    </row>
    <row r="188" spans="1:7">
      <c r="A188" s="3266" t="s">
        <v>29</v>
      </c>
      <c r="B188" s="3255" t="s">
        <v>3196</v>
      </c>
      <c r="C188" s="3267"/>
      <c r="D188" s="3267"/>
      <c r="E188" s="3267"/>
      <c r="F188" s="3256">
        <v>0.05</v>
      </c>
      <c r="G188" s="3273"/>
    </row>
    <row r="189" spans="1:7" ht="14.25" thickBot="1">
      <c r="A189" s="3269" t="s">
        <v>29</v>
      </c>
      <c r="B189" s="3259" t="s">
        <v>3197</v>
      </c>
      <c r="C189" s="3261"/>
      <c r="D189" s="3261"/>
      <c r="E189" s="3261"/>
      <c r="F189" s="3260">
        <v>0.05</v>
      </c>
      <c r="G189" s="3274"/>
    </row>
    <row r="190" spans="1:7">
      <c r="A190" s="3265" t="s">
        <v>304</v>
      </c>
      <c r="B190" s="3251" t="s">
        <v>2853</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2889</v>
      </c>
      <c r="C199" s="3256">
        <v>0.13</v>
      </c>
      <c r="D199" s="3256">
        <v>0.13</v>
      </c>
      <c r="E199" s="3256">
        <v>0.13</v>
      </c>
      <c r="F199" s="3256">
        <v>0.13</v>
      </c>
      <c r="G199" s="3257">
        <v>0.13</v>
      </c>
    </row>
    <row r="200" spans="1:7">
      <c r="A200" s="3266" t="s">
        <v>304</v>
      </c>
      <c r="B200" s="3255" t="s">
        <v>2892</v>
      </c>
      <c r="C200" s="3272"/>
      <c r="D200" s="3272"/>
      <c r="E200" s="3272"/>
      <c r="F200" s="3256">
        <v>0.13</v>
      </c>
      <c r="G200" s="3268"/>
    </row>
    <row r="201" spans="1:7">
      <c r="A201" s="3266" t="s">
        <v>304</v>
      </c>
      <c r="B201" s="3255" t="s">
        <v>2897</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2900</v>
      </c>
      <c r="C203" s="3256">
        <v>0.129</v>
      </c>
      <c r="D203" s="3256">
        <v>0.129</v>
      </c>
      <c r="E203" s="3256">
        <v>0.13</v>
      </c>
      <c r="F203" s="3256">
        <v>0.13</v>
      </c>
      <c r="G203" s="3257">
        <v>0.13</v>
      </c>
    </row>
    <row r="204" spans="1:7">
      <c r="A204" s="3266" t="s">
        <v>304</v>
      </c>
      <c r="B204" s="3255" t="s">
        <v>2903</v>
      </c>
      <c r="C204" s="3256">
        <v>0.129</v>
      </c>
      <c r="D204" s="3256">
        <v>0.129</v>
      </c>
      <c r="E204" s="3256">
        <v>0.123</v>
      </c>
      <c r="F204" s="3256">
        <v>0.13</v>
      </c>
      <c r="G204" s="3257">
        <v>0.13</v>
      </c>
    </row>
    <row r="205" spans="1:7">
      <c r="A205" s="3266" t="s">
        <v>304</v>
      </c>
      <c r="B205" s="3255" t="s">
        <v>2905</v>
      </c>
      <c r="C205" s="3256">
        <v>0.13</v>
      </c>
      <c r="D205" s="3256">
        <v>0.13</v>
      </c>
      <c r="E205" s="3256">
        <v>0.13</v>
      </c>
      <c r="F205" s="3256">
        <v>0.13</v>
      </c>
      <c r="G205" s="3257">
        <v>0.13</v>
      </c>
    </row>
    <row r="206" spans="1:7">
      <c r="A206" s="3266" t="s">
        <v>304</v>
      </c>
      <c r="B206" s="3255" t="s">
        <v>2908</v>
      </c>
      <c r="C206" s="3256">
        <v>0.13</v>
      </c>
      <c r="D206" s="3256">
        <v>0.13</v>
      </c>
      <c r="E206" s="3256">
        <v>0.13</v>
      </c>
      <c r="F206" s="3256">
        <v>0.128</v>
      </c>
      <c r="G206" s="3257">
        <v>0.13</v>
      </c>
    </row>
    <row r="207" spans="1:7">
      <c r="A207" s="3266" t="s">
        <v>304</v>
      </c>
      <c r="B207" s="3255" t="s">
        <v>2910</v>
      </c>
      <c r="C207" s="3256">
        <v>0.13</v>
      </c>
      <c r="D207" s="3256">
        <v>0.13</v>
      </c>
      <c r="E207" s="3256">
        <v>0.13</v>
      </c>
      <c r="F207" s="3256">
        <v>0.13</v>
      </c>
      <c r="G207" s="3257">
        <v>0.13</v>
      </c>
    </row>
    <row r="208" spans="1:7">
      <c r="A208" s="3266" t="s">
        <v>304</v>
      </c>
      <c r="B208" s="3255" t="s">
        <v>2913</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2920</v>
      </c>
      <c r="C210" s="3256">
        <v>0.121</v>
      </c>
      <c r="D210" s="3256">
        <v>0.121</v>
      </c>
      <c r="E210" s="3256">
        <v>0.125</v>
      </c>
      <c r="F210" s="3256">
        <v>0.13</v>
      </c>
      <c r="G210" s="3257">
        <v>0.123</v>
      </c>
    </row>
    <row r="211" spans="1:7">
      <c r="A211" s="3266" t="s">
        <v>304</v>
      </c>
      <c r="B211" s="3255" t="s">
        <v>2923</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2935</v>
      </c>
      <c r="C214" s="3256">
        <v>0.128</v>
      </c>
      <c r="D214" s="3256">
        <v>0.128</v>
      </c>
      <c r="E214" s="3256">
        <v>0.13</v>
      </c>
      <c r="F214" s="3256">
        <v>0.13</v>
      </c>
      <c r="G214" s="3257">
        <v>0.13</v>
      </c>
    </row>
    <row r="215" spans="1:7">
      <c r="A215" s="3266" t="s">
        <v>304</v>
      </c>
      <c r="B215" s="3255" t="s">
        <v>2939</v>
      </c>
      <c r="C215" s="3256">
        <v>0.13</v>
      </c>
      <c r="D215" s="3256">
        <v>0.13</v>
      </c>
      <c r="E215" s="3256">
        <v>0.13</v>
      </c>
      <c r="F215" s="3256">
        <v>0.129</v>
      </c>
      <c r="G215" s="3257">
        <v>0.13</v>
      </c>
    </row>
    <row r="216" spans="1:7">
      <c r="A216" s="3266" t="s">
        <v>304</v>
      </c>
      <c r="B216" s="3255" t="s">
        <v>2946</v>
      </c>
      <c r="C216" s="3256">
        <v>0.13</v>
      </c>
      <c r="D216" s="3256">
        <v>0.13</v>
      </c>
      <c r="E216" s="3256">
        <v>0.13</v>
      </c>
      <c r="F216" s="3256">
        <v>0.13</v>
      </c>
      <c r="G216" s="3257">
        <v>0.13</v>
      </c>
    </row>
    <row r="217" spans="1:7">
      <c r="A217" s="3266" t="s">
        <v>304</v>
      </c>
      <c r="B217" s="3255" t="s">
        <v>2953</v>
      </c>
      <c r="C217" s="3256">
        <v>0.129</v>
      </c>
      <c r="D217" s="3256">
        <v>0.129</v>
      </c>
      <c r="E217" s="3256">
        <v>0.13</v>
      </c>
      <c r="F217" s="3256">
        <v>0.13</v>
      </c>
      <c r="G217" s="3257">
        <v>0.13</v>
      </c>
    </row>
    <row r="218" spans="1:7">
      <c r="A218" s="3266" t="s">
        <v>304</v>
      </c>
      <c r="B218" s="3255" t="s">
        <v>2959</v>
      </c>
      <c r="C218" s="3267"/>
      <c r="D218" s="3267"/>
      <c r="E218" s="3267"/>
      <c r="F218" s="3256">
        <v>0.05</v>
      </c>
      <c r="G218" s="3273"/>
    </row>
    <row r="219" spans="1:7">
      <c r="A219" s="3266" t="s">
        <v>304</v>
      </c>
      <c r="B219" s="3255" t="s">
        <v>2966</v>
      </c>
      <c r="C219" s="3267"/>
      <c r="D219" s="3267"/>
      <c r="E219" s="3267"/>
      <c r="F219" s="3256">
        <v>0.05</v>
      </c>
      <c r="G219" s="3273"/>
    </row>
    <row r="220" spans="1:7">
      <c r="A220" s="3266" t="s">
        <v>304</v>
      </c>
      <c r="B220" s="3255" t="s">
        <v>2972</v>
      </c>
      <c r="C220" s="3267"/>
      <c r="D220" s="3267"/>
      <c r="E220" s="3267"/>
      <c r="F220" s="3256">
        <v>0.05</v>
      </c>
      <c r="G220" s="3273"/>
    </row>
    <row r="221" spans="1:7">
      <c r="A221" s="3266" t="s">
        <v>304</v>
      </c>
      <c r="B221" s="3255" t="s">
        <v>2977</v>
      </c>
      <c r="C221" s="3267"/>
      <c r="D221" s="3267"/>
      <c r="E221" s="3267"/>
      <c r="F221" s="3256">
        <v>0.05</v>
      </c>
      <c r="G221" s="3273"/>
    </row>
    <row r="222" spans="1:7">
      <c r="A222" s="3266" t="s">
        <v>304</v>
      </c>
      <c r="B222" s="3255" t="s">
        <v>2981</v>
      </c>
      <c r="C222" s="3267"/>
      <c r="D222" s="3267"/>
      <c r="E222" s="3267"/>
      <c r="F222" s="3256">
        <v>0.05</v>
      </c>
      <c r="G222" s="3273"/>
    </row>
    <row r="223" spans="1:7">
      <c r="A223" s="3266" t="s">
        <v>304</v>
      </c>
      <c r="B223" s="3255" t="s">
        <v>2986</v>
      </c>
      <c r="C223" s="3267"/>
      <c r="D223" s="3267"/>
      <c r="E223" s="3267"/>
      <c r="F223" s="3256">
        <v>0.05</v>
      </c>
      <c r="G223" s="3273"/>
    </row>
    <row r="224" spans="1:7">
      <c r="A224" s="3266" t="s">
        <v>304</v>
      </c>
      <c r="B224" s="3255" t="s">
        <v>2991</v>
      </c>
      <c r="C224" s="3267"/>
      <c r="D224" s="3267"/>
      <c r="E224" s="3267"/>
      <c r="F224" s="3256">
        <v>0.05</v>
      </c>
      <c r="G224" s="3273"/>
    </row>
    <row r="225" spans="1:7">
      <c r="A225" s="3266" t="s">
        <v>304</v>
      </c>
      <c r="B225" s="3255" t="s">
        <v>2996</v>
      </c>
      <c r="C225" s="3267"/>
      <c r="D225" s="3267"/>
      <c r="E225" s="3267"/>
      <c r="F225" s="3256">
        <v>0.05</v>
      </c>
      <c r="G225" s="3273"/>
    </row>
    <row r="226" spans="1:7">
      <c r="A226" s="3266" t="s">
        <v>304</v>
      </c>
      <c r="B226" s="3255" t="s">
        <v>3198</v>
      </c>
      <c r="C226" s="3267"/>
      <c r="D226" s="3267"/>
      <c r="E226" s="3267"/>
      <c r="F226" s="3256">
        <v>0.05</v>
      </c>
      <c r="G226" s="3273"/>
    </row>
    <row r="227" spans="1:7">
      <c r="A227" s="3266" t="s">
        <v>304</v>
      </c>
      <c r="B227" s="3255" t="s">
        <v>3199</v>
      </c>
      <c r="C227" s="3267"/>
      <c r="D227" s="3267"/>
      <c r="E227" s="3267"/>
      <c r="F227" s="3256">
        <v>0.05</v>
      </c>
      <c r="G227" s="3273"/>
    </row>
    <row r="228" spans="1:7">
      <c r="A228" s="3266" t="s">
        <v>304</v>
      </c>
      <c r="B228" s="3255" t="s">
        <v>3200</v>
      </c>
      <c r="C228" s="3267"/>
      <c r="D228" s="3267"/>
      <c r="E228" s="3267"/>
      <c r="F228" s="3256">
        <v>0.05</v>
      </c>
      <c r="G228" s="3273"/>
    </row>
    <row r="229" spans="1:7">
      <c r="A229" s="3266" t="s">
        <v>304</v>
      </c>
      <c r="B229" s="3255" t="s">
        <v>3201</v>
      </c>
      <c r="C229" s="3267"/>
      <c r="D229" s="3267"/>
      <c r="E229" s="3267"/>
      <c r="F229" s="3256">
        <v>0.05</v>
      </c>
      <c r="G229" s="3273"/>
    </row>
    <row r="230" spans="1:7">
      <c r="A230" s="3266" t="s">
        <v>304</v>
      </c>
      <c r="B230" s="3255" t="s">
        <v>3202</v>
      </c>
      <c r="C230" s="3267"/>
      <c r="D230" s="3267"/>
      <c r="E230" s="3267"/>
      <c r="F230" s="3256">
        <v>0.05</v>
      </c>
      <c r="G230" s="3273"/>
    </row>
    <row r="231" spans="1:7">
      <c r="A231" s="3266" t="s">
        <v>304</v>
      </c>
      <c r="B231" s="3255" t="s">
        <v>3203</v>
      </c>
      <c r="C231" s="3267"/>
      <c r="D231" s="3267"/>
      <c r="E231" s="3267"/>
      <c r="F231" s="3256">
        <v>0.05</v>
      </c>
      <c r="G231" s="3273"/>
    </row>
    <row r="232" spans="1:7">
      <c r="A232" s="3266" t="s">
        <v>304</v>
      </c>
      <c r="B232" s="3255" t="s">
        <v>3204</v>
      </c>
      <c r="C232" s="3267"/>
      <c r="D232" s="3267"/>
      <c r="E232" s="3267"/>
      <c r="F232" s="3256">
        <v>0.05</v>
      </c>
      <c r="G232" s="3273"/>
    </row>
    <row r="233" spans="1:7" ht="14.25" thickBot="1">
      <c r="A233" s="3269" t="s">
        <v>304</v>
      </c>
      <c r="B233" s="3259" t="s">
        <v>3205</v>
      </c>
      <c r="C233" s="3261"/>
      <c r="D233" s="3261"/>
      <c r="E233" s="3261"/>
      <c r="F233" s="3260">
        <v>0.05</v>
      </c>
      <c r="G233" s="3274"/>
    </row>
    <row r="234" spans="1:7">
      <c r="A234" s="3265" t="s">
        <v>305</v>
      </c>
      <c r="B234" s="3251" t="s">
        <v>2854</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2874</v>
      </c>
      <c r="C238" s="3256">
        <v>0.14899999999999999</v>
      </c>
      <c r="D238" s="3256">
        <v>0.14899999999999999</v>
      </c>
      <c r="E238" s="3256">
        <v>0.15</v>
      </c>
      <c r="F238" s="3256">
        <v>0.15</v>
      </c>
      <c r="G238" s="3257">
        <v>0.15</v>
      </c>
    </row>
    <row r="239" spans="1:7">
      <c r="A239" s="3266" t="s">
        <v>305</v>
      </c>
      <c r="B239" s="3255" t="s">
        <v>2878</v>
      </c>
      <c r="C239" s="3256">
        <v>0.15</v>
      </c>
      <c r="D239" s="3256">
        <v>0.15</v>
      </c>
      <c r="E239" s="3256">
        <v>0.15</v>
      </c>
      <c r="F239" s="3256">
        <v>0.15</v>
      </c>
      <c r="G239" s="3257">
        <v>0.15</v>
      </c>
    </row>
    <row r="240" spans="1:7">
      <c r="A240" s="3266" t="s">
        <v>305</v>
      </c>
      <c r="B240" s="3255" t="s">
        <v>2883</v>
      </c>
      <c r="C240" s="3256">
        <v>0.15</v>
      </c>
      <c r="D240" s="3256">
        <v>0.15</v>
      </c>
      <c r="E240" s="3256">
        <v>0.15</v>
      </c>
      <c r="F240" s="3256">
        <v>0.15</v>
      </c>
      <c r="G240" s="3257">
        <v>0.15</v>
      </c>
    </row>
    <row r="241" spans="1:7">
      <c r="A241" s="3266" t="s">
        <v>305</v>
      </c>
      <c r="B241" s="3255" t="s">
        <v>2887</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2893</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2901</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2906</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2914</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2927</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2936</v>
      </c>
      <c r="C258" s="3256">
        <v>0.14299999999999999</v>
      </c>
      <c r="D258" s="3256">
        <v>0.14299999999999999</v>
      </c>
      <c r="E258" s="3256">
        <v>0.15</v>
      </c>
      <c r="F258" s="3256">
        <v>0.14799999999999999</v>
      </c>
      <c r="G258" s="3257">
        <v>0.14599999999999999</v>
      </c>
    </row>
    <row r="259" spans="1:7">
      <c r="A259" s="3266" t="s">
        <v>305</v>
      </c>
      <c r="B259" s="3255" t="s">
        <v>2940</v>
      </c>
      <c r="C259" s="3256">
        <v>0.14399999999999999</v>
      </c>
      <c r="D259" s="3256">
        <v>0.14399999999999999</v>
      </c>
      <c r="E259" s="3256">
        <v>0.14899999999999999</v>
      </c>
      <c r="F259" s="3256">
        <v>0.14699999999999999</v>
      </c>
      <c r="G259" s="3257">
        <v>0.14599999999999999</v>
      </c>
    </row>
    <row r="260" spans="1:7">
      <c r="A260" s="3266" t="s">
        <v>305</v>
      </c>
      <c r="B260" s="3255" t="s">
        <v>2947</v>
      </c>
      <c r="C260" s="3256">
        <v>0.109</v>
      </c>
      <c r="D260" s="3256">
        <v>0.111</v>
      </c>
      <c r="E260" s="3256">
        <v>0.13100000000000001</v>
      </c>
      <c r="F260" s="3256">
        <v>0.126</v>
      </c>
      <c r="G260" s="3257">
        <v>0.11899999999999999</v>
      </c>
    </row>
    <row r="261" spans="1:7">
      <c r="A261" s="3266" t="s">
        <v>305</v>
      </c>
      <c r="B261" s="3255" t="s">
        <v>2954</v>
      </c>
      <c r="C261" s="3256">
        <v>0.1</v>
      </c>
      <c r="D261" s="3256">
        <v>0.1</v>
      </c>
      <c r="E261" s="3256">
        <v>0.11799999999999999</v>
      </c>
      <c r="F261" s="3256">
        <v>0.108</v>
      </c>
      <c r="G261" s="3257">
        <v>0.107</v>
      </c>
    </row>
    <row r="262" spans="1:7">
      <c r="A262" s="3266" t="s">
        <v>305</v>
      </c>
      <c r="B262" s="3255" t="s">
        <v>2960</v>
      </c>
      <c r="C262" s="3256">
        <v>0.1</v>
      </c>
      <c r="D262" s="3256">
        <v>0.1</v>
      </c>
      <c r="E262" s="3256">
        <v>0.1</v>
      </c>
      <c r="F262" s="3256">
        <v>0.14099999999999999</v>
      </c>
      <c r="G262" s="3257">
        <v>0.1</v>
      </c>
    </row>
    <row r="263" spans="1:7">
      <c r="A263" s="3266" t="s">
        <v>305</v>
      </c>
      <c r="B263" s="3255" t="s">
        <v>2967</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2978</v>
      </c>
      <c r="C265" s="3267"/>
      <c r="D265" s="3267"/>
      <c r="E265" s="3267"/>
      <c r="F265" s="3256">
        <v>0.05</v>
      </c>
      <c r="G265" s="3273"/>
    </row>
    <row r="266" spans="1:7">
      <c r="A266" s="3266" t="s">
        <v>305</v>
      </c>
      <c r="B266" s="3255" t="s">
        <v>2982</v>
      </c>
      <c r="C266" s="3267"/>
      <c r="D266" s="3267"/>
      <c r="E266" s="3267"/>
      <c r="F266" s="3256">
        <v>0.05</v>
      </c>
      <c r="G266" s="3273"/>
    </row>
    <row r="267" spans="1:7">
      <c r="A267" s="3266" t="s">
        <v>305</v>
      </c>
      <c r="B267" s="3255" t="s">
        <v>2987</v>
      </c>
      <c r="C267" s="3267"/>
      <c r="D267" s="3267"/>
      <c r="E267" s="3267"/>
      <c r="F267" s="3256">
        <v>0.05</v>
      </c>
      <c r="G267" s="3273"/>
    </row>
    <row r="268" spans="1:7">
      <c r="A268" s="3266" t="s">
        <v>305</v>
      </c>
      <c r="B268" s="3255" t="s">
        <v>2992</v>
      </c>
      <c r="C268" s="3267"/>
      <c r="D268" s="3267"/>
      <c r="E268" s="3267"/>
      <c r="F268" s="3256">
        <v>0.05</v>
      </c>
      <c r="G268" s="3273"/>
    </row>
    <row r="269" spans="1:7">
      <c r="A269" s="3266" t="s">
        <v>305</v>
      </c>
      <c r="B269" s="3255" t="s">
        <v>2997</v>
      </c>
      <c r="C269" s="3267"/>
      <c r="D269" s="3267"/>
      <c r="E269" s="3267"/>
      <c r="F269" s="3256">
        <v>0.05</v>
      </c>
      <c r="G269" s="3273"/>
    </row>
    <row r="270" spans="1:7">
      <c r="A270" s="3266" t="s">
        <v>305</v>
      </c>
      <c r="B270" s="3255" t="s">
        <v>3002</v>
      </c>
      <c r="C270" s="3267"/>
      <c r="D270" s="3267"/>
      <c r="E270" s="3267"/>
      <c r="F270" s="3256">
        <v>0.05</v>
      </c>
      <c r="G270" s="3273"/>
    </row>
    <row r="271" spans="1:7">
      <c r="A271" s="3266" t="s">
        <v>305</v>
      </c>
      <c r="B271" s="3255" t="s">
        <v>3206</v>
      </c>
      <c r="C271" s="3267"/>
      <c r="D271" s="3267"/>
      <c r="E271" s="3267"/>
      <c r="F271" s="3256">
        <v>0.05</v>
      </c>
      <c r="G271" s="3273"/>
    </row>
    <row r="272" spans="1:7">
      <c r="A272" s="3266" t="s">
        <v>305</v>
      </c>
      <c r="B272" s="3255" t="s">
        <v>3207</v>
      </c>
      <c r="C272" s="3267"/>
      <c r="D272" s="3267"/>
      <c r="E272" s="3267"/>
      <c r="F272" s="3256">
        <v>0.05</v>
      </c>
      <c r="G272" s="3273"/>
    </row>
    <row r="273" spans="1:7">
      <c r="A273" s="3266" t="s">
        <v>305</v>
      </c>
      <c r="B273" s="3255" t="s">
        <v>3208</v>
      </c>
      <c r="C273" s="3267"/>
      <c r="D273" s="3267"/>
      <c r="E273" s="3267"/>
      <c r="F273" s="3256">
        <v>0.05</v>
      </c>
      <c r="G273" s="3273"/>
    </row>
    <row r="274" spans="1:7">
      <c r="A274" s="3266" t="s">
        <v>305</v>
      </c>
      <c r="B274" s="3255" t="s">
        <v>3209</v>
      </c>
      <c r="C274" s="3267"/>
      <c r="D274" s="3267"/>
      <c r="E274" s="3267"/>
      <c r="F274" s="3256">
        <v>0.05</v>
      </c>
      <c r="G274" s="3273"/>
    </row>
    <row r="275" spans="1:7">
      <c r="A275" s="3266" t="s">
        <v>305</v>
      </c>
      <c r="B275" s="3255" t="s">
        <v>3210</v>
      </c>
      <c r="C275" s="3267"/>
      <c r="D275" s="3267"/>
      <c r="E275" s="3267"/>
      <c r="F275" s="3256">
        <v>0.05</v>
      </c>
      <c r="G275" s="3273"/>
    </row>
    <row r="276" spans="1:7" ht="14.25" thickBot="1">
      <c r="A276" s="3269" t="s">
        <v>305</v>
      </c>
      <c r="B276" s="3259" t="s">
        <v>3211</v>
      </c>
      <c r="C276" s="3261"/>
      <c r="D276" s="3261"/>
      <c r="E276" s="3261"/>
      <c r="F276" s="3260">
        <v>0.05</v>
      </c>
      <c r="G276" s="3274"/>
    </row>
    <row r="277" spans="1:7">
      <c r="A277" s="3265" t="s">
        <v>306</v>
      </c>
      <c r="B277" s="3251" t="s">
        <v>2855</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2867</v>
      </c>
      <c r="C279" s="3256">
        <v>0.15</v>
      </c>
      <c r="D279" s="3256">
        <v>0.15</v>
      </c>
      <c r="E279" s="3256">
        <v>0.15</v>
      </c>
      <c r="F279" s="3256">
        <v>0.15</v>
      </c>
      <c r="G279" s="3257">
        <v>0.15</v>
      </c>
    </row>
    <row r="280" spans="1:7">
      <c r="A280" s="3266" t="s">
        <v>306</v>
      </c>
      <c r="B280" s="3255" t="s">
        <v>2871</v>
      </c>
      <c r="C280" s="3256">
        <v>0.15</v>
      </c>
      <c r="D280" s="3256">
        <v>0.15</v>
      </c>
      <c r="E280" s="3256">
        <v>0.15</v>
      </c>
      <c r="F280" s="3256">
        <v>0.15</v>
      </c>
      <c r="G280" s="3257">
        <v>0.15</v>
      </c>
    </row>
    <row r="281" spans="1:7">
      <c r="A281" s="3266" t="s">
        <v>306</v>
      </c>
      <c r="B281" s="3255" t="s">
        <v>2875</v>
      </c>
      <c r="C281" s="3256">
        <v>0.15</v>
      </c>
      <c r="D281" s="3256">
        <v>0.15</v>
      </c>
      <c r="E281" s="3256">
        <v>0.15</v>
      </c>
      <c r="F281" s="3256">
        <v>0.15</v>
      </c>
      <c r="G281" s="3257">
        <v>0.15</v>
      </c>
    </row>
    <row r="282" spans="1:7">
      <c r="A282" s="3266" t="s">
        <v>306</v>
      </c>
      <c r="B282" s="3255" t="s">
        <v>2879</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2894</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2899</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2909</v>
      </c>
      <c r="C293" s="3256">
        <v>0.15</v>
      </c>
      <c r="D293" s="3256">
        <v>0.15</v>
      </c>
      <c r="E293" s="3256">
        <v>0.15</v>
      </c>
      <c r="F293" s="3256">
        <v>0.14499999999999999</v>
      </c>
      <c r="G293" s="3257">
        <v>0.15</v>
      </c>
    </row>
    <row r="294" spans="1:7">
      <c r="A294" s="3266" t="s">
        <v>306</v>
      </c>
      <c r="B294" s="3255" t="s">
        <v>2911</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2928</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2941</v>
      </c>
      <c r="C302" s="3256">
        <v>0.15</v>
      </c>
      <c r="D302" s="3256">
        <v>0.15</v>
      </c>
      <c r="E302" s="3256">
        <v>0.15</v>
      </c>
      <c r="F302" s="3256">
        <v>0.14699999999999999</v>
      </c>
      <c r="G302" s="3257">
        <v>0.15</v>
      </c>
    </row>
    <row r="303" spans="1:7">
      <c r="A303" s="3266" t="s">
        <v>306</v>
      </c>
      <c r="B303" s="3255" t="s">
        <v>2948</v>
      </c>
      <c r="C303" s="3256">
        <v>0.15</v>
      </c>
      <c r="D303" s="3256">
        <v>0.15</v>
      </c>
      <c r="E303" s="3256">
        <v>0.15</v>
      </c>
      <c r="F303" s="3256">
        <v>0.14199999999999999</v>
      </c>
      <c r="G303" s="3257">
        <v>0.15</v>
      </c>
    </row>
    <row r="304" spans="1:7">
      <c r="A304" s="3266" t="s">
        <v>306</v>
      </c>
      <c r="B304" s="3255" t="s">
        <v>2955</v>
      </c>
      <c r="C304" s="3256">
        <v>0.15</v>
      </c>
      <c r="D304" s="3256">
        <v>0.15</v>
      </c>
      <c r="E304" s="3256">
        <v>0.15</v>
      </c>
      <c r="F304" s="3256">
        <v>0.14499999999999999</v>
      </c>
      <c r="G304" s="3257">
        <v>0.15</v>
      </c>
    </row>
    <row r="305" spans="1:7">
      <c r="A305" s="3266" t="s">
        <v>306</v>
      </c>
      <c r="B305" s="3255" t="s">
        <v>2961</v>
      </c>
      <c r="C305" s="3256">
        <v>0.15</v>
      </c>
      <c r="D305" s="3256">
        <v>0.15</v>
      </c>
      <c r="E305" s="3256">
        <v>0.15</v>
      </c>
      <c r="F305" s="3256">
        <v>0.111</v>
      </c>
      <c r="G305" s="3257">
        <v>0.15</v>
      </c>
    </row>
    <row r="306" spans="1:7">
      <c r="A306" s="3266" t="s">
        <v>306</v>
      </c>
      <c r="B306" s="3255" t="s">
        <v>2968</v>
      </c>
      <c r="C306" s="3256">
        <v>0.15</v>
      </c>
      <c r="D306" s="3256">
        <v>0.15</v>
      </c>
      <c r="E306" s="3256">
        <v>0.15</v>
      </c>
      <c r="F306" s="3256">
        <v>0.126</v>
      </c>
      <c r="G306" s="3257">
        <v>0.15</v>
      </c>
    </row>
    <row r="307" spans="1:7">
      <c r="A307" s="3266" t="s">
        <v>306</v>
      </c>
      <c r="B307" s="3255" t="s">
        <v>2973</v>
      </c>
      <c r="C307" s="3256">
        <v>0.15</v>
      </c>
      <c r="D307" s="3256">
        <v>0.15</v>
      </c>
      <c r="E307" s="3256">
        <v>0.15</v>
      </c>
      <c r="F307" s="3256">
        <v>0.12</v>
      </c>
      <c r="G307" s="3257">
        <v>0.15</v>
      </c>
    </row>
    <row r="308" spans="1:7">
      <c r="A308" s="3266" t="s">
        <v>306</v>
      </c>
      <c r="B308" s="3255" t="s">
        <v>2979</v>
      </c>
      <c r="C308" s="3256">
        <v>0.15</v>
      </c>
      <c r="D308" s="3256">
        <v>0.15</v>
      </c>
      <c r="E308" s="3256">
        <v>0.15</v>
      </c>
      <c r="F308" s="3256">
        <v>0.13</v>
      </c>
      <c r="G308" s="3257">
        <v>0.15</v>
      </c>
    </row>
    <row r="309" spans="1:7">
      <c r="A309" s="3266" t="s">
        <v>306</v>
      </c>
      <c r="B309" s="3255" t="s">
        <v>2983</v>
      </c>
      <c r="C309" s="3256">
        <v>0.15</v>
      </c>
      <c r="D309" s="3256">
        <v>0.15</v>
      </c>
      <c r="E309" s="3256">
        <v>0.15</v>
      </c>
      <c r="F309" s="3256">
        <v>0.14099999999999999</v>
      </c>
      <c r="G309" s="3257">
        <v>0.15</v>
      </c>
    </row>
    <row r="310" spans="1:7">
      <c r="A310" s="3266" t="s">
        <v>306</v>
      </c>
      <c r="B310" s="3255" t="s">
        <v>2988</v>
      </c>
      <c r="C310" s="3256">
        <v>0.15</v>
      </c>
      <c r="D310" s="3256">
        <v>0.15</v>
      </c>
      <c r="E310" s="3256">
        <v>0.15</v>
      </c>
      <c r="F310" s="3256">
        <v>0.15</v>
      </c>
      <c r="G310" s="3257">
        <v>0.15</v>
      </c>
    </row>
    <row r="311" spans="1:7">
      <c r="A311" s="3266" t="s">
        <v>306</v>
      </c>
      <c r="B311" s="3255" t="s">
        <v>2993</v>
      </c>
      <c r="C311" s="3256">
        <v>0.13200000000000001</v>
      </c>
      <c r="D311" s="3256">
        <v>0.13300000000000001</v>
      </c>
      <c r="E311" s="3256">
        <v>0.14499999999999999</v>
      </c>
      <c r="F311" s="3256">
        <v>0.14199999999999999</v>
      </c>
      <c r="G311" s="3257">
        <v>0.14000000000000001</v>
      </c>
    </row>
    <row r="312" spans="1:7">
      <c r="A312" s="3266" t="s">
        <v>306</v>
      </c>
      <c r="B312" s="3255" t="s">
        <v>2998</v>
      </c>
      <c r="C312" s="3256">
        <v>0.13800000000000001</v>
      </c>
      <c r="D312" s="3256">
        <v>0.14000000000000001</v>
      </c>
      <c r="E312" s="3256">
        <v>0.14599999999999999</v>
      </c>
      <c r="F312" s="3256">
        <v>0.14899999999999999</v>
      </c>
      <c r="G312" s="3257">
        <v>0.14199999999999999</v>
      </c>
    </row>
    <row r="313" spans="1:7">
      <c r="A313" s="3266" t="s">
        <v>306</v>
      </c>
      <c r="B313" s="3255" t="s">
        <v>3003</v>
      </c>
      <c r="C313" s="3256">
        <v>0.125</v>
      </c>
      <c r="D313" s="3256">
        <v>0.127</v>
      </c>
      <c r="E313" s="3256">
        <v>0.14399999999999999</v>
      </c>
      <c r="F313" s="3256">
        <v>0.115</v>
      </c>
      <c r="G313" s="3257">
        <v>0.13600000000000001</v>
      </c>
    </row>
    <row r="314" spans="1:7">
      <c r="A314" s="3266" t="s">
        <v>306</v>
      </c>
      <c r="B314" s="3255" t="s">
        <v>3212</v>
      </c>
      <c r="C314" s="3272"/>
      <c r="D314" s="3272"/>
      <c r="E314" s="3272"/>
      <c r="F314" s="3256">
        <v>0.05</v>
      </c>
      <c r="G314" s="3273"/>
    </row>
    <row r="315" spans="1:7">
      <c r="A315" s="3266" t="s">
        <v>306</v>
      </c>
      <c r="B315" s="3255" t="s">
        <v>3213</v>
      </c>
      <c r="C315" s="3272"/>
      <c r="D315" s="3272"/>
      <c r="E315" s="3272"/>
      <c r="F315" s="3256">
        <v>0.05</v>
      </c>
      <c r="G315" s="3273"/>
    </row>
    <row r="316" spans="1:7">
      <c r="A316" s="3266" t="s">
        <v>306</v>
      </c>
      <c r="B316" s="3255" t="s">
        <v>3214</v>
      </c>
      <c r="C316" s="3267"/>
      <c r="D316" s="3267"/>
      <c r="E316" s="3267"/>
      <c r="F316" s="3256">
        <v>0.05</v>
      </c>
      <c r="G316" s="3273"/>
    </row>
    <row r="317" spans="1:7">
      <c r="A317" s="3266" t="s">
        <v>306</v>
      </c>
      <c r="B317" s="3255" t="s">
        <v>3215</v>
      </c>
      <c r="C317" s="3267"/>
      <c r="D317" s="3267"/>
      <c r="E317" s="3267"/>
      <c r="F317" s="3256">
        <v>0.05</v>
      </c>
      <c r="G317" s="3273"/>
    </row>
    <row r="318" spans="1:7">
      <c r="A318" s="3266" t="s">
        <v>306</v>
      </c>
      <c r="B318" s="3255" t="s">
        <v>3216</v>
      </c>
      <c r="C318" s="3267"/>
      <c r="D318" s="3267"/>
      <c r="E318" s="3267"/>
      <c r="F318" s="3256">
        <v>0.05</v>
      </c>
      <c r="G318" s="3273"/>
    </row>
    <row r="319" spans="1:7">
      <c r="A319" s="3266" t="s">
        <v>306</v>
      </c>
      <c r="B319" s="3255" t="s">
        <v>3217</v>
      </c>
      <c r="C319" s="3267"/>
      <c r="D319" s="3267"/>
      <c r="E319" s="3267"/>
      <c r="F319" s="3256">
        <v>0.05</v>
      </c>
      <c r="G319" s="3273"/>
    </row>
    <row r="320" spans="1:7">
      <c r="A320" s="3266" t="s">
        <v>306</v>
      </c>
      <c r="B320" s="3255" t="s">
        <v>3218</v>
      </c>
      <c r="C320" s="3267"/>
      <c r="D320" s="3267"/>
      <c r="E320" s="3267"/>
      <c r="F320" s="3256">
        <v>0.05</v>
      </c>
      <c r="G320" s="3273"/>
    </row>
    <row r="321" spans="1:7">
      <c r="A321" s="3266" t="s">
        <v>306</v>
      </c>
      <c r="B321" s="3255" t="s">
        <v>3219</v>
      </c>
      <c r="C321" s="3267"/>
      <c r="D321" s="3267"/>
      <c r="E321" s="3267"/>
      <c r="F321" s="3256">
        <v>0.05</v>
      </c>
      <c r="G321" s="3273"/>
    </row>
    <row r="322" spans="1:7">
      <c r="A322" s="3266" t="s">
        <v>306</v>
      </c>
      <c r="B322" s="3255" t="s">
        <v>3220</v>
      </c>
      <c r="C322" s="3267"/>
      <c r="D322" s="3267"/>
      <c r="E322" s="3267"/>
      <c r="F322" s="3256">
        <v>0.05</v>
      </c>
      <c r="G322" s="3273"/>
    </row>
    <row r="323" spans="1:7">
      <c r="A323" s="3266" t="s">
        <v>306</v>
      </c>
      <c r="B323" s="3255" t="s">
        <v>3221</v>
      </c>
      <c r="C323" s="3267"/>
      <c r="D323" s="3267"/>
      <c r="E323" s="3267"/>
      <c r="F323" s="3256">
        <v>0.05</v>
      </c>
      <c r="G323" s="3273"/>
    </row>
    <row r="324" spans="1:7">
      <c r="A324" s="3266" t="s">
        <v>306</v>
      </c>
      <c r="B324" s="3255" t="s">
        <v>3222</v>
      </c>
      <c r="C324" s="3267"/>
      <c r="D324" s="3267"/>
      <c r="E324" s="3267"/>
      <c r="F324" s="3256">
        <v>0.05</v>
      </c>
      <c r="G324" s="3273"/>
    </row>
    <row r="325" spans="1:7">
      <c r="A325" s="3266" t="s">
        <v>306</v>
      </c>
      <c r="B325" s="3255" t="s">
        <v>3223</v>
      </c>
      <c r="C325" s="3267"/>
      <c r="D325" s="3267"/>
      <c r="E325" s="3267"/>
      <c r="F325" s="3256">
        <v>0.05</v>
      </c>
      <c r="G325" s="3273"/>
    </row>
    <row r="326" spans="1:7" ht="14.25" thickBot="1">
      <c r="A326" s="3269" t="s">
        <v>306</v>
      </c>
      <c r="B326" s="3259" t="s">
        <v>3224</v>
      </c>
      <c r="C326" s="3261"/>
      <c r="D326" s="3261"/>
      <c r="E326" s="3261"/>
      <c r="F326" s="3260">
        <v>0.05</v>
      </c>
      <c r="G326" s="3274"/>
    </row>
    <row r="327" spans="1:7">
      <c r="A327" s="3265" t="s">
        <v>307</v>
      </c>
      <c r="B327" s="3251" t="s">
        <v>2856</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2868</v>
      </c>
      <c r="C329" s="3256">
        <v>0.15</v>
      </c>
      <c r="D329" s="3256">
        <v>0.15</v>
      </c>
      <c r="E329" s="3256">
        <v>0.15</v>
      </c>
      <c r="F329" s="3256">
        <v>0.15</v>
      </c>
      <c r="G329" s="3257">
        <v>0.15</v>
      </c>
    </row>
    <row r="330" spans="1:7">
      <c r="A330" s="3266" t="s">
        <v>307</v>
      </c>
      <c r="B330" s="3255" t="s">
        <v>2872</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2880</v>
      </c>
      <c r="C332" s="3256">
        <v>0.15</v>
      </c>
      <c r="D332" s="3256">
        <v>0.15</v>
      </c>
      <c r="E332" s="3256">
        <v>0.15</v>
      </c>
      <c r="F332" s="3256">
        <v>0.15</v>
      </c>
      <c r="G332" s="3257">
        <v>0.15</v>
      </c>
    </row>
    <row r="333" spans="1:7">
      <c r="A333" s="3266" t="s">
        <v>307</v>
      </c>
      <c r="B333" s="3255" t="s">
        <v>2884</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2890</v>
      </c>
      <c r="C336" s="3256">
        <v>0.15</v>
      </c>
      <c r="D336" s="3256">
        <v>0.15</v>
      </c>
      <c r="E336" s="3256">
        <v>0.15</v>
      </c>
      <c r="F336" s="3256">
        <v>0.14199999999999999</v>
      </c>
      <c r="G336" s="3257">
        <v>0.15</v>
      </c>
    </row>
    <row r="337" spans="1:7">
      <c r="A337" s="3266" t="s">
        <v>307</v>
      </c>
      <c r="B337" s="3255" t="s">
        <v>2895</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2902</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2907</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2915</v>
      </c>
      <c r="C345" s="3256">
        <v>0.15</v>
      </c>
      <c r="D345" s="3256">
        <v>0.15</v>
      </c>
      <c r="E345" s="3256">
        <v>0.15</v>
      </c>
      <c r="F345" s="3256">
        <v>0.13800000000000001</v>
      </c>
      <c r="G345" s="3257">
        <v>0.15</v>
      </c>
    </row>
    <row r="346" spans="1:7">
      <c r="A346" s="3266" t="s">
        <v>307</v>
      </c>
      <c r="B346" s="3255" t="s">
        <v>2917</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2924</v>
      </c>
      <c r="C348" s="3256">
        <v>0.15</v>
      </c>
      <c r="D348" s="3256">
        <v>0.15</v>
      </c>
      <c r="E348" s="3256">
        <v>0.15</v>
      </c>
      <c r="F348" s="3256">
        <v>0.14399999999999999</v>
      </c>
      <c r="G348" s="3257">
        <v>0.15</v>
      </c>
    </row>
    <row r="349" spans="1:7">
      <c r="A349" s="3266" t="s">
        <v>307</v>
      </c>
      <c r="B349" s="3255" t="s">
        <v>2929</v>
      </c>
      <c r="C349" s="3256">
        <v>0.15</v>
      </c>
      <c r="D349" s="3256">
        <v>0.15</v>
      </c>
      <c r="E349" s="3256">
        <v>0.15</v>
      </c>
      <c r="F349" s="3256">
        <v>0.15</v>
      </c>
      <c r="G349" s="3257">
        <v>0.15</v>
      </c>
    </row>
    <row r="350" spans="1:7">
      <c r="A350" s="3266" t="s">
        <v>307</v>
      </c>
      <c r="B350" s="3255" t="s">
        <v>2932</v>
      </c>
      <c r="C350" s="3256">
        <v>0.15</v>
      </c>
      <c r="D350" s="3256">
        <v>0.15</v>
      </c>
      <c r="E350" s="3256">
        <v>0.15</v>
      </c>
      <c r="F350" s="3256">
        <v>0.14699999999999999</v>
      </c>
      <c r="G350" s="3257">
        <v>0.15</v>
      </c>
    </row>
    <row r="351" spans="1:7">
      <c r="A351" s="3266" t="s">
        <v>307</v>
      </c>
      <c r="B351" s="3255" t="s">
        <v>2937</v>
      </c>
      <c r="C351" s="3256">
        <v>0.15</v>
      </c>
      <c r="D351" s="3256">
        <v>0.15</v>
      </c>
      <c r="E351" s="3256">
        <v>0.15</v>
      </c>
      <c r="F351" s="3256">
        <v>0.13</v>
      </c>
      <c r="G351" s="3257">
        <v>0.15</v>
      </c>
    </row>
    <row r="352" spans="1:7">
      <c r="A352" s="3266" t="s">
        <v>307</v>
      </c>
      <c r="B352" s="3255" t="s">
        <v>2942</v>
      </c>
      <c r="C352" s="3256">
        <v>0.15</v>
      </c>
      <c r="D352" s="3256">
        <v>0.15</v>
      </c>
      <c r="E352" s="3256">
        <v>0.15</v>
      </c>
      <c r="F352" s="3256">
        <v>0.14599999999999999</v>
      </c>
      <c r="G352" s="3257">
        <v>0.15</v>
      </c>
    </row>
    <row r="353" spans="1:7">
      <c r="A353" s="3266" t="s">
        <v>307</v>
      </c>
      <c r="B353" s="3255" t="s">
        <v>2949</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2962</v>
      </c>
      <c r="C355" s="3256">
        <v>0.15</v>
      </c>
      <c r="D355" s="3256">
        <v>0.15</v>
      </c>
      <c r="E355" s="3256">
        <v>0.15</v>
      </c>
      <c r="F355" s="3256">
        <v>0.15</v>
      </c>
      <c r="G355" s="3257">
        <v>0.15</v>
      </c>
    </row>
    <row r="356" spans="1:7">
      <c r="A356" s="3266" t="s">
        <v>307</v>
      </c>
      <c r="B356" s="3255" t="s">
        <v>2969</v>
      </c>
      <c r="C356" s="3256">
        <v>0.15</v>
      </c>
      <c r="D356" s="3256">
        <v>0.15</v>
      </c>
      <c r="E356" s="3256">
        <v>0.15</v>
      </c>
      <c r="F356" s="3256">
        <v>0.15</v>
      </c>
      <c r="G356" s="3257">
        <v>0.15</v>
      </c>
    </row>
    <row r="357" spans="1:7" ht="14.25" thickBot="1">
      <c r="A357" s="3269" t="s">
        <v>307</v>
      </c>
      <c r="B357" s="3259" t="s">
        <v>2974</v>
      </c>
      <c r="C357" s="3260">
        <v>0.126</v>
      </c>
      <c r="D357" s="3260">
        <v>0.127</v>
      </c>
      <c r="E357" s="3260">
        <v>0.14299999999999999</v>
      </c>
      <c r="F357" s="3260">
        <v>0.125</v>
      </c>
      <c r="G357" s="3262">
        <v>0.129</v>
      </c>
    </row>
    <row r="358" spans="1:7">
      <c r="A358" s="3265" t="s">
        <v>2843</v>
      </c>
      <c r="B358" s="3251" t="s">
        <v>2857</v>
      </c>
      <c r="C358" s="3252">
        <v>0.15</v>
      </c>
      <c r="D358" s="3252">
        <v>0.15</v>
      </c>
      <c r="E358" s="3252">
        <v>0.15</v>
      </c>
      <c r="F358" s="3252">
        <v>0.15</v>
      </c>
      <c r="G358" s="3253">
        <v>0.15</v>
      </c>
    </row>
    <row r="359" spans="1:7">
      <c r="A359" s="3266" t="s">
        <v>2843</v>
      </c>
      <c r="B359" s="3255" t="s">
        <v>2863</v>
      </c>
      <c r="C359" s="3256">
        <v>0.1</v>
      </c>
      <c r="D359" s="3256">
        <v>0.1</v>
      </c>
      <c r="E359" s="3256">
        <v>0.1</v>
      </c>
      <c r="F359" s="3256">
        <v>0.1</v>
      </c>
      <c r="G359" s="3257">
        <v>0.1</v>
      </c>
    </row>
    <row r="360" spans="1:7">
      <c r="A360" s="3266" t="s">
        <v>2843</v>
      </c>
      <c r="B360" s="3255" t="s">
        <v>2869</v>
      </c>
      <c r="C360" s="3256">
        <v>0.15</v>
      </c>
      <c r="D360" s="3256">
        <v>0.15</v>
      </c>
      <c r="E360" s="3256">
        <v>0.15</v>
      </c>
      <c r="F360" s="3256">
        <v>0.14899999999999999</v>
      </c>
      <c r="G360" s="3257">
        <v>0.15</v>
      </c>
    </row>
    <row r="361" spans="1:7">
      <c r="A361" s="3266" t="s">
        <v>2843</v>
      </c>
      <c r="B361" s="3255" t="s">
        <v>153</v>
      </c>
      <c r="C361" s="3256">
        <v>0.15</v>
      </c>
      <c r="D361" s="3256">
        <v>0.15</v>
      </c>
      <c r="E361" s="3256">
        <v>0.15</v>
      </c>
      <c r="F361" s="3256">
        <v>0.115</v>
      </c>
      <c r="G361" s="3257">
        <v>0.15</v>
      </c>
    </row>
    <row r="362" spans="1:7">
      <c r="A362" s="3266" t="s">
        <v>2843</v>
      </c>
      <c r="B362" s="3255" t="s">
        <v>2876</v>
      </c>
      <c r="C362" s="3256">
        <v>0.15</v>
      </c>
      <c r="D362" s="3256">
        <v>0.15</v>
      </c>
      <c r="E362" s="3256">
        <v>0.15</v>
      </c>
      <c r="F362" s="3256">
        <v>0.106</v>
      </c>
      <c r="G362" s="3257">
        <v>0.15</v>
      </c>
    </row>
    <row r="363" spans="1:7">
      <c r="A363" s="3266" t="s">
        <v>2843</v>
      </c>
      <c r="B363" s="3255" t="s">
        <v>2881</v>
      </c>
      <c r="C363" s="3256">
        <v>0.15</v>
      </c>
      <c r="D363" s="3256">
        <v>0.15</v>
      </c>
      <c r="E363" s="3256">
        <v>0.15</v>
      </c>
      <c r="F363" s="3256">
        <v>0.14699999999999999</v>
      </c>
      <c r="G363" s="3257">
        <v>0.15</v>
      </c>
    </row>
    <row r="364" spans="1:7">
      <c r="A364" s="3266" t="s">
        <v>2843</v>
      </c>
      <c r="B364" s="3255" t="s">
        <v>2885</v>
      </c>
      <c r="C364" s="3256">
        <v>0.15</v>
      </c>
      <c r="D364" s="3256">
        <v>0.15</v>
      </c>
      <c r="E364" s="3256">
        <v>0.15</v>
      </c>
      <c r="F364" s="3256">
        <v>0.14799999999999999</v>
      </c>
      <c r="G364" s="3257">
        <v>0.15</v>
      </c>
    </row>
    <row r="365" spans="1:7">
      <c r="A365" s="3266" t="s">
        <v>2843</v>
      </c>
      <c r="B365" s="3255" t="s">
        <v>200</v>
      </c>
      <c r="C365" s="3256">
        <v>0.15</v>
      </c>
      <c r="D365" s="3256">
        <v>0.15</v>
      </c>
      <c r="E365" s="3256">
        <v>0.15</v>
      </c>
      <c r="F365" s="3256">
        <v>0.15</v>
      </c>
      <c r="G365" s="3257">
        <v>0.15</v>
      </c>
    </row>
    <row r="366" spans="1:7">
      <c r="A366" s="3266" t="s">
        <v>2843</v>
      </c>
      <c r="B366" s="3255" t="s">
        <v>2888</v>
      </c>
      <c r="C366" s="3256">
        <v>0.15</v>
      </c>
      <c r="D366" s="3256">
        <v>0.15</v>
      </c>
      <c r="E366" s="3256">
        <v>0.15</v>
      </c>
      <c r="F366" s="3256">
        <v>0.15</v>
      </c>
      <c r="G366" s="3257">
        <v>0.15</v>
      </c>
    </row>
    <row r="367" spans="1:7">
      <c r="A367" s="3266" t="s">
        <v>2843</v>
      </c>
      <c r="B367" s="3255" t="s">
        <v>2891</v>
      </c>
      <c r="C367" s="3256">
        <v>0.15</v>
      </c>
      <c r="D367" s="3256">
        <v>0.15</v>
      </c>
      <c r="E367" s="3256">
        <v>0.15</v>
      </c>
      <c r="F367" s="3256">
        <v>0.14699999999999999</v>
      </c>
      <c r="G367" s="3257">
        <v>0.15</v>
      </c>
    </row>
    <row r="368" spans="1:7">
      <c r="A368" s="3266" t="s">
        <v>2843</v>
      </c>
      <c r="B368" s="3255" t="s">
        <v>2896</v>
      </c>
      <c r="C368" s="3256">
        <v>0.15</v>
      </c>
      <c r="D368" s="3256">
        <v>0.15</v>
      </c>
      <c r="E368" s="3256">
        <v>0.15</v>
      </c>
      <c r="F368" s="3256">
        <v>0.13600000000000001</v>
      </c>
      <c r="G368" s="3257">
        <v>0.15</v>
      </c>
    </row>
    <row r="369" spans="1:7">
      <c r="A369" s="3266" t="s">
        <v>2843</v>
      </c>
      <c r="B369" s="3255" t="s">
        <v>214</v>
      </c>
      <c r="C369" s="3256">
        <v>0.15</v>
      </c>
      <c r="D369" s="3256">
        <v>0.15</v>
      </c>
      <c r="E369" s="3256">
        <v>0.15</v>
      </c>
      <c r="F369" s="3256">
        <v>0.14399999999999999</v>
      </c>
      <c r="G369" s="3257">
        <v>0.15</v>
      </c>
    </row>
    <row r="370" spans="1:7">
      <c r="A370" s="3266" t="s">
        <v>2843</v>
      </c>
      <c r="B370" s="3255" t="s">
        <v>221</v>
      </c>
      <c r="C370" s="3256">
        <v>0.15</v>
      </c>
      <c r="D370" s="3256">
        <v>0.15</v>
      </c>
      <c r="E370" s="3256">
        <v>0.15</v>
      </c>
      <c r="F370" s="3256">
        <v>0.14599999999999999</v>
      </c>
      <c r="G370" s="3257">
        <v>0.15</v>
      </c>
    </row>
    <row r="371" spans="1:7">
      <c r="A371" s="3266" t="s">
        <v>2843</v>
      </c>
      <c r="B371" s="3255" t="s">
        <v>229</v>
      </c>
      <c r="C371" s="3256">
        <v>0.15</v>
      </c>
      <c r="D371" s="3256">
        <v>0.15</v>
      </c>
      <c r="E371" s="3256">
        <v>0.15</v>
      </c>
      <c r="F371" s="3256">
        <v>0.12</v>
      </c>
      <c r="G371" s="3257">
        <v>0.15</v>
      </c>
    </row>
    <row r="372" spans="1:7">
      <c r="A372" s="3266" t="s">
        <v>2843</v>
      </c>
      <c r="B372" s="3255" t="s">
        <v>2904</v>
      </c>
      <c r="C372" s="3256">
        <v>0.15</v>
      </c>
      <c r="D372" s="3256">
        <v>0.15</v>
      </c>
      <c r="E372" s="3256">
        <v>0.15</v>
      </c>
      <c r="F372" s="3256">
        <v>0.14299999999999999</v>
      </c>
      <c r="G372" s="3257">
        <v>0.15</v>
      </c>
    </row>
    <row r="373" spans="1:7">
      <c r="A373" s="3266" t="s">
        <v>2843</v>
      </c>
      <c r="B373" s="3255" t="s">
        <v>258</v>
      </c>
      <c r="C373" s="3256">
        <v>0.15</v>
      </c>
      <c r="D373" s="3256">
        <v>0.15</v>
      </c>
      <c r="E373" s="3256">
        <v>0.15</v>
      </c>
      <c r="F373" s="3256">
        <v>0.14599999999999999</v>
      </c>
      <c r="G373" s="3257">
        <v>0.15</v>
      </c>
    </row>
    <row r="374" spans="1:7">
      <c r="A374" s="3266" t="s">
        <v>2843</v>
      </c>
      <c r="B374" s="3255" t="s">
        <v>266</v>
      </c>
      <c r="C374" s="3256">
        <v>0.15</v>
      </c>
      <c r="D374" s="3256">
        <v>0.15</v>
      </c>
      <c r="E374" s="3256">
        <v>0.15</v>
      </c>
      <c r="F374" s="3256">
        <v>0.14399999999999999</v>
      </c>
      <c r="G374" s="3257">
        <v>0.15</v>
      </c>
    </row>
    <row r="375" spans="1:7">
      <c r="A375" s="3266" t="s">
        <v>2843</v>
      </c>
      <c r="B375" s="3255" t="s">
        <v>2912</v>
      </c>
      <c r="C375" s="3256">
        <v>0.15</v>
      </c>
      <c r="D375" s="3256">
        <v>0.15</v>
      </c>
      <c r="E375" s="3256">
        <v>0.15</v>
      </c>
      <c r="F375" s="3256">
        <v>0.13</v>
      </c>
      <c r="G375" s="3257">
        <v>0.15</v>
      </c>
    </row>
    <row r="376" spans="1:7">
      <c r="A376" s="3266" t="s">
        <v>2843</v>
      </c>
      <c r="B376" s="3255" t="s">
        <v>277</v>
      </c>
      <c r="C376" s="3256">
        <v>0.15</v>
      </c>
      <c r="D376" s="3256">
        <v>0.15</v>
      </c>
      <c r="E376" s="3256">
        <v>0.15</v>
      </c>
      <c r="F376" s="3256">
        <v>0.14199999999999999</v>
      </c>
      <c r="G376" s="3257">
        <v>0.15</v>
      </c>
    </row>
    <row r="377" spans="1:7" ht="14.25" thickBot="1">
      <c r="A377" s="3269" t="s">
        <v>2843</v>
      </c>
      <c r="B377" s="3259" t="s">
        <v>2918</v>
      </c>
      <c r="C377" s="3260">
        <v>0.15</v>
      </c>
      <c r="D377" s="3260">
        <v>0.15</v>
      </c>
      <c r="E377" s="3260">
        <v>0.15</v>
      </c>
      <c r="F377" s="3260">
        <v>0.14000000000000001</v>
      </c>
      <c r="G377" s="3262">
        <v>0.15</v>
      </c>
    </row>
    <row r="378" spans="1:7">
      <c r="A378" s="3265" t="s">
        <v>2844</v>
      </c>
      <c r="B378" s="3251" t="s">
        <v>2858</v>
      </c>
      <c r="C378" s="3252">
        <v>0.15</v>
      </c>
      <c r="D378" s="3252">
        <v>0.15</v>
      </c>
      <c r="E378" s="3252">
        <v>0.15</v>
      </c>
      <c r="F378" s="3252">
        <v>0.107</v>
      </c>
      <c r="G378" s="3253">
        <v>0.15</v>
      </c>
    </row>
    <row r="379" spans="1:7">
      <c r="A379" s="3266" t="s">
        <v>2844</v>
      </c>
      <c r="B379" s="3255" t="s">
        <v>2864</v>
      </c>
      <c r="C379" s="3256">
        <v>0.15</v>
      </c>
      <c r="D379" s="3256">
        <v>0.15</v>
      </c>
      <c r="E379" s="3256">
        <v>0.15</v>
      </c>
      <c r="F379" s="3256">
        <v>0.115</v>
      </c>
      <c r="G379" s="3257">
        <v>0.14899999999999999</v>
      </c>
    </row>
    <row r="380" spans="1:7">
      <c r="A380" s="3266" t="s">
        <v>2844</v>
      </c>
      <c r="B380" s="3255" t="s">
        <v>2870</v>
      </c>
      <c r="C380" s="3256">
        <v>0.15</v>
      </c>
      <c r="D380" s="3256">
        <v>0.15</v>
      </c>
      <c r="E380" s="3256">
        <v>0.15</v>
      </c>
      <c r="F380" s="3256">
        <v>0.1</v>
      </c>
      <c r="G380" s="3257">
        <v>0.14799999999999999</v>
      </c>
    </row>
    <row r="381" spans="1:7">
      <c r="A381" s="3266" t="s">
        <v>2844</v>
      </c>
      <c r="B381" s="3255" t="s">
        <v>2873</v>
      </c>
      <c r="C381" s="3256">
        <v>0.15</v>
      </c>
      <c r="D381" s="3256">
        <v>0.15</v>
      </c>
      <c r="E381" s="3256">
        <v>0.15</v>
      </c>
      <c r="F381" s="3256">
        <v>0.126</v>
      </c>
      <c r="G381" s="3257">
        <v>0.15</v>
      </c>
    </row>
    <row r="382" spans="1:7">
      <c r="A382" s="3266" t="s">
        <v>2844</v>
      </c>
      <c r="B382" s="3255" t="s">
        <v>2877</v>
      </c>
      <c r="C382" s="3256">
        <v>0.15</v>
      </c>
      <c r="D382" s="3256">
        <v>0.15</v>
      </c>
      <c r="E382" s="3256">
        <v>0.15</v>
      </c>
      <c r="F382" s="3256">
        <v>0.15</v>
      </c>
      <c r="G382" s="3257">
        <v>0.15</v>
      </c>
    </row>
    <row r="383" spans="1:7">
      <c r="A383" s="3266" t="s">
        <v>2844</v>
      </c>
      <c r="B383" s="3255" t="s">
        <v>2882</v>
      </c>
      <c r="C383" s="3256">
        <v>0.15</v>
      </c>
      <c r="D383" s="3256">
        <v>0.15</v>
      </c>
      <c r="E383" s="3256">
        <v>0.15</v>
      </c>
      <c r="F383" s="3256">
        <v>0.14699999999999999</v>
      </c>
      <c r="G383" s="3257">
        <v>0.15</v>
      </c>
    </row>
    <row r="384" spans="1:7" ht="14.25" thickBot="1">
      <c r="A384" s="3276" t="s">
        <v>2844</v>
      </c>
      <c r="B384" s="3277" t="s">
        <v>2886</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796" t="s">
        <v>3225</v>
      </c>
      <c r="B1" s="3796"/>
      <c r="C1" s="3796"/>
      <c r="D1" s="3796"/>
      <c r="E1" s="3796"/>
      <c r="F1" s="3797"/>
    </row>
    <row r="2" spans="1:6">
      <c r="A2" s="3282" t="s">
        <v>3226</v>
      </c>
      <c r="B2" s="3283"/>
      <c r="C2" s="3283"/>
      <c r="D2" s="3283"/>
      <c r="E2" s="3283"/>
      <c r="F2" s="3283"/>
    </row>
    <row r="3" spans="1:6">
      <c r="A3" s="3282" t="s">
        <v>3227</v>
      </c>
      <c r="B3" s="3283"/>
      <c r="C3" s="3283"/>
      <c r="D3" s="3283"/>
      <c r="E3" s="3283"/>
      <c r="F3" s="3284" t="s">
        <v>3228</v>
      </c>
    </row>
    <row r="4" spans="1:6">
      <c r="A4" s="3285" t="s">
        <v>672</v>
      </c>
      <c r="B4" s="3285" t="s">
        <v>673</v>
      </c>
      <c r="C4" s="3285" t="s">
        <v>21</v>
      </c>
      <c r="D4" s="3285" t="s">
        <v>674</v>
      </c>
      <c r="E4" s="3285" t="s">
        <v>3</v>
      </c>
      <c r="F4" s="3285" t="s">
        <v>3229</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2">
        <f>基准地价修正!G23</f>
        <v>45076</v>
      </c>
      <c r="B1" s="3201" t="s">
        <v>2831</v>
      </c>
      <c r="C1" s="3202"/>
      <c r="D1" s="3202"/>
      <c r="E1" s="3202"/>
      <c r="F1" s="3202"/>
      <c r="G1" s="3202"/>
      <c r="H1" s="3202"/>
      <c r="I1" s="3202"/>
      <c r="J1" s="3156"/>
      <c r="K1" s="3202" t="s">
        <v>454</v>
      </c>
      <c r="L1" s="3202"/>
      <c r="M1" s="3202"/>
      <c r="N1" s="3202"/>
      <c r="O1" s="3202"/>
      <c r="P1" s="3202"/>
      <c r="Q1" s="3156"/>
      <c r="R1" s="3798" t="s">
        <v>456</v>
      </c>
      <c r="S1" s="3799"/>
      <c r="T1" s="3799"/>
      <c r="U1" s="3799"/>
      <c r="V1" s="3799"/>
      <c r="W1" s="3799"/>
      <c r="X1" s="3156"/>
      <c r="Y1" s="3798" t="s">
        <v>457</v>
      </c>
      <c r="Z1" s="3799"/>
      <c r="AA1" s="3799"/>
      <c r="AB1" s="3799"/>
      <c r="AC1" s="3799"/>
      <c r="AD1" s="3799"/>
    </row>
    <row r="2" spans="1:30" s="3134" customFormat="1" ht="14.25" thickBot="1">
      <c r="B2" s="3135"/>
      <c r="C2" s="3136"/>
      <c r="D2" s="3137" t="s">
        <v>2801</v>
      </c>
      <c r="E2" s="3138" t="s">
        <v>2802</v>
      </c>
      <c r="F2" s="3138" t="s">
        <v>2803</v>
      </c>
      <c r="G2" s="3138" t="s">
        <v>2804</v>
      </c>
      <c r="H2" s="3138" t="s">
        <v>2805</v>
      </c>
      <c r="I2" s="3138" t="s">
        <v>2622</v>
      </c>
      <c r="J2" s="3139"/>
      <c r="K2" s="3137" t="s">
        <v>2801</v>
      </c>
      <c r="L2" s="3138" t="s">
        <v>2802</v>
      </c>
      <c r="M2" s="3138" t="s">
        <v>2803</v>
      </c>
      <c r="N2" s="3138" t="s">
        <v>2804</v>
      </c>
      <c r="O2" s="3138" t="s">
        <v>2806</v>
      </c>
      <c r="P2" s="3138" t="s">
        <v>2622</v>
      </c>
      <c r="Q2" s="3139"/>
      <c r="R2" s="3137" t="s">
        <v>2801</v>
      </c>
      <c r="S2" s="3138" t="s">
        <v>2802</v>
      </c>
      <c r="T2" s="3138" t="s">
        <v>2803</v>
      </c>
      <c r="U2" s="3138" t="s">
        <v>2807</v>
      </c>
      <c r="V2" s="3138" t="s">
        <v>2808</v>
      </c>
      <c r="W2" s="3138" t="s">
        <v>2622</v>
      </c>
      <c r="X2" s="3139"/>
      <c r="Y2" s="3137" t="s">
        <v>2801</v>
      </c>
      <c r="Z2" s="3138" t="s">
        <v>2802</v>
      </c>
      <c r="AA2" s="3138" t="s">
        <v>2803</v>
      </c>
      <c r="AB2" s="3138" t="s">
        <v>2809</v>
      </c>
      <c r="AC2" s="3138" t="s">
        <v>2808</v>
      </c>
      <c r="AD2" s="3138" t="s">
        <v>2622</v>
      </c>
    </row>
    <row r="3" spans="1:30" s="3152" customFormat="1" ht="12.75">
      <c r="A3" s="3140" t="s">
        <v>2810</v>
      </c>
      <c r="B3" s="3141"/>
      <c r="C3" s="3142"/>
      <c r="D3" s="3142">
        <f>ROUND(AVERAGEIF(D4:D16,"&lt;&gt;0"),2)</f>
        <v>0.82</v>
      </c>
      <c r="E3" s="3142">
        <f t="shared" ref="E3:H3" si="0">ROUND(AVERAGEIF(E4:E16,"&lt;&gt;0"),2)</f>
        <v>0.38</v>
      </c>
      <c r="F3" s="3142">
        <f t="shared" si="0"/>
        <v>0.2</v>
      </c>
      <c r="G3" s="3142">
        <f t="shared" si="0"/>
        <v>0.89</v>
      </c>
      <c r="H3" s="3142">
        <f t="shared" si="0"/>
        <v>0.64</v>
      </c>
      <c r="I3" s="3142">
        <f>F3</f>
        <v>0.2</v>
      </c>
      <c r="J3" s="3143"/>
      <c r="K3" s="3144">
        <f>ROUND(AVERAGEIF(K4:K16,"&lt;&gt;0"),4)</f>
        <v>8.2000000000000007E-3</v>
      </c>
      <c r="L3" s="3145">
        <f t="shared" ref="L3:O3" si="1">ROUND(AVERAGEIF(L4:L16,"&lt;&gt;0"),4)</f>
        <v>3.8E-3</v>
      </c>
      <c r="M3" s="3145">
        <f t="shared" si="1"/>
        <v>2E-3</v>
      </c>
      <c r="N3" s="3145">
        <f t="shared" si="1"/>
        <v>8.8999999999999999E-3</v>
      </c>
      <c r="O3" s="3145">
        <f t="shared" si="1"/>
        <v>6.4000000000000003E-3</v>
      </c>
      <c r="P3" s="3145">
        <f>M3</f>
        <v>2E-3</v>
      </c>
      <c r="Q3" s="3143"/>
      <c r="R3" s="3146">
        <f>ROUND(SUMPRODUCT(PRODUCT(1+K4:K16)),4)</f>
        <v>1.0763</v>
      </c>
      <c r="S3" s="3147">
        <f t="shared" ref="S3:V3" si="2">ROUND(SUMPRODUCT(PRODUCT(1+L4:L16)),4)</f>
        <v>1.0343</v>
      </c>
      <c r="T3" s="3147">
        <f t="shared" si="2"/>
        <v>1.0177</v>
      </c>
      <c r="U3" s="3147">
        <f t="shared" si="2"/>
        <v>1.0833999999999999</v>
      </c>
      <c r="V3" s="3147">
        <f t="shared" si="2"/>
        <v>1.0592999999999999</v>
      </c>
      <c r="W3" s="3146">
        <f>T3</f>
        <v>1.0177</v>
      </c>
      <c r="X3" s="3143"/>
      <c r="Y3" s="3148">
        <f>ROUND(AVERAGEIF(Y5:Y16,"&lt;&gt;0"),4)</f>
        <v>8.6999999999999994E-3</v>
      </c>
      <c r="Z3" s="3149">
        <f t="shared" ref="Z3:AC3" si="3">ROUND(AVERAGEIF(Z5:Z16,"&lt;&gt;0"),4)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3167" t="s">
        <v>3361</v>
      </c>
      <c r="B5" s="3168">
        <v>2023</v>
      </c>
      <c r="C5" s="3169">
        <v>4</v>
      </c>
      <c r="D5" s="3170">
        <v>0</v>
      </c>
      <c r="E5" s="3170">
        <v>0</v>
      </c>
      <c r="F5" s="3170">
        <v>0</v>
      </c>
      <c r="G5" s="3170">
        <v>0</v>
      </c>
      <c r="H5" s="3170">
        <v>0</v>
      </c>
      <c r="I5" s="3171">
        <f t="shared" ref="I5:I16" si="4">F5</f>
        <v>0</v>
      </c>
      <c r="J5" s="3172"/>
      <c r="K5" s="3173">
        <f t="shared" ref="K5:O16" si="5">D5/100</f>
        <v>0</v>
      </c>
      <c r="L5" s="3163">
        <f t="shared" si="5"/>
        <v>0</v>
      </c>
      <c r="M5" s="3163">
        <f t="shared" si="5"/>
        <v>0</v>
      </c>
      <c r="N5" s="3163">
        <f t="shared" si="5"/>
        <v>0</v>
      </c>
      <c r="O5" s="3163">
        <f t="shared" si="5"/>
        <v>0</v>
      </c>
      <c r="P5" s="3163">
        <f>M5</f>
        <v>0</v>
      </c>
      <c r="Q5" s="3172"/>
      <c r="R5" s="3174">
        <f>ROUND(IF(项目基本情况!$B$8="出让",SUMPRODUCT(PRODUCT(1+K5:$K$16)),SUMPRODUCT(PRODUCT(1+K5:$K$15))),4)</f>
        <v>1.0659000000000001</v>
      </c>
      <c r="S5" s="3174">
        <f>ROUND(IF(项目基本情况!$B$8="出让",SUMPRODUCT(PRODUCT(1+L5:$L$16)),SUMPRODUCT(PRODUCT(1+L5:$L$15))),4)</f>
        <v>1.0326</v>
      </c>
      <c r="T5" s="3174">
        <f>ROUND(IF(项目基本情况!$B$8="出让",SUMPRODUCT(PRODUCT(1+M5:$M$16)),SUMPRODUCT(PRODUCT(1+M5:$M$15))),4)</f>
        <v>1.0203</v>
      </c>
      <c r="U5" s="3174">
        <f>ROUND(IF(项目基本情况!$B$8="出让",SUMPRODUCT(PRODUCT(1+N5:$N$16)),SUMPRODUCT(PRODUCT(1+N5:$N$15))),4)</f>
        <v>1.0714999999999999</v>
      </c>
      <c r="V5" s="3174">
        <f>ROUND(IF(项目基本情况!$B$8="出让",SUMPRODUCT(PRODUCT(1+O5:$O$16)),SUMPRODUCT(PRODUCT(1+O5:$O$15))),4)</f>
        <v>1.0555000000000001</v>
      </c>
      <c r="W5" s="3174">
        <f>T5</f>
        <v>1.0203</v>
      </c>
      <c r="X5" s="3172"/>
      <c r="Y5" s="3175">
        <f>IF(D5=0,0,ROUND(AVERAGE(D5:D16)/100,4))</f>
        <v>0</v>
      </c>
      <c r="Z5" s="3175">
        <f t="shared" ref="Z5:AC5" si="6">IF(E5=0,0,ROUND(AVERAGE(E5:E16)/100,4))</f>
        <v>0</v>
      </c>
      <c r="AA5" s="3175">
        <f t="shared" si="6"/>
        <v>0</v>
      </c>
      <c r="AB5" s="3175">
        <f t="shared" si="6"/>
        <v>0</v>
      </c>
      <c r="AC5" s="3175">
        <f t="shared" si="6"/>
        <v>0</v>
      </c>
      <c r="AD5" s="3175">
        <f t="shared" ref="AD5:AD15" si="7">AA5</f>
        <v>0</v>
      </c>
    </row>
    <row r="6" spans="1:30" s="3176" customFormat="1" ht="12.75">
      <c r="A6" s="3167" t="s">
        <v>3362</v>
      </c>
      <c r="B6" s="3168">
        <v>2023</v>
      </c>
      <c r="C6" s="3169">
        <v>3</v>
      </c>
      <c r="D6" s="3170">
        <v>0</v>
      </c>
      <c r="E6" s="3170">
        <v>0</v>
      </c>
      <c r="F6" s="3170">
        <v>0</v>
      </c>
      <c r="G6" s="3170">
        <v>0</v>
      </c>
      <c r="H6" s="3170">
        <v>0</v>
      </c>
      <c r="I6" s="3171">
        <f t="shared" si="4"/>
        <v>0</v>
      </c>
      <c r="J6" s="3172"/>
      <c r="K6" s="3173">
        <f t="shared" ref="K6:K8" si="8">D6/100</f>
        <v>0</v>
      </c>
      <c r="L6" s="3163">
        <f t="shared" ref="L6:L8" si="9">E6/100</f>
        <v>0</v>
      </c>
      <c r="M6" s="3163">
        <f t="shared" ref="M6:M8" si="10">F6/100</f>
        <v>0</v>
      </c>
      <c r="N6" s="3163">
        <f t="shared" ref="N6:N8" si="11">G6/100</f>
        <v>0</v>
      </c>
      <c r="O6" s="3163">
        <f t="shared" ref="O6:O8" si="12">H6/100</f>
        <v>0</v>
      </c>
      <c r="P6" s="3163">
        <f t="shared" ref="P6:P8" si="13">M6</f>
        <v>0</v>
      </c>
      <c r="Q6" s="3172"/>
      <c r="R6" s="3174">
        <f>ROUND(IF(项目基本情况!$B$8="出让",SUMPRODUCT(PRODUCT(1+K6:$K$16)),SUMPRODUCT(PRODUCT(1+K6:$K$15))),4)</f>
        <v>1.0659000000000001</v>
      </c>
      <c r="S6" s="3174">
        <f>ROUND(IF(项目基本情况!$B$8="出让",SUMPRODUCT(PRODUCT(1+L6:$L$16)),SUMPRODUCT(PRODUCT(1+L6:$L$15))),4)</f>
        <v>1.0326</v>
      </c>
      <c r="T6" s="3174">
        <f>ROUND(IF(项目基本情况!$B$8="出让",SUMPRODUCT(PRODUCT(1+M6:$M$16)),SUMPRODUCT(PRODUCT(1+M6:$M$15))),4)</f>
        <v>1.0203</v>
      </c>
      <c r="U6" s="3174">
        <f>ROUND(IF(项目基本情况!$B$8="出让",SUMPRODUCT(PRODUCT(1+N6:$N$16)),SUMPRODUCT(PRODUCT(1+N6:$N$15))),4)</f>
        <v>1.0714999999999999</v>
      </c>
      <c r="V6" s="3174">
        <f>ROUND(IF(项目基本情况!$B$8="出让",SUMPRODUCT(PRODUCT(1+O6:$O$16)),SUMPRODUCT(PRODUCT(1+O6:$O$15))),4)</f>
        <v>1.0555000000000001</v>
      </c>
      <c r="W6" s="3174">
        <f t="shared" ref="W6:W8" si="14">T6</f>
        <v>1.0203</v>
      </c>
      <c r="X6" s="3172"/>
      <c r="Y6" s="3175"/>
      <c r="Z6" s="3175"/>
      <c r="AA6" s="3175"/>
      <c r="AB6" s="3175"/>
      <c r="AC6" s="3175"/>
      <c r="AD6" s="3175"/>
    </row>
    <row r="7" spans="1:30" s="3176" customFormat="1" ht="12.75">
      <c r="A7" s="3167" t="s">
        <v>3360</v>
      </c>
      <c r="B7" s="3168">
        <v>2023</v>
      </c>
      <c r="C7" s="3169">
        <v>2</v>
      </c>
      <c r="D7" s="3170">
        <v>0</v>
      </c>
      <c r="E7" s="3170">
        <v>0</v>
      </c>
      <c r="F7" s="3170">
        <v>0</v>
      </c>
      <c r="G7" s="3170">
        <v>0</v>
      </c>
      <c r="H7" s="3170">
        <v>0</v>
      </c>
      <c r="I7" s="3171">
        <f t="shared" si="4"/>
        <v>0</v>
      </c>
      <c r="J7" s="3172"/>
      <c r="K7" s="3173">
        <f t="shared" si="8"/>
        <v>0</v>
      </c>
      <c r="L7" s="3163">
        <f t="shared" si="9"/>
        <v>0</v>
      </c>
      <c r="M7" s="3163">
        <f t="shared" si="10"/>
        <v>0</v>
      </c>
      <c r="N7" s="3163">
        <f t="shared" si="11"/>
        <v>0</v>
      </c>
      <c r="O7" s="3163">
        <f t="shared" si="12"/>
        <v>0</v>
      </c>
      <c r="P7" s="3163">
        <f t="shared" si="13"/>
        <v>0</v>
      </c>
      <c r="Q7" s="3172"/>
      <c r="R7" s="3174">
        <f>ROUND(IF(项目基本情况!$B$8="出让",SUMPRODUCT(PRODUCT(1+K7:$K$16)),SUMPRODUCT(PRODUCT(1+K7:$K$15))),4)</f>
        <v>1.0659000000000001</v>
      </c>
      <c r="S7" s="3174">
        <f>ROUND(IF(项目基本情况!$B$8="出让",SUMPRODUCT(PRODUCT(1+L7:$L$16)),SUMPRODUCT(PRODUCT(1+L7:$L$15))),4)</f>
        <v>1.0326</v>
      </c>
      <c r="T7" s="3174">
        <f>ROUND(IF(项目基本情况!$B$8="出让",SUMPRODUCT(PRODUCT(1+M7:$M$16)),SUMPRODUCT(PRODUCT(1+M7:$M$15))),4)</f>
        <v>1.0203</v>
      </c>
      <c r="U7" s="3174">
        <f>ROUND(IF(项目基本情况!$B$8="出让",SUMPRODUCT(PRODUCT(1+N7:$N$16)),SUMPRODUCT(PRODUCT(1+N7:$N$15))),4)</f>
        <v>1.0714999999999999</v>
      </c>
      <c r="V7" s="3174">
        <f>ROUND(IF(项目基本情况!$B$8="出让",SUMPRODUCT(PRODUCT(1+O7:$O$16)),SUMPRODUCT(PRODUCT(1+O7:$O$15))),4)</f>
        <v>1.0555000000000001</v>
      </c>
      <c r="W7" s="3174">
        <f t="shared" si="14"/>
        <v>1.0203</v>
      </c>
      <c r="X7" s="3172"/>
      <c r="Y7" s="3175"/>
      <c r="Z7" s="3175"/>
      <c r="AA7" s="3175"/>
      <c r="AB7" s="3175"/>
      <c r="AC7" s="3175"/>
      <c r="AD7" s="3175"/>
    </row>
    <row r="8" spans="1:30" s="3186" customFormat="1" ht="12.75">
      <c r="A8" s="3177" t="s">
        <v>3363</v>
      </c>
      <c r="B8" s="3178">
        <v>2023</v>
      </c>
      <c r="C8" s="3179">
        <v>1</v>
      </c>
      <c r="D8" s="3180">
        <v>0.89</v>
      </c>
      <c r="E8" s="3180">
        <v>0.74</v>
      </c>
      <c r="F8" s="3180">
        <v>0.56999999999999995</v>
      </c>
      <c r="G8" s="3180">
        <v>0.92</v>
      </c>
      <c r="H8" s="3181">
        <v>0.5</v>
      </c>
      <c r="I8" s="3182">
        <f t="shared" si="4"/>
        <v>0.56999999999999995</v>
      </c>
      <c r="J8" s="3183"/>
      <c r="K8" s="3184">
        <f t="shared" si="8"/>
        <v>8.8999999999999999E-3</v>
      </c>
      <c r="L8" s="3185">
        <f t="shared" si="9"/>
        <v>7.4000000000000003E-3</v>
      </c>
      <c r="M8" s="3185">
        <f t="shared" si="10"/>
        <v>5.6999999999999993E-3</v>
      </c>
      <c r="N8" s="3185">
        <f t="shared" si="11"/>
        <v>9.1999999999999998E-3</v>
      </c>
      <c r="O8" s="3185">
        <f t="shared" si="12"/>
        <v>5.0000000000000001E-3</v>
      </c>
      <c r="P8" s="3185">
        <f t="shared" si="13"/>
        <v>5.6999999999999993E-3</v>
      </c>
      <c r="Q8" s="3183"/>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3"/>
      <c r="Y8" s="3185"/>
      <c r="Z8" s="3185"/>
      <c r="AA8" s="3185"/>
      <c r="AB8" s="3185"/>
      <c r="AC8" s="3185"/>
      <c r="AD8" s="3185"/>
    </row>
    <row r="9" spans="1:30" s="3176" customFormat="1" ht="12.75">
      <c r="A9" s="3167" t="s">
        <v>3364</v>
      </c>
      <c r="B9" s="3168">
        <v>2022</v>
      </c>
      <c r="C9" s="3169">
        <v>4</v>
      </c>
      <c r="D9" s="3170">
        <v>0.62</v>
      </c>
      <c r="E9" s="3170">
        <v>0.2</v>
      </c>
      <c r="F9" s="3170">
        <v>0.11</v>
      </c>
      <c r="G9" s="3170">
        <v>0.69</v>
      </c>
      <c r="H9" s="3187">
        <v>0.53</v>
      </c>
      <c r="I9" s="3171">
        <f t="shared" si="4"/>
        <v>0.11</v>
      </c>
      <c r="J9" s="3172"/>
      <c r="K9" s="3173">
        <f t="shared" si="5"/>
        <v>6.1999999999999998E-3</v>
      </c>
      <c r="L9" s="3163">
        <f t="shared" si="5"/>
        <v>2E-3</v>
      </c>
      <c r="M9" s="3163">
        <f t="shared" si="5"/>
        <v>1.1000000000000001E-3</v>
      </c>
      <c r="N9" s="3163">
        <f t="shared" si="5"/>
        <v>6.8999999999999999E-3</v>
      </c>
      <c r="O9" s="3163">
        <f t="shared" si="5"/>
        <v>5.3E-3</v>
      </c>
      <c r="P9" s="3163">
        <f t="shared" ref="P9:P16" si="15">M9</f>
        <v>1.1000000000000001E-3</v>
      </c>
      <c r="Q9" s="3172"/>
      <c r="R9" s="3174">
        <f>ROUND(IF([2]项目基本情况!B8="出让",SUMPRODUCT(PRODUCT(1+K9:K16)),SUMPRODUCT(PRODUCT(1+K9:K15))),4)</f>
        <v>1.0565</v>
      </c>
      <c r="S9" s="3174">
        <f>ROUND(IF([2]项目基本情况!B8="出让",SUMPRODUCT(PRODUCT(1+L9:L16)),SUMPRODUCT(PRODUCT(1+L9:L15))),4)</f>
        <v>1.0250999999999999</v>
      </c>
      <c r="T9" s="3174">
        <f>ROUND(IF([2]项目基本情况!B8="出让",SUMPRODUCT(PRODUCT(1+M9:M16)),SUMPRODUCT(PRODUCT(1+M9:M15))),4)</f>
        <v>1.0145</v>
      </c>
      <c r="U9" s="3174">
        <f>ROUND(IF([2]项目基本情况!B8="出让",SUMPRODUCT(PRODUCT(1+N9:N16)),SUMPRODUCT(PRODUCT(1+N9:N15))),4)</f>
        <v>1.0618000000000001</v>
      </c>
      <c r="V9" s="3174">
        <f>ROUND(IF([2]项目基本情况!B8="出让",SUMPRODUCT(PRODUCT(1+O9:O16)),SUMPRODUCT(PRODUCT(1+O9:O15))),4)</f>
        <v>1.0502</v>
      </c>
      <c r="W9" s="3174">
        <f t="shared" ref="W9:W16" si="16">T9</f>
        <v>1.0145</v>
      </c>
      <c r="X9" s="3172"/>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76" customFormat="1" ht="12.75">
      <c r="A10" s="3167" t="s">
        <v>3356</v>
      </c>
      <c r="B10" s="3168">
        <v>2022</v>
      </c>
      <c r="C10" s="3169">
        <v>3</v>
      </c>
      <c r="D10" s="3170">
        <v>0.66</v>
      </c>
      <c r="E10" s="3170">
        <v>0.32</v>
      </c>
      <c r="F10" s="3170">
        <v>0.23</v>
      </c>
      <c r="G10" s="3170">
        <v>0.72</v>
      </c>
      <c r="H10" s="3187">
        <v>0.63</v>
      </c>
      <c r="I10" s="3171">
        <f t="shared" si="4"/>
        <v>0.23</v>
      </c>
      <c r="J10" s="3172"/>
      <c r="K10" s="3173">
        <f t="shared" si="5"/>
        <v>6.6E-3</v>
      </c>
      <c r="L10" s="3163">
        <f t="shared" si="5"/>
        <v>3.2000000000000002E-3</v>
      </c>
      <c r="M10" s="3163">
        <f t="shared" si="5"/>
        <v>2.3E-3</v>
      </c>
      <c r="N10" s="3163">
        <f t="shared" si="5"/>
        <v>7.1999999999999998E-3</v>
      </c>
      <c r="O10" s="3163">
        <f t="shared" si="5"/>
        <v>6.3E-3</v>
      </c>
      <c r="P10" s="3163">
        <f t="shared" si="15"/>
        <v>2.3E-3</v>
      </c>
      <c r="Q10" s="3172"/>
      <c r="R10" s="3174">
        <f>ROUND(IF([2]项目基本情况!B8="出让",SUMPRODUCT(PRODUCT(1+K10:K16)),SUMPRODUCT(PRODUCT(1+K10:K15))),4)</f>
        <v>1.05</v>
      </c>
      <c r="S10" s="3174">
        <f>ROUND(IF([2]项目基本情况!B8="出让",SUMPRODUCT(PRODUCT(1+L10:L16)),SUMPRODUCT(PRODUCT(1+L10:L15))),4)</f>
        <v>1.0229999999999999</v>
      </c>
      <c r="T10" s="3174">
        <f>ROUND(IF([2]项目基本情况!B8="出让",SUMPRODUCT(PRODUCT(1+M10:M16)),SUMPRODUCT(PRODUCT(1+M10:M15))),4)</f>
        <v>1.0134000000000001</v>
      </c>
      <c r="U10" s="3174">
        <f>ROUND(IF([2]项目基本情况!B8="出让",SUMPRODUCT(PRODUCT(1+N10:N16)),SUMPRODUCT(PRODUCT(1+N10:N15))),4)</f>
        <v>1.0545</v>
      </c>
      <c r="V10" s="3174">
        <f>ROUND(IF([2]项目基本情况!B8="出让",SUMPRODUCT(PRODUCT(1+O10:O16)),SUMPRODUCT(PRODUCT(1+O10:O15))),4)</f>
        <v>1.0447</v>
      </c>
      <c r="W10" s="3174">
        <f t="shared" si="16"/>
        <v>1.0134000000000001</v>
      </c>
      <c r="X10" s="3172"/>
      <c r="Y10" s="3175">
        <f>IF(D10=0,0,ROUND(AVERAGE(D10:D16)/100,4))</f>
        <v>8.3999999999999995E-3</v>
      </c>
      <c r="Z10" s="3175">
        <f t="shared" ref="Z10:AC10" si="18">IF(E10=0,0,ROUND(AVERAGE(E10:E16)/100,4))</f>
        <v>3.5000000000000001E-3</v>
      </c>
      <c r="AA10" s="3175">
        <f t="shared" si="18"/>
        <v>1.5E-3</v>
      </c>
      <c r="AB10" s="3175">
        <f t="shared" si="18"/>
        <v>9.1999999999999998E-3</v>
      </c>
      <c r="AC10" s="3175">
        <f t="shared" si="18"/>
        <v>6.7999999999999996E-3</v>
      </c>
      <c r="AD10" s="3175">
        <f t="shared" si="7"/>
        <v>1.5E-3</v>
      </c>
    </row>
    <row r="11" spans="1:30" s="3176" customFormat="1" ht="12.75">
      <c r="A11" s="3167" t="s">
        <v>3347</v>
      </c>
      <c r="B11" s="3168">
        <v>2022</v>
      </c>
      <c r="C11" s="3169">
        <v>2</v>
      </c>
      <c r="D11" s="3170">
        <v>0.93</v>
      </c>
      <c r="E11" s="3170">
        <v>0.15</v>
      </c>
      <c r="F11" s="3170">
        <v>0.01</v>
      </c>
      <c r="G11" s="3170">
        <v>1.05</v>
      </c>
      <c r="H11" s="3187">
        <v>1.08</v>
      </c>
      <c r="I11" s="3171">
        <f t="shared" si="4"/>
        <v>0.01</v>
      </c>
      <c r="J11" s="3172"/>
      <c r="K11" s="3173">
        <f t="shared" si="5"/>
        <v>9.300000000000001E-3</v>
      </c>
      <c r="L11" s="3163">
        <f t="shared" si="5"/>
        <v>1.5E-3</v>
      </c>
      <c r="M11" s="3163">
        <f t="shared" si="5"/>
        <v>1E-4</v>
      </c>
      <c r="N11" s="3163">
        <f t="shared" si="5"/>
        <v>1.0500000000000001E-2</v>
      </c>
      <c r="O11" s="3163">
        <f t="shared" si="5"/>
        <v>1.0800000000000001E-2</v>
      </c>
      <c r="P11" s="3163">
        <f t="shared" si="15"/>
        <v>1E-4</v>
      </c>
      <c r="Q11" s="3172"/>
      <c r="R11" s="3174">
        <f>ROUND(IF([2]项目基本情况!B8="出让",SUMPRODUCT(PRODUCT(1+K11:K16)),SUMPRODUCT(PRODUCT(1+K11:K15))),4)</f>
        <v>1.0430999999999999</v>
      </c>
      <c r="S11" s="3174">
        <f>ROUND(IF([2]项目基本情况!B8="出让",SUMPRODUCT(PRODUCT(1+L11:L16)),SUMPRODUCT(PRODUCT(1+L11:L15))),4)</f>
        <v>1.0197000000000001</v>
      </c>
      <c r="T11" s="3174">
        <f>ROUND(IF([2]项目基本情况!B8="出让",SUMPRODUCT(PRODUCT(1+M11:M16)),SUMPRODUCT(PRODUCT(1+M11:M15))),4)</f>
        <v>1.0109999999999999</v>
      </c>
      <c r="U11" s="3174">
        <f>ROUND(IF([2]项目基本情况!B8="出让",SUMPRODUCT(PRODUCT(1+N11:N16)),SUMPRODUCT(PRODUCT(1+N11:N15))),4)</f>
        <v>1.0468999999999999</v>
      </c>
      <c r="V11" s="3174">
        <f>ROUND(IF([2]项目基本情况!B8="出让",SUMPRODUCT(PRODUCT(1+O11:O16)),SUMPRODUCT(PRODUCT(1+O11:O15))),4)</f>
        <v>1.0382</v>
      </c>
      <c r="W11" s="3174">
        <f t="shared" si="16"/>
        <v>1.0109999999999999</v>
      </c>
      <c r="X11" s="3172"/>
      <c r="Y11" s="3175">
        <f>IF(D11=0,0,ROUND(AVERAGE(D11:D16)/100,4))</f>
        <v>8.6999999999999994E-3</v>
      </c>
      <c r="Z11" s="3175">
        <f t="shared" ref="Z11:AC11" si="19">IF(E11=0,0,ROUND(AVERAGE(E11:E16)/100,4))</f>
        <v>3.5000000000000001E-3</v>
      </c>
      <c r="AA11" s="3175">
        <f t="shared" si="19"/>
        <v>1.4E-3</v>
      </c>
      <c r="AB11" s="3175">
        <f t="shared" si="19"/>
        <v>9.4999999999999998E-3</v>
      </c>
      <c r="AC11" s="3175">
        <f t="shared" si="19"/>
        <v>6.8999999999999999E-3</v>
      </c>
      <c r="AD11" s="3175">
        <f t="shared" si="7"/>
        <v>1.4E-3</v>
      </c>
    </row>
    <row r="12" spans="1:30" s="3176" customFormat="1" ht="12.75">
      <c r="A12" s="3167" t="s">
        <v>2811</v>
      </c>
      <c r="B12" s="3168">
        <v>2022</v>
      </c>
      <c r="C12" s="3169">
        <v>1</v>
      </c>
      <c r="D12" s="3170">
        <v>0.89</v>
      </c>
      <c r="E12" s="3170">
        <v>0.44</v>
      </c>
      <c r="F12" s="3170">
        <v>0.37</v>
      </c>
      <c r="G12" s="3170">
        <v>0.96</v>
      </c>
      <c r="H12" s="3187">
        <v>0.64</v>
      </c>
      <c r="I12" s="3171">
        <f t="shared" si="4"/>
        <v>0.37</v>
      </c>
      <c r="J12" s="3172"/>
      <c r="K12" s="3173">
        <f t="shared" si="5"/>
        <v>8.8999999999999999E-3</v>
      </c>
      <c r="L12" s="3163">
        <f t="shared" si="5"/>
        <v>4.4000000000000003E-3</v>
      </c>
      <c r="M12" s="3163">
        <f t="shared" si="5"/>
        <v>3.7000000000000002E-3</v>
      </c>
      <c r="N12" s="3163">
        <f t="shared" si="5"/>
        <v>9.5999999999999992E-3</v>
      </c>
      <c r="O12" s="3163">
        <f t="shared" si="5"/>
        <v>6.4000000000000003E-3</v>
      </c>
      <c r="P12" s="3163">
        <f t="shared" si="15"/>
        <v>3.7000000000000002E-3</v>
      </c>
      <c r="Q12" s="3172"/>
      <c r="R12" s="3174">
        <f>ROUND(IF([2]项目基本情况!B8="出让",SUMPRODUCT(PRODUCT(1+K12:K16)),SUMPRODUCT(PRODUCT(1+K12:K15))),4)</f>
        <v>1.0335000000000001</v>
      </c>
      <c r="S12" s="3174">
        <f>ROUND(IF([2]项目基本情况!B8="出让",SUMPRODUCT(PRODUCT(1+L12:L16)),SUMPRODUCT(PRODUCT(1+L12:L15))),4)</f>
        <v>1.0182</v>
      </c>
      <c r="T12" s="3174">
        <f>ROUND(IF([2]项目基本情况!B8="出让",SUMPRODUCT(PRODUCT(1+M12:M16)),SUMPRODUCT(PRODUCT(1+M12:M15))),4)</f>
        <v>1.0108999999999999</v>
      </c>
      <c r="U12" s="3174">
        <f>ROUND(IF([2]项目基本情况!B8="出让",SUMPRODUCT(PRODUCT(1+N12:N16)),SUMPRODUCT(PRODUCT(1+N12:N15))),4)</f>
        <v>1.0361</v>
      </c>
      <c r="V12" s="3174">
        <f>ROUND(IF([2]项目基本情况!B8="出让",SUMPRODUCT(PRODUCT(1+O12:O16)),SUMPRODUCT(PRODUCT(1+O12:O15))),4)</f>
        <v>1.0270999999999999</v>
      </c>
      <c r="W12" s="3174">
        <f t="shared" si="16"/>
        <v>1.0108999999999999</v>
      </c>
      <c r="X12" s="3172"/>
      <c r="Y12" s="3175">
        <f>IF(D12=0,0,ROUND(AVERAGE(D12:D16)/100,4))</f>
        <v>8.6E-3</v>
      </c>
      <c r="Z12" s="3175">
        <f t="shared" ref="Z12:AC12" si="20">IF(E12=0,0,ROUND(AVERAGE(E12:E16)/100,4))</f>
        <v>3.8999999999999998E-3</v>
      </c>
      <c r="AA12" s="3175">
        <f t="shared" si="20"/>
        <v>1.6999999999999999E-3</v>
      </c>
      <c r="AB12" s="3175">
        <f t="shared" si="20"/>
        <v>9.2999999999999992E-3</v>
      </c>
      <c r="AC12" s="3175">
        <f t="shared" si="20"/>
        <v>6.1000000000000004E-3</v>
      </c>
      <c r="AD12" s="3175">
        <f t="shared" si="7"/>
        <v>1.6999999999999999E-3</v>
      </c>
    </row>
    <row r="13" spans="1:30" s="3176" customFormat="1" ht="12.75">
      <c r="A13" s="3167" t="s">
        <v>2812</v>
      </c>
      <c r="B13" s="3168">
        <v>2021</v>
      </c>
      <c r="C13" s="3169">
        <v>4</v>
      </c>
      <c r="D13" s="3170">
        <v>1.03</v>
      </c>
      <c r="E13" s="3170">
        <v>0.24</v>
      </c>
      <c r="F13" s="3170">
        <v>7.0000000000000007E-2</v>
      </c>
      <c r="G13" s="3170">
        <v>1.17</v>
      </c>
      <c r="H13" s="3187">
        <v>0.55000000000000004</v>
      </c>
      <c r="I13" s="3171">
        <f t="shared" si="4"/>
        <v>7.0000000000000007E-2</v>
      </c>
      <c r="J13" s="3172"/>
      <c r="K13" s="3173">
        <f t="shared" si="5"/>
        <v>1.03E-2</v>
      </c>
      <c r="L13" s="3163">
        <f t="shared" si="5"/>
        <v>2.3999999999999998E-3</v>
      </c>
      <c r="M13" s="3163">
        <f t="shared" si="5"/>
        <v>7.000000000000001E-4</v>
      </c>
      <c r="N13" s="3163">
        <f t="shared" si="5"/>
        <v>1.1699999999999999E-2</v>
      </c>
      <c r="O13" s="3163">
        <f t="shared" si="5"/>
        <v>5.5000000000000005E-3</v>
      </c>
      <c r="P13" s="3163">
        <f t="shared" si="15"/>
        <v>7.000000000000001E-4</v>
      </c>
      <c r="Q13" s="3172"/>
      <c r="R13" s="3174">
        <f>ROUND(IF([2]项目基本情况!B8="出让",SUMPRODUCT(PRODUCT(1+K13:K16)),SUMPRODUCT(PRODUCT(1+K13:K15))),4)</f>
        <v>1.0244</v>
      </c>
      <c r="S13" s="3174">
        <f>ROUND(IF([2]项目基本情况!B8="出让",SUMPRODUCT(PRODUCT(1+L13:L16)),SUMPRODUCT(PRODUCT(1+L13:L15))),4)</f>
        <v>1.0138</v>
      </c>
      <c r="T13" s="3174">
        <f>ROUND(IF([2]项目基本情况!B8="出让",SUMPRODUCT(PRODUCT(1+M13:M16)),SUMPRODUCT(PRODUCT(1+M13:M15))),4)</f>
        <v>1.0072000000000001</v>
      </c>
      <c r="U13" s="3174">
        <f>ROUND(IF([2]项目基本情况!B8="出让",SUMPRODUCT(PRODUCT(1+N13:N16)),SUMPRODUCT(PRODUCT(1+N13:N15))),4)</f>
        <v>1.0262</v>
      </c>
      <c r="V13" s="3174">
        <f>ROUND(IF([2]项目基本情况!B8="出让",SUMPRODUCT(PRODUCT(1+O13:O16)),SUMPRODUCT(PRODUCT(1+O13:O15))),4)</f>
        <v>1.0205</v>
      </c>
      <c r="W13" s="3174">
        <f t="shared" si="16"/>
        <v>1.0072000000000001</v>
      </c>
      <c r="X13" s="3172"/>
      <c r="Y13" s="3175">
        <f>IF(D13=0,0,ROUND(AVERAGE(D13:D16)/100,4))</f>
        <v>8.5000000000000006E-3</v>
      </c>
      <c r="Z13" s="3175">
        <f t="shared" ref="Z13:AC13" si="21">IF(E13=0,0,ROUND(AVERAGE(E13:E16)/100,4))</f>
        <v>3.8E-3</v>
      </c>
      <c r="AA13" s="3175">
        <f t="shared" si="21"/>
        <v>1.1999999999999999E-3</v>
      </c>
      <c r="AB13" s="3175">
        <f t="shared" si="21"/>
        <v>9.2999999999999992E-3</v>
      </c>
      <c r="AC13" s="3175">
        <f t="shared" si="21"/>
        <v>6.0000000000000001E-3</v>
      </c>
      <c r="AD13" s="3175">
        <f t="shared" si="7"/>
        <v>1.1999999999999999E-3</v>
      </c>
    </row>
    <row r="14" spans="1:30" s="3176" customFormat="1" ht="12.75">
      <c r="A14" s="3167" t="s">
        <v>2813</v>
      </c>
      <c r="B14" s="3168">
        <v>2021</v>
      </c>
      <c r="C14" s="3169">
        <v>3</v>
      </c>
      <c r="D14" s="3170">
        <v>0.47</v>
      </c>
      <c r="E14" s="3170">
        <v>0.41</v>
      </c>
      <c r="F14" s="3170">
        <v>0.24</v>
      </c>
      <c r="G14" s="3170">
        <v>0.48</v>
      </c>
      <c r="H14" s="3187">
        <v>0.48</v>
      </c>
      <c r="I14" s="3171">
        <f t="shared" si="4"/>
        <v>0.24</v>
      </c>
      <c r="J14" s="3172"/>
      <c r="K14" s="3173">
        <f t="shared" si="5"/>
        <v>4.6999999999999993E-3</v>
      </c>
      <c r="L14" s="3163">
        <f t="shared" si="5"/>
        <v>4.0999999999999995E-3</v>
      </c>
      <c r="M14" s="3163">
        <f t="shared" si="5"/>
        <v>2.3999999999999998E-3</v>
      </c>
      <c r="N14" s="3163">
        <f t="shared" si="5"/>
        <v>4.7999999999999996E-3</v>
      </c>
      <c r="O14" s="3163">
        <f t="shared" si="5"/>
        <v>4.7999999999999996E-3</v>
      </c>
      <c r="P14" s="3163">
        <f t="shared" si="15"/>
        <v>2.3999999999999998E-3</v>
      </c>
      <c r="Q14" s="3172"/>
      <c r="R14" s="3174">
        <f>ROUND(IF([2]项目基本情况!B8="出让",SUMPRODUCT(PRODUCT(1+K14:K16)),SUMPRODUCT(PRODUCT(1+K14:K15))),4)</f>
        <v>1.0139</v>
      </c>
      <c r="S14" s="3174">
        <f>ROUND(IF([2]项目基本情况!B8="出让",SUMPRODUCT(PRODUCT(1+L14:L16)),SUMPRODUCT(PRODUCT(1+L14:L15))),4)</f>
        <v>1.0113000000000001</v>
      </c>
      <c r="T14" s="3174">
        <f>ROUND(IF([2]项目基本情况!B8="出让",SUMPRODUCT(PRODUCT(1+M14:M16)),SUMPRODUCT(PRODUCT(1+M14:M15))),4)</f>
        <v>1.0065</v>
      </c>
      <c r="U14" s="3174">
        <f>ROUND(IF([2]项目基本情况!B8="出让",SUMPRODUCT(PRODUCT(1+N14:N16)),SUMPRODUCT(PRODUCT(1+N14:N15))),4)</f>
        <v>1.0143</v>
      </c>
      <c r="V14" s="3174">
        <f>ROUND(IF([2]项目基本情况!B8="出让",SUMPRODUCT(PRODUCT(1+O14:O16)),SUMPRODUCT(PRODUCT(1+O14:O15))),4)</f>
        <v>1.0148999999999999</v>
      </c>
      <c r="W14" s="3174">
        <f t="shared" si="16"/>
        <v>1.0065</v>
      </c>
      <c r="X14" s="3172"/>
      <c r="Y14" s="3175">
        <f>IF(D14=0,0,ROUND(AVERAGE(D14:D16)/100,4))</f>
        <v>7.9000000000000008E-3</v>
      </c>
      <c r="Z14" s="3175">
        <f>IF(E14=0,0,ROUND(AVERAGE(E14:E16)/100,4))</f>
        <v>4.3E-3</v>
      </c>
      <c r="AA14" s="3175">
        <f>IF(F14=0,0,ROUND(AVERAGE(F14:F16)/100,4))</f>
        <v>1.2999999999999999E-3</v>
      </c>
      <c r="AB14" s="3175">
        <f>IF(G14=0,0,ROUND(AVERAGE(G14:G16)/100,4))</f>
        <v>8.5000000000000006E-3</v>
      </c>
      <c r="AC14" s="3175">
        <f>IF(H14=0,0,ROUND(AVERAGE(H14:H16)/100,4))</f>
        <v>6.1999999999999998E-3</v>
      </c>
      <c r="AD14" s="3175">
        <f t="shared" si="7"/>
        <v>1.2999999999999999E-3</v>
      </c>
    </row>
    <row r="15" spans="1:30" s="3176" customFormat="1" ht="12.75">
      <c r="A15" s="3167" t="s">
        <v>2814</v>
      </c>
      <c r="B15" s="3168">
        <v>2021</v>
      </c>
      <c r="C15" s="3169">
        <v>2</v>
      </c>
      <c r="D15" s="3170">
        <v>0.92</v>
      </c>
      <c r="E15" s="3170">
        <v>0.72</v>
      </c>
      <c r="F15" s="3170">
        <v>0.41</v>
      </c>
      <c r="G15" s="3170">
        <v>0.95</v>
      </c>
      <c r="H15" s="3187">
        <v>1.01</v>
      </c>
      <c r="I15" s="3171">
        <f t="shared" si="4"/>
        <v>0.41</v>
      </c>
      <c r="J15" s="3172"/>
      <c r="K15" s="3173">
        <f t="shared" si="5"/>
        <v>9.1999999999999998E-3</v>
      </c>
      <c r="L15" s="3163">
        <f t="shared" si="5"/>
        <v>7.1999999999999998E-3</v>
      </c>
      <c r="M15" s="3163">
        <f t="shared" si="5"/>
        <v>4.0999999999999995E-3</v>
      </c>
      <c r="N15" s="3163">
        <f t="shared" si="5"/>
        <v>9.4999999999999998E-3</v>
      </c>
      <c r="O15" s="3163">
        <f t="shared" si="5"/>
        <v>1.01E-2</v>
      </c>
      <c r="P15" s="3163">
        <f t="shared" si="15"/>
        <v>4.0999999999999995E-3</v>
      </c>
      <c r="Q15" s="3172"/>
      <c r="R15" s="3174">
        <f>ROUND(IF([2]项目基本情况!B8="出让",SUMPRODUCT(PRODUCT(1+K15:K16)),SUMPRODUCT(PRODUCT(1+K15:K15))),4)</f>
        <v>1.0092000000000001</v>
      </c>
      <c r="S15" s="3174">
        <f>ROUND(IF([2]项目基本情况!B8="出让",SUMPRODUCT(PRODUCT(1+L15:L16)),SUMPRODUCT(PRODUCT(1+L15:L15))),4)</f>
        <v>1.0072000000000001</v>
      </c>
      <c r="T15" s="3174">
        <f>ROUND(IF([2]项目基本情况!B8="出让",SUMPRODUCT(PRODUCT(1+M15:M16)),SUMPRODUCT(PRODUCT(1+M15:M15))),4)</f>
        <v>1.0041</v>
      </c>
      <c r="U15" s="3174">
        <f>ROUND(IF([2]项目基本情况!B8="出让",SUMPRODUCT(PRODUCT(1+N15:N16)),SUMPRODUCT(PRODUCT(1+N15:N15))),4)</f>
        <v>1.0095000000000001</v>
      </c>
      <c r="V15" s="3174">
        <f>ROUND(IF([2]项目基本情况!B8="出让",SUMPRODUCT(PRODUCT(1+O15:O16)),SUMPRODUCT(PRODUCT(1+O15:O15))),4)</f>
        <v>1.0101</v>
      </c>
      <c r="W15" s="3174">
        <f t="shared" si="16"/>
        <v>1.0041</v>
      </c>
      <c r="X15" s="3172"/>
      <c r="Y15" s="3175">
        <f>IF(D15=0,0,ROUND(AVERAGE(D15:D16)/100,4))</f>
        <v>9.4999999999999998E-3</v>
      </c>
      <c r="Z15" s="3175">
        <f>IF(E15=0,0,ROUND(AVERAGE(E15:E16)/100,4))</f>
        <v>4.4000000000000003E-3</v>
      </c>
      <c r="AA15" s="3175">
        <f>IF(F15=0,0,ROUND(AVERAGE(F15:F16)/100,4))</f>
        <v>8.0000000000000004E-4</v>
      </c>
      <c r="AB15" s="3175">
        <f>IF(G15=0,0,ROUND(AVERAGE(G15:G16)/100,4))</f>
        <v>1.03E-2</v>
      </c>
      <c r="AC15" s="3175">
        <f>IF(H15=0,0,ROUND(AVERAGE(H15:H16)/100,4))</f>
        <v>6.8999999999999999E-3</v>
      </c>
      <c r="AD15" s="3175">
        <f t="shared" si="7"/>
        <v>8.0000000000000004E-4</v>
      </c>
    </row>
    <row r="16" spans="1:30" s="3198" customFormat="1" thickBot="1">
      <c r="A16" s="3188" t="s">
        <v>2815</v>
      </c>
      <c r="B16" s="3189">
        <v>2021</v>
      </c>
      <c r="C16" s="3190">
        <v>1</v>
      </c>
      <c r="D16" s="3191">
        <v>0.97</v>
      </c>
      <c r="E16" s="3191">
        <v>0.16</v>
      </c>
      <c r="F16" s="3191">
        <v>-0.25</v>
      </c>
      <c r="G16" s="3191">
        <v>1.1100000000000001</v>
      </c>
      <c r="H16" s="3192">
        <v>0.36</v>
      </c>
      <c r="I16" s="3193">
        <f t="shared" si="4"/>
        <v>-0.25</v>
      </c>
      <c r="J16" s="3194"/>
      <c r="K16" s="3195">
        <f t="shared" si="5"/>
        <v>9.7000000000000003E-3</v>
      </c>
      <c r="L16" s="3196">
        <f t="shared" si="5"/>
        <v>1.6000000000000001E-3</v>
      </c>
      <c r="M16" s="3196">
        <f>F16/100</f>
        <v>-2.5000000000000001E-3</v>
      </c>
      <c r="N16" s="3196">
        <f t="shared" si="5"/>
        <v>1.11E-2</v>
      </c>
      <c r="O16" s="3196">
        <f t="shared" si="5"/>
        <v>3.5999999999999999E-3</v>
      </c>
      <c r="P16" s="3196">
        <f t="shared" si="15"/>
        <v>-2.5000000000000001E-3</v>
      </c>
      <c r="Q16" s="3194"/>
      <c r="R16" s="3197">
        <v>1</v>
      </c>
      <c r="S16" s="3197">
        <v>1</v>
      </c>
      <c r="T16" s="3197">
        <v>1</v>
      </c>
      <c r="U16" s="3197">
        <v>1</v>
      </c>
      <c r="V16" s="3197">
        <v>1</v>
      </c>
      <c r="W16" s="3197">
        <f t="shared" si="16"/>
        <v>1</v>
      </c>
      <c r="X16" s="3194"/>
      <c r="Y16" s="3196">
        <f>IF(D16=0,0,ROUND(AVERAGE(D16:D16)/100,4))</f>
        <v>9.7000000000000003E-3</v>
      </c>
      <c r="Z16" s="3196">
        <f>IF(E16=0,0,ROUND(AVERAGE(E16:E16)/100,4))</f>
        <v>1.6000000000000001E-3</v>
      </c>
      <c r="AA16" s="3196">
        <f>IF(F16=0,0,ROUND(AVERAGE(F16:F16)/100,4))</f>
        <v>-2.5000000000000001E-3</v>
      </c>
      <c r="AB16" s="3196">
        <f>IF(G16=0,0,ROUND(AVERAGE(G16:G16)/100,4))</f>
        <v>1.11E-2</v>
      </c>
      <c r="AC16" s="3196">
        <f>IF(H16=0,0,ROUND(AVERAGE(H16:H16)/100,4))</f>
        <v>3.5999999999999999E-3</v>
      </c>
      <c r="AD16" s="3196">
        <f>AA16</f>
        <v>-2.5000000000000001E-3</v>
      </c>
    </row>
    <row r="17" spans="1:30" s="3000" customFormat="1" ht="14.25" thickTop="1"/>
    <row r="18" spans="1:30" s="3000" customFormat="1">
      <c r="A18" s="3439" t="s">
        <v>3358</v>
      </c>
    </row>
    <row r="19" spans="1:30" s="3000" customFormat="1">
      <c r="I19" s="3199" t="s">
        <v>2816</v>
      </c>
    </row>
    <row r="20" spans="1:30" s="3000" customFormat="1"/>
    <row r="21" spans="1:30" s="3200" customFormat="1" ht="12.75">
      <c r="B21" s="3201" t="s">
        <v>2817</v>
      </c>
      <c r="C21" s="3202"/>
      <c r="D21" s="3202"/>
      <c r="E21" s="3202"/>
      <c r="F21" s="3202"/>
      <c r="G21" s="3202"/>
      <c r="H21" s="3202"/>
      <c r="I21" s="3202"/>
      <c r="J21" s="3156"/>
      <c r="K21" s="3202" t="s">
        <v>2818</v>
      </c>
      <c r="L21" s="3202"/>
      <c r="M21" s="3202"/>
      <c r="N21" s="3202"/>
      <c r="O21" s="3202"/>
      <c r="P21" s="3202"/>
      <c r="Q21" s="3156"/>
      <c r="R21" s="3798" t="s">
        <v>2819</v>
      </c>
      <c r="S21" s="3799"/>
      <c r="T21" s="3799"/>
      <c r="U21" s="3799"/>
      <c r="V21" s="3799"/>
      <c r="W21" s="3799"/>
      <c r="X21" s="3156"/>
      <c r="Y21" s="3798" t="s">
        <v>2820</v>
      </c>
      <c r="Z21" s="3799"/>
      <c r="AA21" s="3799"/>
      <c r="AB21" s="3799"/>
      <c r="AC21" s="3799"/>
      <c r="AD21" s="3799"/>
    </row>
    <row r="22" spans="1:30" s="3134" customFormat="1" ht="14.25" thickBot="1">
      <c r="B22" s="3135"/>
      <c r="C22" s="3136"/>
      <c r="D22" s="3137" t="s">
        <v>2821</v>
      </c>
      <c r="E22" s="3138" t="s">
        <v>2822</v>
      </c>
      <c r="F22" s="3138" t="s">
        <v>2823</v>
      </c>
      <c r="G22" s="3138" t="s">
        <v>2824</v>
      </c>
      <c r="H22" s="3138"/>
      <c r="I22" s="3138" t="s">
        <v>2825</v>
      </c>
      <c r="J22" s="3139"/>
      <c r="K22" s="3137" t="s">
        <v>2821</v>
      </c>
      <c r="L22" s="3138" t="s">
        <v>2822</v>
      </c>
      <c r="M22" s="3138" t="s">
        <v>2823</v>
      </c>
      <c r="N22" s="3138" t="s">
        <v>2824</v>
      </c>
      <c r="O22" s="3138"/>
      <c r="P22" s="3138" t="s">
        <v>2825</v>
      </c>
      <c r="Q22" s="3139"/>
      <c r="R22" s="3137" t="s">
        <v>2821</v>
      </c>
      <c r="S22" s="3138" t="s">
        <v>2822</v>
      </c>
      <c r="T22" s="3138" t="s">
        <v>2823</v>
      </c>
      <c r="U22" s="3138" t="s">
        <v>2824</v>
      </c>
      <c r="V22" s="3138"/>
      <c r="W22" s="3138" t="s">
        <v>2825</v>
      </c>
      <c r="X22" s="3139"/>
      <c r="Y22" s="3137" t="s">
        <v>2821</v>
      </c>
      <c r="Z22" s="3138" t="s">
        <v>2822</v>
      </c>
      <c r="AA22" s="3138" t="s">
        <v>2823</v>
      </c>
      <c r="AB22" s="3138" t="s">
        <v>2824</v>
      </c>
      <c r="AC22" s="3138"/>
      <c r="AD22" s="3138" t="s">
        <v>2825</v>
      </c>
    </row>
    <row r="23" spans="1:30" s="3152" customFormat="1" ht="12.75">
      <c r="A23" s="3140" t="s">
        <v>2826</v>
      </c>
      <c r="B23" s="3141"/>
      <c r="C23" s="3142"/>
      <c r="D23" s="3142"/>
      <c r="E23" s="3142">
        <f t="shared" ref="E23:G23" si="22">ROUND(AVERAGEIF(E24:E36,"&lt;&gt;0"),2)</f>
        <v>0.42</v>
      </c>
      <c r="F23" s="3142">
        <f t="shared" si="22"/>
        <v>0.3</v>
      </c>
      <c r="G23" s="3142">
        <f t="shared" si="22"/>
        <v>0.73</v>
      </c>
      <c r="H23" s="3142"/>
      <c r="I23" s="3142">
        <f>F23</f>
        <v>0.3</v>
      </c>
      <c r="J23" s="3143"/>
      <c r="K23" s="3144"/>
      <c r="L23" s="3145">
        <f t="shared" ref="L23:N23" si="23">ROUND(AVERAGEIF(L24:L36,"&lt;&gt;0"),4)</f>
        <v>4.1999999999999997E-3</v>
      </c>
      <c r="M23" s="3145">
        <f t="shared" si="23"/>
        <v>3.0000000000000001E-3</v>
      </c>
      <c r="N23" s="3145">
        <f t="shared" si="23"/>
        <v>7.3000000000000001E-3</v>
      </c>
      <c r="O23" s="3145"/>
      <c r="P23" s="3145">
        <f>M23</f>
        <v>3.0000000000000001E-3</v>
      </c>
      <c r="Q23" s="3143"/>
      <c r="R23" s="3146"/>
      <c r="S23" s="3147">
        <f>ROUND(SUMPRODUCT(PRODUCT(1+L24:L36)),4)</f>
        <v>1.038</v>
      </c>
      <c r="T23" s="3147">
        <f t="shared" ref="T23:U23" si="24">ROUND(SUMPRODUCT(PRODUCT(1+M24:M36)),4)</f>
        <v>1.0273000000000001</v>
      </c>
      <c r="U23" s="3147">
        <f t="shared" si="24"/>
        <v>1.0677000000000001</v>
      </c>
      <c r="V23" s="3147"/>
      <c r="W23" s="3146">
        <f>T23</f>
        <v>1.0273000000000001</v>
      </c>
      <c r="X23" s="3143"/>
      <c r="Y23" s="3148"/>
      <c r="Z23" s="3149">
        <f t="shared" ref="Z23:AB23" si="25">ROUND(AVERAGEIF(Z24:Z36,"&lt;&gt;0"),4)</f>
        <v>4.3E-3</v>
      </c>
      <c r="AA23" s="3150">
        <f t="shared" si="25"/>
        <v>3.5999999999999999E-3</v>
      </c>
      <c r="AB23" s="3148">
        <f t="shared" si="25"/>
        <v>8.8999999999999999E-3</v>
      </c>
      <c r="AC23" s="3151"/>
      <c r="AD23" s="3148">
        <f>AA23</f>
        <v>3.5999999999999999E-3</v>
      </c>
    </row>
    <row r="24" spans="1:30" s="3153" customFormat="1" ht="12.75">
      <c r="B24" s="3154"/>
      <c r="C24" s="3155"/>
      <c r="D24" s="3155"/>
      <c r="E24" s="3155"/>
      <c r="F24" s="3155"/>
      <c r="G24" s="3155"/>
      <c r="H24" s="3155"/>
      <c r="I24" s="3155"/>
      <c r="J24" s="3156"/>
      <c r="K24" s="3157"/>
      <c r="L24" s="3158"/>
      <c r="M24" s="3158"/>
      <c r="N24" s="3158"/>
      <c r="O24" s="3158"/>
      <c r="P24" s="3158"/>
      <c r="Q24" s="3156"/>
      <c r="R24" s="3159"/>
      <c r="S24" s="3160"/>
      <c r="T24" s="3161"/>
      <c r="U24" s="3159"/>
      <c r="V24" s="3162"/>
      <c r="W24" s="3159"/>
      <c r="X24" s="3156"/>
      <c r="Y24" s="3163"/>
      <c r="Z24" s="3164"/>
      <c r="AA24" s="3165"/>
      <c r="AB24" s="3163"/>
      <c r="AC24" s="3166"/>
      <c r="AD24" s="3163"/>
    </row>
    <row r="25" spans="1:30" s="3176" customFormat="1" ht="12.75">
      <c r="A25" s="3167" t="s">
        <v>3361</v>
      </c>
      <c r="B25" s="3168">
        <v>2023</v>
      </c>
      <c r="C25" s="3169">
        <v>4</v>
      </c>
      <c r="D25" s="3170"/>
      <c r="E25" s="3170">
        <v>0</v>
      </c>
      <c r="F25" s="3170">
        <v>0</v>
      </c>
      <c r="G25" s="3170">
        <v>0</v>
      </c>
      <c r="H25" s="3170"/>
      <c r="I25" s="3171">
        <f t="shared" ref="I25:I36" si="26">F25</f>
        <v>0</v>
      </c>
      <c r="J25" s="3172"/>
      <c r="K25" s="3173"/>
      <c r="L25" s="3163">
        <f t="shared" ref="L25:N36" si="27">E25/100</f>
        <v>0</v>
      </c>
      <c r="M25" s="3163">
        <f t="shared" si="27"/>
        <v>0</v>
      </c>
      <c r="N25" s="3163">
        <f t="shared" si="27"/>
        <v>0</v>
      </c>
      <c r="O25" s="3163"/>
      <c r="P25" s="3163">
        <f>M25</f>
        <v>0</v>
      </c>
      <c r="Q25" s="3172"/>
      <c r="R25" s="3174"/>
      <c r="S25" s="3174">
        <f>ROUND(IF([2]项目基本情况!$B$8="出让",SUMPRODUCT(PRODUCT(1+L25:L$36)),SUMPRODUCT(PRODUCT(1+L25:L$35))),4)</f>
        <v>1.0344</v>
      </c>
      <c r="T25" s="3174">
        <f>ROUND(IF([2]项目基本情况!$B$8="出让",SUMPRODUCT(PRODUCT(1+M25:M$36)),SUMPRODUCT(PRODUCT(1+M25:M$35))),4)</f>
        <v>1.0224</v>
      </c>
      <c r="U25" s="3174">
        <f>ROUND(IF([2]项目基本情况!$B$8="出让",SUMPRODUCT(PRODUCT(1+N25:N$36)),SUMPRODUCT(PRODUCT(1+N25:N$35))),4)</f>
        <v>1.0573999999999999</v>
      </c>
      <c r="V25" s="3174"/>
      <c r="W25" s="3174">
        <f>T25</f>
        <v>1.0224</v>
      </c>
      <c r="X25" s="3172"/>
      <c r="Y25" s="3175"/>
      <c r="Z25" s="3203">
        <f>IF(E25=0,0,ROUND(AVERAGE(E25:E36)/100,4))</f>
        <v>0</v>
      </c>
      <c r="AA25" s="3203">
        <f>IF(F25=0,0,ROUND(AVERAGE(F25:F36)/100,4))</f>
        <v>0</v>
      </c>
      <c r="AB25" s="3203">
        <f>IF(G25=0,0,ROUND(AVERAGE(G25:G36)/100,4))</f>
        <v>0</v>
      </c>
      <c r="AC25" s="3204"/>
      <c r="AD25" s="3175">
        <f>IF(I25=0,0,ROUND(AVERAGE(I25:I36)/100,4))</f>
        <v>0</v>
      </c>
    </row>
    <row r="26" spans="1:30" s="3176" customFormat="1" ht="12.75">
      <c r="A26" s="3167" t="s">
        <v>3362</v>
      </c>
      <c r="B26" s="3168">
        <v>2023</v>
      </c>
      <c r="C26" s="3169">
        <v>3</v>
      </c>
      <c r="D26" s="3170"/>
      <c r="E26" s="3170">
        <v>0</v>
      </c>
      <c r="F26" s="3170">
        <v>0</v>
      </c>
      <c r="G26" s="3170">
        <v>0</v>
      </c>
      <c r="H26" s="3187"/>
      <c r="I26" s="3171">
        <f t="shared" si="26"/>
        <v>0</v>
      </c>
      <c r="J26" s="3172"/>
      <c r="K26" s="3173"/>
      <c r="L26" s="3163">
        <f t="shared" ref="L26:L28" si="28">E26/100</f>
        <v>0</v>
      </c>
      <c r="M26" s="3163">
        <f t="shared" ref="M26:M28" si="29">F26/100</f>
        <v>0</v>
      </c>
      <c r="N26" s="3163">
        <f t="shared" ref="N26:N28" si="30">G26/100</f>
        <v>0</v>
      </c>
      <c r="O26" s="3163"/>
      <c r="P26" s="3163">
        <f t="shared" ref="P26:P28" si="31">M26</f>
        <v>0</v>
      </c>
      <c r="Q26" s="3172"/>
      <c r="R26" s="3174"/>
      <c r="S26" s="3174">
        <f>ROUND(IF([2]项目基本情况!$B$8="出让",SUMPRODUCT(PRODUCT(1+L26:L$36)),SUMPRODUCT(PRODUCT(1+L26:L$35))),4)</f>
        <v>1.0344</v>
      </c>
      <c r="T26" s="3174">
        <f>ROUND(IF([2]项目基本情况!$B$8="出让",SUMPRODUCT(PRODUCT(1+M26:M$36)),SUMPRODUCT(PRODUCT(1+M26:M$35))),4)</f>
        <v>1.0224</v>
      </c>
      <c r="U26" s="3174">
        <f>ROUND(IF([2]项目基本情况!$B$8="出让",SUMPRODUCT(PRODUCT(1+N26:N$36)),SUMPRODUCT(PRODUCT(1+N26:N$35))),4)</f>
        <v>1.0573999999999999</v>
      </c>
      <c r="V26" s="3174"/>
      <c r="W26" s="3174">
        <f t="shared" ref="W26:W28" si="32">T26</f>
        <v>1.0224</v>
      </c>
      <c r="X26" s="3172"/>
      <c r="Y26" s="3175"/>
      <c r="Z26" s="3203"/>
      <c r="AA26" s="3440"/>
      <c r="AB26" s="3440"/>
      <c r="AC26" s="3204"/>
      <c r="AD26" s="3175"/>
    </row>
    <row r="27" spans="1:30" s="3176" customFormat="1" ht="12.75">
      <c r="A27" s="3167" t="s">
        <v>3360</v>
      </c>
      <c r="B27" s="3168">
        <v>2023</v>
      </c>
      <c r="C27" s="3169">
        <v>2</v>
      </c>
      <c r="D27" s="3170"/>
      <c r="E27" s="3170">
        <v>0</v>
      </c>
      <c r="F27" s="3170">
        <v>0</v>
      </c>
      <c r="G27" s="3170">
        <v>0</v>
      </c>
      <c r="H27" s="3187"/>
      <c r="I27" s="3171">
        <f t="shared" si="26"/>
        <v>0</v>
      </c>
      <c r="J27" s="3172"/>
      <c r="K27" s="3173"/>
      <c r="L27" s="3163">
        <f t="shared" si="28"/>
        <v>0</v>
      </c>
      <c r="M27" s="3163">
        <f t="shared" si="29"/>
        <v>0</v>
      </c>
      <c r="N27" s="3163">
        <f t="shared" si="30"/>
        <v>0</v>
      </c>
      <c r="O27" s="3163"/>
      <c r="P27" s="3163">
        <f t="shared" si="31"/>
        <v>0</v>
      </c>
      <c r="Q27" s="3172"/>
      <c r="R27" s="3174"/>
      <c r="S27" s="3174">
        <f>ROUND(IF([2]项目基本情况!$B$8="出让",SUMPRODUCT(PRODUCT(1+L27:L$36)),SUMPRODUCT(PRODUCT(1+L27:L$35))),4)</f>
        <v>1.0344</v>
      </c>
      <c r="T27" s="3174">
        <f>ROUND(IF([2]项目基本情况!$B$8="出让",SUMPRODUCT(PRODUCT(1+M27:M$36)),SUMPRODUCT(PRODUCT(1+M27:M$35))),4)</f>
        <v>1.0224</v>
      </c>
      <c r="U27" s="3174">
        <f>ROUND(IF([2]项目基本情况!$B$8="出让",SUMPRODUCT(PRODUCT(1+N27:N$36)),SUMPRODUCT(PRODUCT(1+N27:N$35))),4)</f>
        <v>1.0573999999999999</v>
      </c>
      <c r="V27" s="3174"/>
      <c r="W27" s="3174">
        <f t="shared" si="32"/>
        <v>1.0224</v>
      </c>
      <c r="X27" s="3172"/>
      <c r="Y27" s="3175"/>
      <c r="Z27" s="3203"/>
      <c r="AA27" s="3440"/>
      <c r="AB27" s="3440"/>
      <c r="AC27" s="3204"/>
      <c r="AD27" s="3175"/>
    </row>
    <row r="28" spans="1:30" s="3186" customFormat="1" ht="12.75">
      <c r="A28" s="3177" t="s">
        <v>3363</v>
      </c>
      <c r="B28" s="3178">
        <v>2023</v>
      </c>
      <c r="C28" s="3179">
        <v>1</v>
      </c>
      <c r="D28" s="3180"/>
      <c r="E28" s="3180">
        <v>0.55000000000000004</v>
      </c>
      <c r="F28" s="3180">
        <v>0.59</v>
      </c>
      <c r="G28" s="3180">
        <v>0.64</v>
      </c>
      <c r="H28" s="3181"/>
      <c r="I28" s="3182">
        <f t="shared" si="26"/>
        <v>0.59</v>
      </c>
      <c r="J28" s="3183"/>
      <c r="K28" s="3184"/>
      <c r="L28" s="3185">
        <f t="shared" si="28"/>
        <v>5.5000000000000005E-3</v>
      </c>
      <c r="M28" s="3185">
        <f t="shared" si="29"/>
        <v>5.8999999999999999E-3</v>
      </c>
      <c r="N28" s="3185">
        <f t="shared" si="30"/>
        <v>6.4000000000000003E-3</v>
      </c>
      <c r="O28" s="3185"/>
      <c r="P28" s="3185">
        <f t="shared" si="31"/>
        <v>5.8999999999999999E-3</v>
      </c>
      <c r="Q28" s="3183"/>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3"/>
      <c r="Y28" s="3185"/>
      <c r="Z28" s="3206"/>
      <c r="AA28" s="3207"/>
      <c r="AB28" s="3185"/>
      <c r="AC28" s="3208"/>
      <c r="AD28" s="3185"/>
    </row>
    <row r="29" spans="1:30" s="3176" customFormat="1" ht="12.75">
      <c r="A29" s="3167" t="s">
        <v>3364</v>
      </c>
      <c r="B29" s="3168">
        <v>2022</v>
      </c>
      <c r="C29" s="3169">
        <v>4</v>
      </c>
      <c r="D29" s="3170"/>
      <c r="E29" s="3170">
        <v>0.45</v>
      </c>
      <c r="F29" s="3170">
        <v>0.2</v>
      </c>
      <c r="G29" s="3170">
        <v>0.38</v>
      </c>
      <c r="H29" s="3187"/>
      <c r="I29" s="3171">
        <f t="shared" si="26"/>
        <v>0.2</v>
      </c>
      <c r="J29" s="3172"/>
      <c r="K29" s="3173"/>
      <c r="L29" s="3163">
        <f t="shared" si="27"/>
        <v>4.5000000000000005E-3</v>
      </c>
      <c r="M29" s="3163">
        <f t="shared" si="27"/>
        <v>2E-3</v>
      </c>
      <c r="N29" s="3163">
        <f t="shared" si="27"/>
        <v>3.8E-3</v>
      </c>
      <c r="O29" s="3163"/>
      <c r="P29" s="3163">
        <f t="shared" ref="P29:P36" si="33">M29</f>
        <v>2E-3</v>
      </c>
      <c r="Q29" s="3172"/>
      <c r="R29" s="3174"/>
      <c r="S29" s="3174">
        <f>ROUND(IF([2]项目基本情况!$B$8="出让",SUMPRODUCT(PRODUCT(1+L29:L$36)),SUMPRODUCT(PRODUCT(1+L29:L$35))),4)</f>
        <v>1.0286999999999999</v>
      </c>
      <c r="T29" s="3174">
        <f>ROUND(IF([2]项目基本情况!$B$8="出让",SUMPRODUCT(PRODUCT(1+M29:M$36)),SUMPRODUCT(PRODUCT(1+M29:M$35))),4)</f>
        <v>1.0164</v>
      </c>
      <c r="U29" s="3174">
        <f>ROUND(IF([2]项目基本情况!$B$8="出让",SUMPRODUCT(PRODUCT(1+N29:N$36)),SUMPRODUCT(PRODUCT(1+N29:N$35))),4)</f>
        <v>1.0506</v>
      </c>
      <c r="V29" s="3174"/>
      <c r="W29" s="3174">
        <f t="shared" ref="W29:W36" si="34">T29</f>
        <v>1.0164</v>
      </c>
      <c r="X29" s="3172"/>
      <c r="Y29" s="3175"/>
      <c r="Z29" s="3203">
        <f t="shared" ref="Z29:AD36" si="35">IF(E29=0,0,ROUND(AVERAGE(E29:E37)/100,4))</f>
        <v>4.0000000000000001E-3</v>
      </c>
      <c r="AA29" s="3205">
        <f t="shared" si="35"/>
        <v>2.5999999999999999E-3</v>
      </c>
      <c r="AB29" s="3175">
        <f t="shared" si="35"/>
        <v>7.4000000000000003E-3</v>
      </c>
      <c r="AC29" s="3204"/>
      <c r="AD29" s="3175">
        <f t="shared" si="35"/>
        <v>2.5999999999999999E-3</v>
      </c>
    </row>
    <row r="30" spans="1:30" s="3176" customFormat="1" ht="12.75">
      <c r="A30" s="3167" t="s">
        <v>3357</v>
      </c>
      <c r="B30" s="3168">
        <v>2022</v>
      </c>
      <c r="C30" s="3169">
        <v>3</v>
      </c>
      <c r="D30" s="3170"/>
      <c r="E30" s="3170">
        <v>0.3</v>
      </c>
      <c r="F30" s="3170">
        <v>0.28999999999999998</v>
      </c>
      <c r="G30" s="3170">
        <v>0.83</v>
      </c>
      <c r="H30" s="3187"/>
      <c r="I30" s="3171">
        <f t="shared" si="26"/>
        <v>0.28999999999999998</v>
      </c>
      <c r="J30" s="3172"/>
      <c r="K30" s="3173"/>
      <c r="L30" s="3163">
        <f t="shared" si="27"/>
        <v>3.0000000000000001E-3</v>
      </c>
      <c r="M30" s="3163">
        <f t="shared" si="27"/>
        <v>2.8999999999999998E-3</v>
      </c>
      <c r="N30" s="3163">
        <f t="shared" si="27"/>
        <v>8.3000000000000001E-3</v>
      </c>
      <c r="O30" s="3163"/>
      <c r="P30" s="3163">
        <f t="shared" si="33"/>
        <v>2.8999999999999998E-3</v>
      </c>
      <c r="Q30" s="3172"/>
      <c r="R30" s="3174"/>
      <c r="S30" s="3174">
        <f>ROUND(IF([2]项目基本情况!$B$8="出让",SUMPRODUCT(PRODUCT(1+L30:L$36)),SUMPRODUCT(PRODUCT(1+L30:L$35))),4)</f>
        <v>1.0241</v>
      </c>
      <c r="T30" s="3174">
        <f>ROUND(IF([2]项目基本情况!$B$8="出让",SUMPRODUCT(PRODUCT(1+M30:M$36)),SUMPRODUCT(PRODUCT(1+M30:M$35))),4)</f>
        <v>1.0144</v>
      </c>
      <c r="U30" s="3174">
        <f>ROUND(IF([2]项目基本情况!$B$8="出让",SUMPRODUCT(PRODUCT(1+N30:N$36)),SUMPRODUCT(PRODUCT(1+N30:N$35))),4)</f>
        <v>1.0467</v>
      </c>
      <c r="V30" s="3174"/>
      <c r="W30" s="3174">
        <f t="shared" si="34"/>
        <v>1.0144</v>
      </c>
      <c r="X30" s="3172"/>
      <c r="Y30" s="3175"/>
      <c r="Z30" s="3203">
        <f t="shared" si="35"/>
        <v>3.8999999999999998E-3</v>
      </c>
      <c r="AA30" s="3205">
        <f t="shared" si="35"/>
        <v>2.7000000000000001E-3</v>
      </c>
      <c r="AB30" s="3175">
        <f t="shared" si="35"/>
        <v>7.9000000000000008E-3</v>
      </c>
      <c r="AC30" s="3204"/>
      <c r="AD30" s="3175">
        <f t="shared" si="35"/>
        <v>2.7000000000000001E-3</v>
      </c>
    </row>
    <row r="31" spans="1:30" s="3176" customFormat="1" ht="12.75">
      <c r="A31" s="3167" t="s">
        <v>3347</v>
      </c>
      <c r="B31" s="3168">
        <v>2022</v>
      </c>
      <c r="C31" s="3169">
        <v>2</v>
      </c>
      <c r="D31" s="3170"/>
      <c r="E31" s="3170">
        <v>-0.11</v>
      </c>
      <c r="F31" s="3170">
        <v>-0.13</v>
      </c>
      <c r="G31" s="3170">
        <v>0.53</v>
      </c>
      <c r="H31" s="3187"/>
      <c r="I31" s="3171">
        <f t="shared" si="26"/>
        <v>-0.13</v>
      </c>
      <c r="J31" s="3172"/>
      <c r="K31" s="3173"/>
      <c r="L31" s="3163">
        <f t="shared" si="27"/>
        <v>-1.1000000000000001E-3</v>
      </c>
      <c r="M31" s="3163">
        <f t="shared" si="27"/>
        <v>-1.2999999999999999E-3</v>
      </c>
      <c r="N31" s="3163">
        <f t="shared" si="27"/>
        <v>5.3E-3</v>
      </c>
      <c r="O31" s="3163"/>
      <c r="P31" s="3163">
        <f t="shared" si="33"/>
        <v>-1.2999999999999999E-3</v>
      </c>
      <c r="Q31" s="3172"/>
      <c r="R31" s="3174"/>
      <c r="S31" s="3174">
        <f>ROUND(IF([2]项目基本情况!$B$8="出让",SUMPRODUCT(PRODUCT(1+L31:L$36)),SUMPRODUCT(PRODUCT(1+L31:L$35))),4)</f>
        <v>1.0210999999999999</v>
      </c>
      <c r="T31" s="3174">
        <f>ROUND(IF([2]项目基本情况!$B$8="出让",SUMPRODUCT(PRODUCT(1+M31:M$36)),SUMPRODUCT(PRODUCT(1+M31:M$35))),4)</f>
        <v>1.0114000000000001</v>
      </c>
      <c r="U31" s="3174">
        <f>ROUND(IF([2]项目基本情况!$B$8="出让",SUMPRODUCT(PRODUCT(1+N31:N$36)),SUMPRODUCT(PRODUCT(1+N31:N$35))),4)</f>
        <v>1.0381</v>
      </c>
      <c r="V31" s="3174"/>
      <c r="W31" s="3174">
        <f t="shared" si="34"/>
        <v>1.0114000000000001</v>
      </c>
      <c r="X31" s="3172"/>
      <c r="Y31" s="3175"/>
      <c r="Z31" s="3203">
        <f t="shared" si="35"/>
        <v>4.1000000000000003E-3</v>
      </c>
      <c r="AA31" s="3205">
        <f t="shared" si="35"/>
        <v>2.7000000000000001E-3</v>
      </c>
      <c r="AB31" s="3175">
        <f t="shared" si="35"/>
        <v>7.9000000000000008E-3</v>
      </c>
      <c r="AC31" s="3204"/>
      <c r="AD31" s="3175">
        <f t="shared" si="35"/>
        <v>2.7000000000000001E-3</v>
      </c>
    </row>
    <row r="32" spans="1:30" s="3176" customFormat="1" ht="12.75">
      <c r="A32" s="3167" t="s">
        <v>2827</v>
      </c>
      <c r="B32" s="3168">
        <v>2022</v>
      </c>
      <c r="C32" s="3169">
        <v>1</v>
      </c>
      <c r="D32" s="3170"/>
      <c r="E32" s="3170">
        <v>0.6</v>
      </c>
      <c r="F32" s="3170">
        <v>0.45</v>
      </c>
      <c r="G32" s="3170">
        <v>0.53</v>
      </c>
      <c r="H32" s="3187"/>
      <c r="I32" s="3171">
        <f t="shared" si="26"/>
        <v>0.45</v>
      </c>
      <c r="J32" s="3172"/>
      <c r="K32" s="3173"/>
      <c r="L32" s="3163">
        <f t="shared" si="27"/>
        <v>6.0000000000000001E-3</v>
      </c>
      <c r="M32" s="3163">
        <f t="shared" si="27"/>
        <v>4.5000000000000005E-3</v>
      </c>
      <c r="N32" s="3163">
        <f t="shared" si="27"/>
        <v>5.3E-3</v>
      </c>
      <c r="O32" s="3163"/>
      <c r="P32" s="3163">
        <f t="shared" si="33"/>
        <v>4.5000000000000005E-3</v>
      </c>
      <c r="Q32" s="3172"/>
      <c r="R32" s="3174"/>
      <c r="S32" s="3174">
        <f>ROUND(IF([2]项目基本情况!$B$8="出让",SUMPRODUCT(PRODUCT(1+L32:L$36)),SUMPRODUCT(PRODUCT(1+L32:L$35))),4)</f>
        <v>1.0222</v>
      </c>
      <c r="T32" s="3174">
        <f>ROUND(IF([2]项目基本情况!$B$8="出让",SUMPRODUCT(PRODUCT(1+M32:M$36)),SUMPRODUCT(PRODUCT(1+M32:M$35))),4)</f>
        <v>1.0127999999999999</v>
      </c>
      <c r="U32" s="3174">
        <f>ROUND(IF([2]项目基本情况!$B$8="出让",SUMPRODUCT(PRODUCT(1+N32:N$36)),SUMPRODUCT(PRODUCT(1+N32:N$35))),4)</f>
        <v>1.0326</v>
      </c>
      <c r="V32" s="3174"/>
      <c r="W32" s="3174">
        <f t="shared" si="34"/>
        <v>1.0127999999999999</v>
      </c>
      <c r="X32" s="3172"/>
      <c r="Y32" s="3175"/>
      <c r="Z32" s="3203">
        <f t="shared" si="35"/>
        <v>5.1000000000000004E-3</v>
      </c>
      <c r="AA32" s="3205">
        <f t="shared" si="35"/>
        <v>3.5000000000000001E-3</v>
      </c>
      <c r="AB32" s="3175">
        <f t="shared" si="35"/>
        <v>8.3999999999999995E-3</v>
      </c>
      <c r="AC32" s="3204"/>
      <c r="AD32" s="3175">
        <f t="shared" si="35"/>
        <v>3.5000000000000001E-3</v>
      </c>
    </row>
    <row r="33" spans="1:30" s="3176" customFormat="1" ht="12.75">
      <c r="A33" s="3167" t="s">
        <v>2828</v>
      </c>
      <c r="B33" s="3168">
        <v>2021</v>
      </c>
      <c r="C33" s="3169">
        <v>4</v>
      </c>
      <c r="D33" s="3170"/>
      <c r="E33" s="3170">
        <v>0.57999999999999996</v>
      </c>
      <c r="F33" s="3170">
        <v>0.08</v>
      </c>
      <c r="G33" s="3170">
        <v>0.68</v>
      </c>
      <c r="H33" s="3187"/>
      <c r="I33" s="3171">
        <f t="shared" si="26"/>
        <v>0.08</v>
      </c>
      <c r="J33" s="3172"/>
      <c r="K33" s="3173"/>
      <c r="L33" s="3163">
        <f t="shared" si="27"/>
        <v>5.7999999999999996E-3</v>
      </c>
      <c r="M33" s="3163">
        <f t="shared" si="27"/>
        <v>8.0000000000000004E-4</v>
      </c>
      <c r="N33" s="3163">
        <f t="shared" si="27"/>
        <v>6.8000000000000005E-3</v>
      </c>
      <c r="O33" s="3163"/>
      <c r="P33" s="3163">
        <f t="shared" si="33"/>
        <v>8.0000000000000004E-4</v>
      </c>
      <c r="Q33" s="3172"/>
      <c r="R33" s="3174"/>
      <c r="S33" s="3174">
        <f>ROUND(IF([2]项目基本情况!$B$8="出让",SUMPRODUCT(PRODUCT(1+L33:L$36)),SUMPRODUCT(PRODUCT(1+L33:L$35))),4)</f>
        <v>1.0161</v>
      </c>
      <c r="T33" s="3174">
        <f>ROUND(IF([2]项目基本情况!$B$8="出让",SUMPRODUCT(PRODUCT(1+M33:M$36)),SUMPRODUCT(PRODUCT(1+M33:M$35))),4)</f>
        <v>1.0082</v>
      </c>
      <c r="U33" s="3174">
        <f>ROUND(IF([2]项目基本情况!$B$8="出让",SUMPRODUCT(PRODUCT(1+N33:N$36)),SUMPRODUCT(PRODUCT(1+N33:N$35))),4)</f>
        <v>1.0270999999999999</v>
      </c>
      <c r="V33" s="3174"/>
      <c r="W33" s="3174">
        <f t="shared" si="34"/>
        <v>1.0082</v>
      </c>
      <c r="X33" s="3172"/>
      <c r="Y33" s="3175"/>
      <c r="Z33" s="3203">
        <f t="shared" si="35"/>
        <v>4.8999999999999998E-3</v>
      </c>
      <c r="AA33" s="3205">
        <f t="shared" si="35"/>
        <v>3.3E-3</v>
      </c>
      <c r="AB33" s="3175">
        <f t="shared" si="35"/>
        <v>9.1999999999999998E-3</v>
      </c>
      <c r="AC33" s="3204"/>
      <c r="AD33" s="3175">
        <f t="shared" si="35"/>
        <v>3.3E-3</v>
      </c>
    </row>
    <row r="34" spans="1:30" s="3176" customFormat="1" ht="12.75">
      <c r="A34" s="3167" t="s">
        <v>2829</v>
      </c>
      <c r="B34" s="3168">
        <v>2021</v>
      </c>
      <c r="C34" s="3169">
        <v>3</v>
      </c>
      <c r="D34" s="3170"/>
      <c r="E34" s="3170">
        <v>0.47</v>
      </c>
      <c r="F34" s="3170">
        <v>0.28000000000000003</v>
      </c>
      <c r="G34" s="3170">
        <v>0.91</v>
      </c>
      <c r="H34" s="3187"/>
      <c r="I34" s="3171">
        <f t="shared" si="26"/>
        <v>0.28000000000000003</v>
      </c>
      <c r="J34" s="3172"/>
      <c r="K34" s="3173"/>
      <c r="L34" s="3163">
        <f t="shared" si="27"/>
        <v>4.6999999999999993E-3</v>
      </c>
      <c r="M34" s="3163">
        <f t="shared" si="27"/>
        <v>2.8000000000000004E-3</v>
      </c>
      <c r="N34" s="3163">
        <f t="shared" si="27"/>
        <v>9.1000000000000004E-3</v>
      </c>
      <c r="O34" s="3163"/>
      <c r="P34" s="3163">
        <f t="shared" si="33"/>
        <v>2.8000000000000004E-3</v>
      </c>
      <c r="Q34" s="3172"/>
      <c r="R34" s="3174"/>
      <c r="S34" s="3174">
        <f>ROUND(IF([2]项目基本情况!$B$8="出让",SUMPRODUCT(PRODUCT(1+L34:L$36)),SUMPRODUCT(PRODUCT(1+L34:L$35))),4)</f>
        <v>1.0102</v>
      </c>
      <c r="T34" s="3174">
        <f>ROUND(IF([2]项目基本情况!$B$8="出让",SUMPRODUCT(PRODUCT(1+M34:M$36)),SUMPRODUCT(PRODUCT(1+M34:M$35))),4)</f>
        <v>1.0074000000000001</v>
      </c>
      <c r="U34" s="3174">
        <f>ROUND(IF([2]项目基本情况!$B$8="出让",SUMPRODUCT(PRODUCT(1+N34:N$36)),SUMPRODUCT(PRODUCT(1+N34:N$35))),4)</f>
        <v>1.0202</v>
      </c>
      <c r="V34" s="3174"/>
      <c r="W34" s="3174">
        <f t="shared" si="34"/>
        <v>1.0074000000000001</v>
      </c>
      <c r="X34" s="3172"/>
      <c r="Y34" s="3175"/>
      <c r="Z34" s="3203">
        <f t="shared" si="35"/>
        <v>4.5999999999999999E-3</v>
      </c>
      <c r="AA34" s="3205">
        <f t="shared" si="35"/>
        <v>4.1000000000000003E-3</v>
      </c>
      <c r="AB34" s="3175">
        <f t="shared" si="35"/>
        <v>0.01</v>
      </c>
      <c r="AC34" s="3204"/>
      <c r="AD34" s="3175">
        <f t="shared" si="35"/>
        <v>4.1000000000000003E-3</v>
      </c>
    </row>
    <row r="35" spans="1:30" s="3176" customFormat="1" ht="12.75">
      <c r="A35" s="3167" t="s">
        <v>2830</v>
      </c>
      <c r="B35" s="3168">
        <v>2021</v>
      </c>
      <c r="C35" s="3169">
        <v>2</v>
      </c>
      <c r="D35" s="3170"/>
      <c r="E35" s="3170">
        <v>0.55000000000000004</v>
      </c>
      <c r="F35" s="3170">
        <v>0.46</v>
      </c>
      <c r="G35" s="3170">
        <v>1.1000000000000001</v>
      </c>
      <c r="H35" s="3187"/>
      <c r="I35" s="3171">
        <f t="shared" si="26"/>
        <v>0.46</v>
      </c>
      <c r="J35" s="3172"/>
      <c r="K35" s="3173"/>
      <c r="L35" s="3163">
        <f t="shared" si="27"/>
        <v>5.5000000000000005E-3</v>
      </c>
      <c r="M35" s="3163">
        <f t="shared" si="27"/>
        <v>4.5999999999999999E-3</v>
      </c>
      <c r="N35" s="3163">
        <f t="shared" si="27"/>
        <v>1.1000000000000001E-2</v>
      </c>
      <c r="O35" s="3163"/>
      <c r="P35" s="3163">
        <f t="shared" si="33"/>
        <v>4.5999999999999999E-3</v>
      </c>
      <c r="Q35" s="3172"/>
      <c r="R35" s="3174"/>
      <c r="S35" s="3174">
        <f>ROUND(IF([2]项目基本情况!$B$8="出让",SUMPRODUCT(PRODUCT(1+L35:L$36)),SUMPRODUCT(PRODUCT(1+L35:L$35))),4)</f>
        <v>1.0055000000000001</v>
      </c>
      <c r="T35" s="3174">
        <f>ROUND(IF([2]项目基本情况!$B$8="出让",SUMPRODUCT(PRODUCT(1+M35:M$36)),SUMPRODUCT(PRODUCT(1+M35:M$35))),4)</f>
        <v>1.0045999999999999</v>
      </c>
      <c r="U35" s="3174">
        <f>ROUND(IF([2]项目基本情况!$B$8="出让",SUMPRODUCT(PRODUCT(1+N35:N$36)),SUMPRODUCT(PRODUCT(1+N35:N$35))),4)</f>
        <v>1.0109999999999999</v>
      </c>
      <c r="V35" s="3174"/>
      <c r="W35" s="3174">
        <f t="shared" si="34"/>
        <v>1.0045999999999999</v>
      </c>
      <c r="X35" s="3172"/>
      <c r="Y35" s="3175"/>
      <c r="Z35" s="3203">
        <f t="shared" si="35"/>
        <v>4.4999999999999997E-3</v>
      </c>
      <c r="AA35" s="3205">
        <f t="shared" si="35"/>
        <v>4.7000000000000002E-3</v>
      </c>
      <c r="AB35" s="3175">
        <f t="shared" si="35"/>
        <v>1.04E-2</v>
      </c>
      <c r="AC35" s="3204"/>
      <c r="AD35" s="3175">
        <f t="shared" si="35"/>
        <v>4.7000000000000002E-3</v>
      </c>
    </row>
    <row r="36" spans="1:30" s="3198" customFormat="1" thickBot="1">
      <c r="A36" s="3188" t="s">
        <v>2815</v>
      </c>
      <c r="B36" s="3189">
        <v>2021</v>
      </c>
      <c r="C36" s="3190">
        <v>1</v>
      </c>
      <c r="D36" s="3191"/>
      <c r="E36" s="3191">
        <v>0.35</v>
      </c>
      <c r="F36" s="3191">
        <v>0.48</v>
      </c>
      <c r="G36" s="3191">
        <v>0.98</v>
      </c>
      <c r="H36" s="3192"/>
      <c r="I36" s="3193">
        <f t="shared" si="26"/>
        <v>0.48</v>
      </c>
      <c r="J36" s="3194"/>
      <c r="K36" s="3195"/>
      <c r="L36" s="3196">
        <f t="shared" si="27"/>
        <v>3.4999999999999996E-3</v>
      </c>
      <c r="M36" s="3196">
        <f>F36/100</f>
        <v>4.7999999999999996E-3</v>
      </c>
      <c r="N36" s="3196">
        <f t="shared" si="27"/>
        <v>9.7999999999999997E-3</v>
      </c>
      <c r="O36" s="3196"/>
      <c r="P36" s="3196">
        <f t="shared" si="33"/>
        <v>4.7999999999999996E-3</v>
      </c>
      <c r="Q36" s="3194"/>
      <c r="R36" s="3197"/>
      <c r="S36" s="3197">
        <v>1</v>
      </c>
      <c r="T36" s="3197">
        <v>1</v>
      </c>
      <c r="U36" s="3197">
        <v>1</v>
      </c>
      <c r="V36" s="3197"/>
      <c r="W36" s="3197">
        <f t="shared" si="34"/>
        <v>1</v>
      </c>
      <c r="X36" s="3194"/>
      <c r="Y36" s="3196"/>
      <c r="Z36" s="3209">
        <f t="shared" si="35"/>
        <v>3.5000000000000001E-3</v>
      </c>
      <c r="AA36" s="3210">
        <f t="shared" si="35"/>
        <v>4.7999999999999996E-3</v>
      </c>
      <c r="AB36" s="3196">
        <f t="shared" si="35"/>
        <v>9.7999999999999997E-3</v>
      </c>
      <c r="AC36" s="3211"/>
      <c r="AD36" s="3196">
        <f t="shared" si="35"/>
        <v>4.7999999999999996E-3</v>
      </c>
    </row>
    <row r="37" spans="1:30" ht="14.25" thickTop="1"/>
    <row r="38" spans="1:30">
      <c r="A38" s="3439" t="s">
        <v>3359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5" t="s">
        <v>452</v>
      </c>
      <c r="C1" s="3805"/>
      <c r="D1" s="3805"/>
      <c r="E1" s="3805"/>
      <c r="F1" s="3805"/>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3355</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3352</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3353</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3354</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45076</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44795</v>
      </c>
      <c r="D13" s="2813">
        <v>3.65</v>
      </c>
      <c r="E13" s="2813">
        <f>D13</f>
        <v>3.65</v>
      </c>
      <c r="F13" s="2813">
        <f>D13</f>
        <v>3.65</v>
      </c>
      <c r="G13" s="2813">
        <f>D13</f>
        <v>3.65</v>
      </c>
      <c r="H13" s="2813">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44701</v>
      </c>
      <c r="D14" s="2808">
        <v>3.7</v>
      </c>
      <c r="E14" s="2808">
        <f>D14</f>
        <v>3.7</v>
      </c>
      <c r="F14" s="2808">
        <f>D14</f>
        <v>3.7</v>
      </c>
      <c r="G14" s="2808">
        <f>D14</f>
        <v>3.7</v>
      </c>
      <c r="H14" s="2808">
        <v>4.45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44581</v>
      </c>
      <c r="D15" s="2808">
        <v>3.7</v>
      </c>
      <c r="E15" s="2808">
        <f>D15</f>
        <v>3.7</v>
      </c>
      <c r="F15" s="2808">
        <f>D15</f>
        <v>3.7</v>
      </c>
      <c r="G15" s="2808">
        <f>D15</f>
        <v>3.7</v>
      </c>
      <c r="H15" s="2808">
        <v>4.5999999999999996</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8"/>
      <c r="C16" s="2809">
        <v>44550</v>
      </c>
      <c r="D16" s="2808">
        <v>3.8</v>
      </c>
      <c r="E16" s="2808">
        <f>D16</f>
        <v>3.8</v>
      </c>
      <c r="F16" s="2808">
        <f>D16</f>
        <v>3.8</v>
      </c>
      <c r="G16" s="2808">
        <f>D16</f>
        <v>3.8</v>
      </c>
      <c r="H16" s="2808">
        <v>4.6500000000000004</v>
      </c>
      <c r="I16" s="2808"/>
      <c r="J16" s="2813"/>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8"/>
      <c r="C17" s="2809">
        <v>43941</v>
      </c>
      <c r="D17" s="2808">
        <v>3.85</v>
      </c>
      <c r="E17" s="2808">
        <v>3.85</v>
      </c>
      <c r="F17" s="2808">
        <v>3.85</v>
      </c>
      <c r="G17" s="2808">
        <v>3.85</v>
      </c>
      <c r="H17" s="2808">
        <v>4.6500000000000004</v>
      </c>
      <c r="I17" s="2808"/>
      <c r="J17" s="280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8"/>
      <c r="C18" s="2809">
        <v>43881</v>
      </c>
      <c r="D18" s="2808">
        <v>4.05</v>
      </c>
      <c r="E18" s="2808">
        <v>4.05</v>
      </c>
      <c r="F18" s="2808">
        <v>4.05</v>
      </c>
      <c r="G18" s="2808">
        <v>4.05</v>
      </c>
      <c r="H18" s="2808">
        <v>4.75</v>
      </c>
      <c r="I18" s="2808"/>
      <c r="J18" s="2808"/>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8"/>
      <c r="C19" s="2809">
        <v>43789</v>
      </c>
      <c r="D19" s="2808">
        <v>4.1500000000000004</v>
      </c>
      <c r="E19" s="2808">
        <v>4.1500000000000004</v>
      </c>
      <c r="F19" s="2808">
        <v>4.1500000000000004</v>
      </c>
      <c r="G19" s="2808">
        <v>4.1500000000000004</v>
      </c>
      <c r="H19" s="2808">
        <v>4.8</v>
      </c>
      <c r="I19" s="2808"/>
      <c r="J19" s="2808"/>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43728</v>
      </c>
      <c r="D20" s="2808">
        <v>4.2</v>
      </c>
      <c r="E20" s="2808">
        <v>4.2</v>
      </c>
      <c r="F20" s="2808">
        <v>4.2</v>
      </c>
      <c r="G20" s="2808">
        <v>4.2</v>
      </c>
      <c r="H20" s="2808">
        <v>4.8499999999999996</v>
      </c>
      <c r="I20" s="2808"/>
      <c r="J20" s="2808"/>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7" t="s">
        <v>2301</v>
      </c>
      <c r="C21" s="2810">
        <v>43697</v>
      </c>
      <c r="D21" s="2811">
        <v>4.25</v>
      </c>
      <c r="E21" s="2811">
        <v>4.25</v>
      </c>
      <c r="F21" s="2811">
        <v>4.25</v>
      </c>
      <c r="G21" s="2811">
        <v>4.25</v>
      </c>
      <c r="H21" s="2811">
        <v>4.8499999999999996</v>
      </c>
      <c r="I21" s="2811"/>
      <c r="J21" s="2811"/>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4"/>
      <c r="B22" s="2815"/>
      <c r="C22" s="2816">
        <v>42301</v>
      </c>
      <c r="D22" s="2817">
        <v>4.3499999999999996</v>
      </c>
      <c r="E22" s="2817">
        <v>4.3499999999999996</v>
      </c>
      <c r="F22" s="2817">
        <v>4.75</v>
      </c>
      <c r="G22" s="2817">
        <v>4.75</v>
      </c>
      <c r="H22" s="2817">
        <v>4.9000000000000004</v>
      </c>
      <c r="I22" s="2817"/>
      <c r="J22" s="2817"/>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workbookViewId="0">
      <selection activeCell="C5" sqref="C5"/>
    </sheetView>
  </sheetViews>
  <sheetFormatPr defaultRowHeight="13.5"/>
  <sheetData>
    <row r="1" spans="1:8">
      <c r="A1" s="3457" t="s">
        <v>3548</v>
      </c>
      <c r="B1" s="3457" t="s">
        <v>3549</v>
      </c>
      <c r="C1" s="3457" t="s">
        <v>3551</v>
      </c>
      <c r="D1" s="3457" t="s">
        <v>3552</v>
      </c>
      <c r="E1" s="3457" t="s">
        <v>3569</v>
      </c>
      <c r="F1" s="3457" t="s">
        <v>3575</v>
      </c>
      <c r="G1" s="3457" t="s">
        <v>3588</v>
      </c>
      <c r="H1" s="3457" t="s">
        <v>3574</v>
      </c>
    </row>
    <row r="2" spans="1:8">
      <c r="A2" s="3457" t="s">
        <v>3594</v>
      </c>
      <c r="B2">
        <v>2000</v>
      </c>
      <c r="C2">
        <v>4</v>
      </c>
      <c r="D2" s="3457" t="s">
        <v>3573</v>
      </c>
      <c r="E2" s="3457">
        <f>C2</f>
        <v>4</v>
      </c>
      <c r="F2">
        <v>24</v>
      </c>
      <c r="G2">
        <v>2018</v>
      </c>
    </row>
    <row r="3" spans="1:8">
      <c r="A3" s="3457" t="str">
        <f>A2</f>
        <v>泰禾长安中心</v>
      </c>
      <c r="B3">
        <v>67.040000000000006</v>
      </c>
      <c r="C3">
        <v>4.2</v>
      </c>
      <c r="D3" s="3457" t="s">
        <v>3573</v>
      </c>
      <c r="E3" s="3457">
        <f>C3</f>
        <v>4.2</v>
      </c>
      <c r="F3">
        <v>24</v>
      </c>
      <c r="G3">
        <v>2018</v>
      </c>
    </row>
    <row r="4" spans="1:8">
      <c r="A4" s="3457" t="str">
        <f>A3</f>
        <v>泰禾长安中心</v>
      </c>
      <c r="B4">
        <v>124.84</v>
      </c>
      <c r="C4">
        <v>4.22</v>
      </c>
      <c r="D4" s="3457" t="s">
        <v>3573</v>
      </c>
      <c r="E4" s="3457">
        <f>C4</f>
        <v>4.22</v>
      </c>
      <c r="F4">
        <v>24</v>
      </c>
      <c r="G4">
        <v>2018</v>
      </c>
    </row>
    <row r="22" spans="2:21">
      <c r="T22" s="3457" t="s">
        <v>3586</v>
      </c>
      <c r="U22">
        <v>26</v>
      </c>
    </row>
    <row r="23" spans="2:21">
      <c r="T23" s="3457" t="s">
        <v>3587</v>
      </c>
      <c r="U23">
        <v>3.5</v>
      </c>
    </row>
    <row r="32" spans="2:21">
      <c r="B32">
        <v>300</v>
      </c>
      <c r="C32">
        <v>36500</v>
      </c>
      <c r="D32">
        <f>C32/B32/30</f>
        <v>4.0555555555555554</v>
      </c>
    </row>
    <row r="33" spans="2:5">
      <c r="B33">
        <v>900</v>
      </c>
      <c r="C33">
        <v>109500</v>
      </c>
      <c r="D33">
        <f>C33/B33/30</f>
        <v>4.0555555555555554</v>
      </c>
      <c r="E33" s="3457" t="s">
        <v>3576</v>
      </c>
    </row>
    <row r="34" spans="2:5">
      <c r="B34">
        <v>1500</v>
      </c>
      <c r="C34">
        <v>182500</v>
      </c>
      <c r="D34">
        <f>C34/B34/30</f>
        <v>4.0555555555555554</v>
      </c>
    </row>
    <row r="35" spans="2:5">
      <c r="B35">
        <v>2000</v>
      </c>
      <c r="C35">
        <v>243334</v>
      </c>
      <c r="D35">
        <f>C35/B35/30</f>
        <v>4.0555666666666665</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9" t="str">
        <f>IF(项目基本情况!B9="房地产市场价值","估价结果一览表","结果表-2")</f>
        <v>估价结果一览表</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房地产市场价值</v>
      </c>
      <c r="I2" s="3490"/>
    </row>
    <row r="3" spans="1:9" ht="15">
      <c r="A3" s="3485"/>
      <c r="B3" s="3485"/>
      <c r="C3" s="3485"/>
      <c r="D3" s="851" t="s">
        <v>925</v>
      </c>
      <c r="E3" s="851" t="s">
        <v>931</v>
      </c>
      <c r="F3" s="851" t="s">
        <v>925</v>
      </c>
      <c r="G3" s="851" t="s">
        <v>926</v>
      </c>
      <c r="H3" s="851" t="s">
        <v>925</v>
      </c>
      <c r="I3" s="851" t="s">
        <v>926</v>
      </c>
    </row>
    <row r="4" spans="1:9" ht="15">
      <c r="A4" s="1502" t="str">
        <f>项目基本情况!S2</f>
        <v>北京市房地产</v>
      </c>
      <c r="B4" s="851">
        <f>项目基本情况!C17</f>
        <v>0</v>
      </c>
      <c r="C4" s="851" t="e">
        <f>项目基本情况!C18</f>
        <v>#DIV/0!</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485" t="s">
        <v>927</v>
      </c>
      <c r="B5" s="3485"/>
      <c r="C5" s="3485"/>
      <c r="D5" s="3485" t="e">
        <f ca="1">结果表!D119</f>
        <v>#REF!</v>
      </c>
      <c r="E5" s="3485"/>
      <c r="F5" s="3485" t="e">
        <f ca="1">结果表!F119</f>
        <v>#REF!</v>
      </c>
      <c r="G5" s="3485"/>
      <c r="H5" s="3485" t="e">
        <f ca="1">结果表!H119</f>
        <v>#REF!</v>
      </c>
      <c r="I5" s="3485"/>
    </row>
    <row r="6" spans="1:9" ht="15.75">
      <c r="A6" s="3484" t="str">
        <f>结果表!A120</f>
        <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
      </c>
      <c r="B8" s="3484"/>
      <c r="C8" s="3484"/>
      <c r="D8" s="3484" t="e">
        <f ca="1">结果表!D122</f>
        <v>#REF!</v>
      </c>
      <c r="E8" s="3484"/>
      <c r="F8" s="3484"/>
      <c r="G8" s="3484"/>
      <c r="H8" s="3484"/>
      <c r="I8" s="3484"/>
    </row>
    <row r="9" spans="1:9" ht="15">
      <c r="A9" s="3485" t="s">
        <v>927</v>
      </c>
      <c r="B9" s="3485"/>
      <c r="C9" s="3485"/>
      <c r="D9" s="3485" t="e">
        <f ca="1">结果表!D123</f>
        <v>#REF!</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t="str">
        <f>结果表!D126</f>
        <v>——</v>
      </c>
      <c r="E12" s="3484"/>
      <c r="F12" s="3484"/>
      <c r="G12" s="3484"/>
      <c r="H12" s="3484"/>
      <c r="I12" s="3484"/>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7" t="s">
        <v>949</v>
      </c>
      <c r="B1" s="3497"/>
      <c r="C1" s="3497"/>
      <c r="D1" s="3497"/>
    </row>
    <row r="2" spans="1:4" ht="18">
      <c r="A2" s="3498" t="s">
        <v>933</v>
      </c>
      <c r="B2" s="3498"/>
      <c r="C2" s="3498"/>
      <c r="D2" s="3498"/>
    </row>
    <row r="3" spans="1:4" ht="18.75">
      <c r="A3" s="1506" t="s">
        <v>934</v>
      </c>
      <c r="B3" s="1506" t="s">
        <v>935</v>
      </c>
      <c r="C3" s="1506" t="s">
        <v>936</v>
      </c>
      <c r="D3" s="1506" t="s">
        <v>937</v>
      </c>
    </row>
    <row r="4" spans="1:4" ht="56.25" customHeight="1">
      <c r="A4" s="1507" t="str">
        <f>项目基本情况!B4</f>
        <v>崔锴</v>
      </c>
      <c r="B4" s="1508">
        <f ca="1">项目基本情况!C4</f>
        <v>1120100036</v>
      </c>
      <c r="C4" s="1509"/>
      <c r="D4" s="1510" t="s">
        <v>938</v>
      </c>
    </row>
    <row r="5" spans="1:4" ht="56.25" customHeight="1">
      <c r="A5" s="1507" t="str">
        <f>项目基本情况!D4</f>
        <v>郑燚</v>
      </c>
      <c r="B5" s="1508">
        <f ca="1">项目基本情况!E4</f>
        <v>1120070131</v>
      </c>
      <c r="C5" s="1511"/>
      <c r="D5" s="1510" t="s">
        <v>938</v>
      </c>
    </row>
    <row r="6" spans="1:4" ht="18">
      <c r="A6" s="3498" t="s">
        <v>939</v>
      </c>
      <c r="B6" s="3498"/>
      <c r="C6" s="3498"/>
      <c r="D6" s="3498"/>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5" t="s">
        <v>956</v>
      </c>
      <c r="B15" s="3500" t="s">
        <v>109</v>
      </c>
      <c r="C15" s="3501"/>
    </row>
    <row r="16" spans="1:7" ht="13.5">
      <c r="A16" s="3506"/>
      <c r="B16" s="3500" t="s">
        <v>42</v>
      </c>
      <c r="C16" s="3501"/>
    </row>
    <row r="17" spans="1:3" ht="13.5">
      <c r="A17" s="3506"/>
      <c r="B17" s="3503" t="s">
        <v>957</v>
      </c>
      <c r="C17" s="1529" t="s">
        <v>956</v>
      </c>
    </row>
    <row r="18" spans="1:3" ht="13.5">
      <c r="A18" s="3506"/>
      <c r="B18" s="3503"/>
      <c r="C18" s="1529" t="s">
        <v>958</v>
      </c>
    </row>
    <row r="19" spans="1:3" ht="13.5">
      <c r="A19" s="3506"/>
      <c r="B19" s="3503"/>
      <c r="C19" s="1529" t="s">
        <v>959</v>
      </c>
    </row>
    <row r="20" spans="1:3" ht="13.5">
      <c r="A20" s="3507"/>
      <c r="B20" s="3502" t="s">
        <v>960</v>
      </c>
      <c r="C20" s="3501"/>
    </row>
    <row r="21" spans="1:3" ht="13.5">
      <c r="A21" s="1530" t="s">
        <v>961</v>
      </c>
      <c r="B21" s="1531"/>
      <c r="C21" s="1532"/>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29" t="s">
        <v>967</v>
      </c>
    </row>
    <row r="26" spans="1:3" ht="13.5">
      <c r="A26" s="3504"/>
      <c r="B26" s="3503"/>
      <c r="C26" s="1529" t="s">
        <v>968</v>
      </c>
    </row>
    <row r="27" spans="1:3" ht="13.5">
      <c r="A27" s="3504"/>
      <c r="B27" s="3503"/>
      <c r="C27" s="1529" t="s">
        <v>969</v>
      </c>
    </row>
    <row r="28" spans="1:3" ht="13.5">
      <c r="A28" s="3504"/>
      <c r="B28" s="3503"/>
      <c r="C28" s="1529" t="s">
        <v>970</v>
      </c>
    </row>
    <row r="29" spans="1:3" ht="13.5">
      <c r="A29" s="3504"/>
      <c r="B29" s="3503"/>
      <c r="C29" s="1529" t="s">
        <v>971</v>
      </c>
    </row>
    <row r="30" spans="1:3" ht="13.5">
      <c r="A30" s="3504"/>
      <c r="B30" s="3503"/>
      <c r="C30" s="1529" t="s">
        <v>972</v>
      </c>
    </row>
    <row r="31" spans="1:3" ht="13.5">
      <c r="A31" s="3504"/>
      <c r="B31" s="3503"/>
      <c r="C31" s="1529" t="s">
        <v>973</v>
      </c>
    </row>
    <row r="32" spans="1:3" ht="13.5">
      <c r="A32" s="3504"/>
      <c r="B32" s="3503"/>
      <c r="C32" s="1529" t="s">
        <v>974</v>
      </c>
    </row>
    <row r="33" spans="1:3" ht="13.5">
      <c r="A33" s="3504"/>
      <c r="B33" s="3503"/>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45079</v>
      </c>
      <c r="C2" s="2336" t="s">
        <v>2140</v>
      </c>
      <c r="D2" s="2336"/>
      <c r="E2" s="2336"/>
      <c r="F2" s="2332"/>
      <c r="G2" s="2332"/>
      <c r="H2" s="2332"/>
    </row>
    <row r="3" spans="1:8" ht="24" customHeight="1">
      <c r="A3" s="2337" t="s">
        <v>2141</v>
      </c>
      <c r="B3" s="2338" t="s">
        <v>2142</v>
      </c>
      <c r="C3" s="2338" t="s">
        <v>2143</v>
      </c>
      <c r="D3" s="2339" t="s">
        <v>2144</v>
      </c>
      <c r="E3" s="2340" t="s">
        <v>2145</v>
      </c>
      <c r="F3" s="1301" t="s">
        <v>2146</v>
      </c>
      <c r="G3" s="2338" t="s">
        <v>2143</v>
      </c>
      <c r="H3" s="2339" t="s">
        <v>2147</v>
      </c>
    </row>
    <row r="4" spans="1:8" ht="24" customHeight="1">
      <c r="A4" s="1301" t="s">
        <v>2148</v>
      </c>
      <c r="B4" s="1301">
        <f ca="1">IF(C4&lt;B2,"已过期",1119970066)</f>
        <v>1119970066</v>
      </c>
      <c r="C4" s="2341">
        <v>45937</v>
      </c>
      <c r="D4" s="2342" t="str">
        <f ca="1">A4&amp;"（注册号："&amp;B4&amp;"）"</f>
        <v>梁津（注册号：1119970066）</v>
      </c>
      <c r="E4" s="2343" t="s">
        <v>2148</v>
      </c>
      <c r="F4" s="1301">
        <f ca="1">IF(G4&lt;B2,"已过期",96010014)</f>
        <v>96010014</v>
      </c>
      <c r="G4" s="2344">
        <v>47118</v>
      </c>
      <c r="H4" s="2345" t="str">
        <f ca="1">E4&amp;"（注册号："&amp;F4&amp;"）"</f>
        <v>梁津（注册号：96010014）</v>
      </c>
    </row>
    <row r="5" spans="1:8" ht="24" customHeight="1">
      <c r="A5" s="1301" t="s">
        <v>2149</v>
      </c>
      <c r="B5" s="1301">
        <f ca="1">IF(C5&lt;B2,"已过期",1119970111)</f>
        <v>1119970111</v>
      </c>
      <c r="C5" s="2341">
        <v>45937</v>
      </c>
      <c r="D5" s="2342" t="str">
        <f t="shared" ref="D5:D15" ca="1" si="0">A5&amp;"（注册号："&amp;B5&amp;"）"</f>
        <v>叶凌（注册号：1119970111）</v>
      </c>
      <c r="E5" s="2343" t="s">
        <v>2149</v>
      </c>
      <c r="F5" s="1301">
        <f ca="1">IF(G5&lt;B2,"已过期",94010078)</f>
        <v>94010078</v>
      </c>
      <c r="G5" s="2344">
        <v>46387</v>
      </c>
      <c r="H5" s="2345" t="str">
        <f t="shared" ref="H5:H16" ca="1" si="1">E5&amp;"（注册号："&amp;F5&amp;"）"</f>
        <v>叶凌（注册号：94010078）</v>
      </c>
    </row>
    <row r="6" spans="1:8" ht="24" customHeight="1">
      <c r="A6" s="1301" t="s">
        <v>2150</v>
      </c>
      <c r="B6" s="1301">
        <f ca="1">IF(C6&lt;B2,"已过期",1120050019)</f>
        <v>1120050019</v>
      </c>
      <c r="C6" s="2341">
        <v>45410</v>
      </c>
      <c r="D6" s="2342" t="str">
        <f t="shared" ca="1" si="0"/>
        <v>王鹏（注册号：1120050019）</v>
      </c>
      <c r="E6" s="2343" t="s">
        <v>2150</v>
      </c>
      <c r="F6" s="1301">
        <f ca="1">IF(G6&lt;B2,"已过期",2002110030)</f>
        <v>2002110030</v>
      </c>
      <c r="G6" s="2344">
        <v>46387</v>
      </c>
      <c r="H6" s="2345" t="str">
        <f t="shared" ca="1" si="1"/>
        <v>王鹏（注册号：2002110030）</v>
      </c>
    </row>
    <row r="7" spans="1:8" ht="24" customHeight="1">
      <c r="A7" s="1301" t="s">
        <v>2151</v>
      </c>
      <c r="B7" s="1301">
        <f ca="1">IF(C7&lt;B2,"已过期",1120000080)</f>
        <v>1120000080</v>
      </c>
      <c r="C7" s="2341">
        <v>45937</v>
      </c>
      <c r="D7" s="2342" t="str">
        <f t="shared" ca="1" si="0"/>
        <v>欧红伟（注册号：1120000080）</v>
      </c>
      <c r="E7" s="2343" t="s">
        <v>2151</v>
      </c>
      <c r="F7" s="1301">
        <f ca="1">IF(G7&lt;B2,"已过期",2000110082)</f>
        <v>2000110082</v>
      </c>
      <c r="G7" s="2344">
        <v>46387</v>
      </c>
      <c r="H7" s="2345" t="str">
        <f t="shared" ca="1" si="1"/>
        <v>欧红伟（注册号：2000110082）</v>
      </c>
    </row>
    <row r="8" spans="1:8" ht="24" customHeight="1">
      <c r="A8" s="1301" t="s">
        <v>2152</v>
      </c>
      <c r="B8" s="1301">
        <f ca="1">IF(C8&lt;B2,"已过期",1419970001)</f>
        <v>1419970001</v>
      </c>
      <c r="C8" s="2341">
        <v>45937</v>
      </c>
      <c r="D8" s="2342" t="str">
        <f t="shared" ca="1" si="0"/>
        <v>吴薇（注册号：1419970001）</v>
      </c>
      <c r="E8" s="2343" t="s">
        <v>2152</v>
      </c>
      <c r="F8" s="1301">
        <f ca="1">IF(G8&lt;B2,"已过期",2002110125)</f>
        <v>2002110125</v>
      </c>
      <c r="G8" s="2344">
        <v>47118</v>
      </c>
      <c r="H8" s="2345" t="str">
        <f t="shared" ca="1" si="1"/>
        <v>吴薇（注册号：2002110125）</v>
      </c>
    </row>
    <row r="9" spans="1:8" ht="24" customHeight="1">
      <c r="A9" s="1301" t="s">
        <v>2153</v>
      </c>
      <c r="B9" s="1301">
        <f ca="1">IF(C9&lt;B2,"已过期",1120060040)</f>
        <v>1120060040</v>
      </c>
      <c r="C9" s="2346">
        <v>45592</v>
      </c>
      <c r="D9" s="2342" t="str">
        <f t="shared" ca="1" si="0"/>
        <v>陈颖（注册号：1120060040）</v>
      </c>
      <c r="E9" s="2343" t="s">
        <v>2153</v>
      </c>
      <c r="F9" s="1301">
        <f ca="1">IF(G9&lt;B2,"已过期",2004110096)</f>
        <v>2004110096</v>
      </c>
      <c r="G9" s="2344">
        <v>47118</v>
      </c>
      <c r="H9" s="2345" t="str">
        <f t="shared" ca="1" si="1"/>
        <v>陈颖（注册号：2004110096）</v>
      </c>
    </row>
    <row r="10" spans="1:8" ht="24" customHeight="1">
      <c r="A10" s="1301" t="s">
        <v>2154</v>
      </c>
      <c r="B10" s="1301">
        <f ca="1">IF(C10&lt;B2,"已过期",1120100036)</f>
        <v>1120100036</v>
      </c>
      <c r="C10" s="2346">
        <v>45752</v>
      </c>
      <c r="D10" s="2342" t="str">
        <f t="shared" ca="1" si="0"/>
        <v>崔锴（注册号：1120100036）</v>
      </c>
      <c r="E10" s="2343" t="s">
        <v>2154</v>
      </c>
      <c r="F10" s="1301">
        <f ca="1">IF(G10&lt;B2,"已过期",2010110070)</f>
        <v>2010110070</v>
      </c>
      <c r="G10" s="2344">
        <v>47907</v>
      </c>
      <c r="H10" s="2345" t="str">
        <f t="shared" ca="1" si="1"/>
        <v>崔锴（注册号：2010110070）</v>
      </c>
    </row>
    <row r="11" spans="1:8" ht="24" customHeight="1">
      <c r="A11" s="1301" t="s">
        <v>2155</v>
      </c>
      <c r="B11" s="1301">
        <f ca="1">IF(C11&lt;B2,"已过期",1120070131)</f>
        <v>1120070131</v>
      </c>
      <c r="C11" s="2341">
        <v>45937</v>
      </c>
      <c r="D11" s="2342" t="str">
        <f t="shared" ca="1" si="0"/>
        <v>郑燚（注册号：1120070131）</v>
      </c>
      <c r="E11" s="2343" t="s">
        <v>2155</v>
      </c>
      <c r="F11" s="1301">
        <f ca="1">IF(G11&lt;B2,"已过期",2014110011)</f>
        <v>2014110011</v>
      </c>
      <c r="G11" s="2344">
        <v>49302</v>
      </c>
      <c r="H11" s="2345" t="str">
        <f t="shared" ca="1" si="1"/>
        <v>郑燚（注册号：2014110011）</v>
      </c>
    </row>
    <row r="12" spans="1:8" ht="24" customHeight="1">
      <c r="A12" s="1301" t="s">
        <v>2156</v>
      </c>
      <c r="B12" s="1301">
        <f ca="1">IF(C12&lt;B2,"已过期",1120040230)</f>
        <v>1120040230</v>
      </c>
      <c r="C12" s="2346">
        <v>45937</v>
      </c>
      <c r="D12" s="2342" t="str">
        <f t="shared" ca="1" si="0"/>
        <v>苏海（注册号：1120040230）</v>
      </c>
      <c r="E12" s="2343" t="s">
        <v>2156</v>
      </c>
      <c r="F12" s="1301">
        <f ca="1">IF(G12&lt;B2,"已过期",98030020)</f>
        <v>98030020</v>
      </c>
      <c r="G12" s="2344">
        <v>47118</v>
      </c>
      <c r="H12" s="2345" t="str">
        <f t="shared" ca="1" si="1"/>
        <v>苏海（注册号：98030020）</v>
      </c>
    </row>
    <row r="13" spans="1:8" ht="24" customHeight="1">
      <c r="A13" s="1301" t="s">
        <v>2157</v>
      </c>
      <c r="B13" s="1301">
        <f ca="1">IF(C13&lt;B2,"已过期",1120020033)</f>
        <v>1120020033</v>
      </c>
      <c r="C13" s="2341">
        <v>45375</v>
      </c>
      <c r="D13" s="2342" t="str">
        <f t="shared" ca="1" si="0"/>
        <v>刘敬东（注册号：1120020033）</v>
      </c>
      <c r="E13" s="2343" t="s">
        <v>2157</v>
      </c>
      <c r="F13" s="1301">
        <f ca="1">IF(G13&lt;B2,"已过期",2000110137)</f>
        <v>2000110137</v>
      </c>
      <c r="G13" s="2344">
        <v>46387</v>
      </c>
      <c r="H13" s="2345" t="str">
        <f t="shared" ca="1" si="1"/>
        <v>刘敬东（注册号：2000110137）</v>
      </c>
    </row>
    <row r="14" spans="1:8" ht="24" customHeight="1">
      <c r="A14" s="1301" t="s">
        <v>2158</v>
      </c>
      <c r="B14" s="1301" t="str">
        <f ca="1">IF(C14&lt;B2,"已过期",1119980106)</f>
        <v>已过期</v>
      </c>
      <c r="C14" s="2346">
        <v>44969</v>
      </c>
      <c r="D14" s="2342" t="str">
        <f t="shared" ca="1" si="0"/>
        <v>刘俊财（注册号：已过期）</v>
      </c>
      <c r="E14" s="2343" t="s">
        <v>2158</v>
      </c>
      <c r="F14" s="1301">
        <f ca="1">IF(G14&lt;B2,"已过期",96010063)</f>
        <v>96010063</v>
      </c>
      <c r="G14" s="2344">
        <v>47483</v>
      </c>
      <c r="H14" s="2345" t="str">
        <f t="shared" ca="1" si="1"/>
        <v>刘俊财（注册号：96010063）</v>
      </c>
    </row>
    <row r="15" spans="1:8" ht="24" customHeight="1">
      <c r="A15" s="1301" t="s">
        <v>2428</v>
      </c>
      <c r="B15" s="1301">
        <v>1120210056</v>
      </c>
      <c r="C15" s="2346">
        <v>45410</v>
      </c>
      <c r="D15" s="2342" t="str">
        <f t="shared" si="0"/>
        <v>宁小鳗（注册号：1120210056）</v>
      </c>
      <c r="E15" s="2343" t="s">
        <v>2159</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39"/>
      <c r="E18" s="3510" t="s">
        <v>2162</v>
      </c>
      <c r="F18" s="3509"/>
      <c r="G18" s="3509"/>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2429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比较法-万达广场</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'比较法-仓储'!Print_Area</vt:lpstr>
      <vt:lpstr>'比较法-车位'!Print_Area</vt:lpstr>
      <vt:lpstr>'比较法-工业'!Print_Area</vt:lpstr>
      <vt:lpstr>'比较法-商业'!Print_Area</vt:lpstr>
      <vt:lpstr>'比较法-万达广场'!Print_Area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2023-06-02T02:33:12Z</dcterms:modified>
</cp:coreProperties>
</file>