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F28" i="78" l="1"/>
  <c r="D60" i="78"/>
  <c r="L43" i="78"/>
  <c r="D43" i="78"/>
  <c r="J27" i="78"/>
  <c r="B27" i="78"/>
  <c r="E26" i="78"/>
  <c r="F26" i="78" s="1"/>
  <c r="B26" i="78"/>
  <c r="L25" i="78"/>
  <c r="F25" i="78"/>
  <c r="B25" i="78"/>
  <c r="L24" i="78"/>
  <c r="H24" i="78"/>
  <c r="I24" i="78" s="1"/>
  <c r="J24" i="78" s="1"/>
  <c r="G24" i="78"/>
  <c r="B24" i="78"/>
  <c r="I23" i="78"/>
  <c r="J23" i="78" s="1"/>
  <c r="H23" i="78"/>
  <c r="B23" i="78"/>
  <c r="I22" i="78"/>
  <c r="J22" i="78" s="1"/>
  <c r="B22" i="78"/>
  <c r="J21" i="78"/>
  <c r="B21" i="78"/>
  <c r="G20" i="78"/>
  <c r="H20" i="78" s="1"/>
  <c r="I20" i="78" s="1"/>
  <c r="J20" i="78" s="1"/>
  <c r="F20" i="78"/>
  <c r="B20" i="78"/>
  <c r="G19" i="78"/>
  <c r="H19" i="78" s="1"/>
  <c r="F19" i="78"/>
  <c r="D19" i="78"/>
  <c r="B19" i="78"/>
  <c r="Q13" i="78"/>
  <c r="P13" i="78"/>
  <c r="O13" i="78"/>
  <c r="D13" i="78"/>
  <c r="L27" i="78" s="1"/>
  <c r="R12" i="78"/>
  <c r="R11" i="78"/>
  <c r="R10" i="78"/>
  <c r="R9" i="78"/>
  <c r="R8" i="78"/>
  <c r="R7" i="78"/>
  <c r="E22" i="78" s="1"/>
  <c r="R6" i="78"/>
  <c r="E21" i="78" s="1"/>
  <c r="R5" i="78"/>
  <c r="R4" i="78"/>
  <c r="I19" i="78" l="1"/>
  <c r="J19" i="78" s="1"/>
  <c r="G26" i="78"/>
  <c r="H26" i="78" s="1"/>
  <c r="I26" i="78" s="1"/>
  <c r="J26" i="78" s="1"/>
  <c r="L19" i="78"/>
  <c r="L20" i="78"/>
  <c r="L22" i="78"/>
  <c r="L23" i="78"/>
  <c r="G25" i="78"/>
  <c r="H25" i="78" s="1"/>
  <c r="I25" i="78" s="1"/>
  <c r="J25" i="78" s="1"/>
  <c r="L26" i="78"/>
  <c r="E28" i="78" l="1"/>
  <c r="C33" i="33" l="1"/>
  <c r="B25" i="31"/>
  <c r="B26" i="31"/>
  <c r="B27" i="31"/>
  <c r="B28" i="31"/>
  <c r="B29" i="31"/>
  <c r="B30" i="31"/>
  <c r="B31" i="31"/>
  <c r="B32" i="31"/>
  <c r="A25" i="31"/>
  <c r="A26" i="31"/>
  <c r="A27" i="31"/>
  <c r="A28" i="31"/>
  <c r="A29" i="31"/>
  <c r="A30" i="31"/>
  <c r="A31" i="31"/>
  <c r="A32" i="31"/>
  <c r="B24" i="31"/>
  <c r="A24" i="31"/>
  <c r="AD6" i="1"/>
  <c r="Z6" i="1"/>
  <c r="Y6" i="1"/>
  <c r="N6" i="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c r="F54" i="71" s="1"/>
  <c r="V54" i="71" s="1"/>
  <c r="P51" i="71"/>
  <c r="E52" i="71"/>
  <c r="O51" i="71"/>
  <c r="C52" i="71"/>
  <c r="N51" i="71"/>
  <c r="B52" i="71"/>
  <c r="B53" i="71" s="1"/>
  <c r="B54" i="71"/>
  <c r="S54" i="71" s="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B28" i="71" s="1"/>
  <c r="B29" i="71" s="1"/>
  <c r="B30" i="71" s="1"/>
  <c r="S30" i="71" s="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X21" i="71" s="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E28" i="71"/>
  <c r="E29" i="71" s="1"/>
  <c r="E30" i="71" s="1"/>
  <c r="U30" i="71" s="1"/>
  <c r="AA27" i="71"/>
  <c r="N58" i="71"/>
  <c r="E24" i="71"/>
  <c r="E25" i="71" s="1"/>
  <c r="E26" i="71" s="1"/>
  <c r="U26" i="71" s="1"/>
  <c r="AA23" i="71"/>
  <c r="C20" i="71"/>
  <c r="Y19" i="71"/>
  <c r="Z19" i="71" s="1"/>
  <c r="AB19" i="71"/>
  <c r="AA20" i="71"/>
  <c r="AA21"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C33" i="71"/>
  <c r="D32" i="71"/>
  <c r="C37" i="71"/>
  <c r="D37" i="71" s="1"/>
  <c r="D36" i="71"/>
  <c r="C41" i="71"/>
  <c r="D40" i="71"/>
  <c r="P18" i="71"/>
  <c r="E45" i="71"/>
  <c r="E46" i="71" s="1"/>
  <c r="U46" i="71" s="1"/>
  <c r="E49" i="71"/>
  <c r="E50" i="71"/>
  <c r="U50" i="71" s="1"/>
  <c r="E53" i="71"/>
  <c r="E54" i="71" s="1"/>
  <c r="U54" i="71" s="1"/>
  <c r="U58" i="71"/>
  <c r="E57" i="71"/>
  <c r="Q18" i="71"/>
  <c r="AB15" i="71" s="1"/>
  <c r="C45" i="71"/>
  <c r="D44" i="71"/>
  <c r="C49" i="71"/>
  <c r="D48" i="71"/>
  <c r="C53" i="71"/>
  <c r="D52"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S18" i="71"/>
  <c r="F18" i="71"/>
  <c r="F17" i="71" s="1"/>
  <c r="F16" i="71" s="1"/>
  <c r="AB16" i="71"/>
  <c r="AB18" i="71"/>
  <c r="E18" i="71"/>
  <c r="E17" i="71"/>
  <c r="E16" i="71" s="1"/>
  <c r="AA3" i="71"/>
  <c r="AA15" i="71"/>
  <c r="AA16" i="71"/>
  <c r="AA17" i="71"/>
  <c r="AA18" i="71"/>
  <c r="D18" i="71"/>
  <c r="U18" i="71"/>
  <c r="C56" i="71"/>
  <c r="O57" i="71"/>
  <c r="D57" i="71"/>
  <c r="C54" i="71"/>
  <c r="D54" i="71" s="1"/>
  <c r="D53" i="71"/>
  <c r="D73" i="71"/>
  <c r="C72" i="71"/>
  <c r="D72" i="71"/>
  <c r="D65" i="71"/>
  <c r="C64" i="71"/>
  <c r="D64" i="71" s="1"/>
  <c r="N55" i="71"/>
  <c r="D77" i="71"/>
  <c r="D69" i="71"/>
  <c r="C68" i="71"/>
  <c r="D68" i="71" s="1"/>
  <c r="D61" i="71"/>
  <c r="C60" i="71"/>
  <c r="D60" i="71"/>
  <c r="C50" i="71"/>
  <c r="D49" i="71"/>
  <c r="C46" i="71"/>
  <c r="D45" i="71"/>
  <c r="P57" i="71"/>
  <c r="E56" i="71"/>
  <c r="P55" i="71" s="1"/>
  <c r="C42" i="71"/>
  <c r="D41" i="71"/>
  <c r="C34" i="71"/>
  <c r="D33" i="71"/>
  <c r="C30" i="71"/>
  <c r="D29" i="71"/>
  <c r="C26" i="71"/>
  <c r="D25" i="71"/>
  <c r="C22" i="71"/>
  <c r="D21" i="71"/>
  <c r="V18" i="71"/>
  <c r="P56" i="71"/>
  <c r="O56" i="71"/>
  <c r="D56" i="71"/>
  <c r="O55" i="71"/>
  <c r="T22" i="71"/>
  <c r="D22" i="71"/>
  <c r="T26" i="71"/>
  <c r="D26" i="71"/>
  <c r="T30" i="71"/>
  <c r="D30" i="71"/>
  <c r="T34" i="71"/>
  <c r="D34" i="71"/>
  <c r="T42" i="71"/>
  <c r="D42" i="71"/>
  <c r="T46" i="71"/>
  <c r="D46"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AA21" i="33" s="1"/>
  <c r="E83" i="21"/>
  <c r="F83" i="21" s="1"/>
  <c r="G83" i="21" s="1"/>
  <c r="S21" i="21"/>
  <c r="H1" i="69"/>
  <c r="AC25" i="40"/>
  <c r="W25" i="40"/>
  <c r="AB25" i="40"/>
  <c r="U25" i="40"/>
  <c r="AB29" i="39"/>
  <c r="U29" i="39"/>
  <c r="W29" i="39"/>
  <c r="W18" i="36"/>
  <c r="AB21" i="37"/>
  <c r="U21" i="37"/>
  <c r="S21" i="37"/>
  <c r="U21" i="34"/>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U21" i="21"/>
  <c r="J21" i="21"/>
  <c r="W21" i="21" s="1"/>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S74" i="31" s="1"/>
  <c r="R75" i="31"/>
  <c r="S75" i="31" s="1"/>
  <c r="R76" i="31"/>
  <c r="S76" i="31" s="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R500" i="31"/>
  <c r="S500" i="31" s="1"/>
  <c r="R501" i="31"/>
  <c r="S501" i="31" s="1"/>
  <c r="R502" i="31"/>
  <c r="S502" i="31" s="1"/>
  <c r="R503" i="31"/>
  <c r="S503" i="31" s="1"/>
  <c r="R504" i="31"/>
  <c r="S504" i="31" s="1"/>
  <c r="R505" i="31"/>
  <c r="S505" i="31" s="1"/>
  <c r="R506" i="31"/>
  <c r="R507" i="31"/>
  <c r="R508" i="31"/>
  <c r="R509" i="31"/>
  <c r="R510" i="31"/>
  <c r="R511" i="31"/>
  <c r="R512" i="31"/>
  <c r="R513" i="31"/>
  <c r="R514" i="3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72" i="31"/>
  <c r="S364" i="31"/>
  <c r="S356" i="31"/>
  <c r="S348" i="31"/>
  <c r="S340" i="31"/>
  <c r="S332" i="31"/>
  <c r="S324" i="31"/>
  <c r="S316" i="31"/>
  <c r="S308" i="31"/>
  <c r="S300" i="31"/>
  <c r="S292" i="31"/>
  <c r="S284" i="31"/>
  <c r="S276" i="31"/>
  <c r="S268" i="31"/>
  <c r="S260" i="31"/>
  <c r="S253" i="31"/>
  <c r="S245" i="31"/>
  <c r="S237" i="31"/>
  <c r="S229" i="31"/>
  <c r="S429" i="31"/>
  <c r="S215" i="31"/>
  <c r="S207" i="31"/>
  <c r="S199" i="31"/>
  <c r="S191" i="31"/>
  <c r="S183" i="31"/>
  <c r="S175" i="31"/>
  <c r="S167" i="31"/>
  <c r="S159" i="31"/>
  <c r="S151" i="31"/>
  <c r="S143" i="31"/>
  <c r="S135" i="31"/>
  <c r="S127" i="31"/>
  <c r="S491" i="31"/>
  <c r="S475" i="31"/>
  <c r="S444" i="31"/>
  <c r="S442" i="31"/>
  <c r="S440" i="31"/>
  <c r="S438" i="31"/>
  <c r="S436" i="31"/>
  <c r="S434" i="31"/>
  <c r="S432" i="31"/>
  <c r="S430" i="31"/>
  <c r="S115" i="31"/>
  <c r="S506" i="31"/>
  <c r="S498" i="31"/>
  <c r="S466" i="31"/>
  <c r="S464" i="31"/>
  <c r="S462" i="31"/>
  <c r="S460" i="31"/>
  <c r="S458" i="31"/>
  <c r="S456" i="31"/>
  <c r="S454" i="31"/>
  <c r="S452" i="31"/>
  <c r="S450" i="31"/>
  <c r="S53" i="31"/>
  <c r="S49" i="31"/>
  <c r="S45" i="31"/>
  <c r="S41" i="31"/>
  <c r="S37" i="31"/>
  <c r="S77"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S29" i="33" s="1"/>
  <c r="J31" i="33"/>
  <c r="W31" i="33" s="1"/>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U41" i="33" s="1"/>
  <c r="F121" i="33"/>
  <c r="G121" i="33" s="1"/>
  <c r="H121" i="33" s="1"/>
  <c r="I121" i="33" s="1"/>
  <c r="J121" i="33" s="1"/>
  <c r="K121" i="33" s="1"/>
  <c r="L121" i="33" s="1"/>
  <c r="M121" i="33" s="1"/>
  <c r="S42" i="33"/>
  <c r="G111" i="33"/>
  <c r="F36" i="33" s="1"/>
  <c r="S36" i="33" s="1"/>
  <c r="J35" i="33"/>
  <c r="AC35" i="33" s="1"/>
  <c r="S37" i="33"/>
  <c r="AA37" i="33"/>
  <c r="S39" i="33"/>
  <c r="F101" i="33"/>
  <c r="G101" i="33"/>
  <c r="H101" i="33" s="1"/>
  <c r="I101" i="33" s="1"/>
  <c r="J101" i="33" s="1"/>
  <c r="K101" i="33" s="1"/>
  <c r="L101" i="33" s="1"/>
  <c r="M101" i="33" s="1"/>
  <c r="J32" i="33"/>
  <c r="AC32" i="33" s="1"/>
  <c r="S46" i="33"/>
  <c r="W43" i="33"/>
  <c r="H27" i="33"/>
  <c r="F87" i="33"/>
  <c r="H25" i="33"/>
  <c r="F25" i="33"/>
  <c r="AA25" i="33" s="1"/>
  <c r="J23" i="33"/>
  <c r="F85" i="33"/>
  <c r="G85" i="33" s="1"/>
  <c r="H23" i="33"/>
  <c r="F81" i="33"/>
  <c r="F19" i="33"/>
  <c r="S19" i="33" s="1"/>
  <c r="W19" i="33"/>
  <c r="J17" i="33"/>
  <c r="F79" i="33"/>
  <c r="G79" i="33" s="1"/>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G16" i="1" s="1"/>
  <c r="J10" i="39" s="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C7" i="33"/>
  <c r="C58" i="33" s="1"/>
  <c r="D58" i="33" s="1"/>
  <c r="C7" i="21"/>
  <c r="C58" i="21" s="1"/>
  <c r="D58" i="21" s="1"/>
  <c r="E58" i="21" s="1"/>
  <c r="F58" i="21" s="1"/>
  <c r="C7" i="40"/>
  <c r="C63" i="40" s="1"/>
  <c r="M47" i="9"/>
  <c r="G19" i="43"/>
  <c r="O19" i="43" s="1"/>
  <c r="C19" i="43" s="1"/>
  <c r="T35" i="4"/>
  <c r="A19" i="51" s="1"/>
  <c r="B14" i="72" s="1"/>
  <c r="C46" i="36"/>
  <c r="D46" i="36"/>
  <c r="C59" i="34"/>
  <c r="D59" i="34"/>
  <c r="E59" i="34" s="1"/>
  <c r="F59" i="34" s="1"/>
  <c r="C52" i="37"/>
  <c r="D52" i="37"/>
  <c r="E52" i="37" s="1"/>
  <c r="A4" i="51"/>
  <c r="B6" i="72" s="1"/>
  <c r="C4" i="12"/>
  <c r="H66" i="43"/>
  <c r="H65" i="43"/>
  <c r="H64" i="43"/>
  <c r="H63" i="43"/>
  <c r="H55" i="43"/>
  <c r="H56" i="43"/>
  <c r="H72" i="43"/>
  <c r="L20" i="6"/>
  <c r="E56" i="39"/>
  <c r="E51" i="40"/>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4" i="4"/>
  <c r="B4" i="62" s="1"/>
  <c r="B71" i="72" s="1"/>
  <c r="AQ13" i="1"/>
  <c r="AZ13" i="3"/>
  <c r="M6" i="1"/>
  <c r="O6" i="1" s="1"/>
  <c r="P6" i="1" s="1"/>
  <c r="F30" i="68"/>
  <c r="F30" i="11"/>
  <c r="C48" i="11" s="1"/>
  <c r="F28" i="67"/>
  <c r="F31" i="12"/>
  <c r="F52" i="9"/>
  <c r="M18" i="67"/>
  <c r="F32" i="67"/>
  <c r="F60" i="67" s="1"/>
  <c r="F30" i="69"/>
  <c r="C48" i="69" s="1"/>
  <c r="F32" i="15"/>
  <c r="F60" i="15" s="1"/>
  <c r="M18" i="15"/>
  <c r="F28" i="15"/>
  <c r="T11" i="1"/>
  <c r="D9" i="69"/>
  <c r="C9" i="69" s="1"/>
  <c r="AQ9" i="1"/>
  <c r="AR11" i="1"/>
  <c r="C28" i="15"/>
  <c r="T9" i="1"/>
  <c r="T13" i="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I70" i="34" s="1"/>
  <c r="J70" i="34" s="1"/>
  <c r="K70" i="34" s="1"/>
  <c r="L70" i="34" s="1"/>
  <c r="M70" i="34" s="1"/>
  <c r="H11" i="34"/>
  <c r="AB10" i="34"/>
  <c r="U10" i="34"/>
  <c r="J10" i="34"/>
  <c r="AC10" i="34" s="1"/>
  <c r="I67" i="34"/>
  <c r="J36" i="33"/>
  <c r="W36" i="33" s="1"/>
  <c r="W32" i="33"/>
  <c r="U27" i="33"/>
  <c r="AB27" i="33"/>
  <c r="J27" i="33"/>
  <c r="U25" i="33"/>
  <c r="AB25" i="33"/>
  <c r="G87" i="33"/>
  <c r="H87" i="33" s="1"/>
  <c r="I87" i="33" s="1"/>
  <c r="J87" i="33" s="1"/>
  <c r="K87" i="33" s="1"/>
  <c r="L87" i="33" s="1"/>
  <c r="M87" i="33" s="1"/>
  <c r="J25" i="33"/>
  <c r="AB23" i="33"/>
  <c r="U23" i="33"/>
  <c r="F23" i="33"/>
  <c r="S23" i="33" s="1"/>
  <c r="AC23" i="33"/>
  <c r="W23" i="33"/>
  <c r="AA19" i="33"/>
  <c r="H19" i="33"/>
  <c r="G81" i="33"/>
  <c r="H17" i="33"/>
  <c r="AB17" i="33" s="1"/>
  <c r="F17" i="33"/>
  <c r="W17" i="33"/>
  <c r="AC17" i="33"/>
  <c r="U10" i="33"/>
  <c r="AB10" i="33"/>
  <c r="AC37" i="21"/>
  <c r="U33" i="21"/>
  <c r="S37" i="21"/>
  <c r="AA23" i="21"/>
  <c r="AB15" i="21"/>
  <c r="J23" i="21"/>
  <c r="F85" i="21"/>
  <c r="G85" i="21" s="1"/>
  <c r="H23" i="21"/>
  <c r="AB23" i="21" s="1"/>
  <c r="S13" i="21"/>
  <c r="D6" i="52"/>
  <c r="D121" i="9"/>
  <c r="D7" i="52"/>
  <c r="K120" i="9"/>
  <c r="K14" i="1"/>
  <c r="M14" i="1" s="1"/>
  <c r="AR8" i="1"/>
  <c r="AP7" i="1"/>
  <c r="C36" i="69" s="1"/>
  <c r="Q16" i="1"/>
  <c r="F27"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AC10" i="37"/>
  <c r="U11" i="34"/>
  <c r="AB11" i="34"/>
  <c r="W10" i="34"/>
  <c r="J11" i="34"/>
  <c r="W27" i="33"/>
  <c r="AC27" i="33"/>
  <c r="W25" i="33"/>
  <c r="AC25" i="33"/>
  <c r="AB19" i="33"/>
  <c r="U19" i="33"/>
  <c r="AA17" i="33"/>
  <c r="S17" i="33"/>
  <c r="U23" i="21"/>
  <c r="AC23" i="21"/>
  <c r="W23" i="21"/>
  <c r="W11" i="37"/>
  <c r="W11" i="34"/>
  <c r="AC11" i="34"/>
  <c r="R7" i="1"/>
  <c r="F34" i="11"/>
  <c r="C36" i="11" s="1"/>
  <c r="F11" i="12"/>
  <c r="C23" i="12" s="1"/>
  <c r="F34" i="68"/>
  <c r="R8" i="1"/>
  <c r="AE7" i="1"/>
  <c r="AE8" i="1"/>
  <c r="H109" i="9"/>
  <c r="H112" i="9"/>
  <c r="D21" i="53" s="1"/>
  <c r="B39" i="72" s="1"/>
  <c r="H111" i="9"/>
  <c r="D126" i="9" s="1"/>
  <c r="I14" i="74" s="1"/>
  <c r="B8" i="74" s="1"/>
  <c r="D59" i="9"/>
  <c r="M55" i="9"/>
  <c r="AD3" i="71"/>
  <c r="J1" i="73"/>
  <c r="C13" i="12"/>
  <c r="C77"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K59" i="34" s="1"/>
  <c r="D68" i="39"/>
  <c r="D70" i="39" s="1"/>
  <c r="E46" i="36"/>
  <c r="F46" i="36"/>
  <c r="C48" i="68"/>
  <c r="AB12" i="71"/>
  <c r="X10" i="71"/>
  <c r="X9" i="71"/>
  <c r="AA10" i="71"/>
  <c r="AA9" i="71"/>
  <c r="X13" i="71"/>
  <c r="Y9" i="71"/>
  <c r="Z9" i="71" s="1"/>
  <c r="AB10" i="71"/>
  <c r="AB9" i="71"/>
  <c r="F11" i="71"/>
  <c r="F10" i="71"/>
  <c r="F9" i="71" s="1"/>
  <c r="F8" i="71" s="1"/>
  <c r="F7" i="71" s="1"/>
  <c r="Y10" i="71"/>
  <c r="Z10" i="71" s="1"/>
  <c r="X3" i="71"/>
  <c r="E11" i="71"/>
  <c r="E10" i="71"/>
  <c r="E9" i="71" s="1"/>
  <c r="E8" i="71" s="1"/>
  <c r="E7" i="71" s="1"/>
  <c r="E6" i="71" s="1"/>
  <c r="E10" i="49"/>
  <c r="B22" i="49"/>
  <c r="G20" i="43"/>
  <c r="E68" i="39"/>
  <c r="F68" i="39" s="1"/>
  <c r="E41" i="43"/>
  <c r="C41" i="43" s="1"/>
  <c r="C20" i="43"/>
  <c r="E8" i="49"/>
  <c r="F40" i="15"/>
  <c r="M23" i="67"/>
  <c r="M28" i="67"/>
  <c r="M6" i="15"/>
  <c r="D2" i="33"/>
  <c r="F7" i="67"/>
  <c r="E2" i="69"/>
  <c r="J15" i="67"/>
  <c r="L48" i="15"/>
  <c r="D2" i="37"/>
  <c r="C76" i="67"/>
  <c r="F8" i="15"/>
  <c r="B11" i="76"/>
  <c r="M22" i="15"/>
  <c r="F38" i="15"/>
  <c r="F37" i="15"/>
  <c r="E12" i="76"/>
  <c r="D2" i="34"/>
  <c r="F40" i="67"/>
  <c r="L47" i="67"/>
  <c r="M28" i="15"/>
  <c r="M22" i="67"/>
  <c r="AO8" i="1"/>
  <c r="E9" i="76"/>
  <c r="F4" i="73"/>
  <c r="M9" i="67"/>
  <c r="L48" i="67"/>
  <c r="D2" i="21"/>
  <c r="AO12" i="1"/>
  <c r="F7" i="73"/>
  <c r="F9" i="15"/>
  <c r="F43" i="67"/>
  <c r="M21" i="15"/>
  <c r="C76" i="15"/>
  <c r="M6" i="67"/>
  <c r="M26" i="15"/>
  <c r="F6" i="73"/>
  <c r="F36" i="15"/>
  <c r="F43" i="15"/>
  <c r="B13" i="76"/>
  <c r="F6" i="15"/>
  <c r="F7" i="15"/>
  <c r="F35" i="15"/>
  <c r="F42" i="67"/>
  <c r="M27" i="15"/>
  <c r="F5" i="73"/>
  <c r="M24" i="67"/>
  <c r="D7" i="73"/>
  <c r="AO11" i="1"/>
  <c r="D2" i="35"/>
  <c r="AO7" i="1"/>
  <c r="E8" i="76"/>
  <c r="F13" i="67"/>
  <c r="E13" i="76"/>
  <c r="F41" i="15"/>
  <c r="E7" i="76"/>
  <c r="L47" i="15"/>
  <c r="M29" i="67"/>
  <c r="F42" i="15"/>
  <c r="F13" i="15"/>
  <c r="F36" i="67"/>
  <c r="E11" i="76"/>
  <c r="F41" i="67"/>
  <c r="AO9" i="1"/>
  <c r="F16" i="67"/>
  <c r="F26" i="67"/>
  <c r="E10" i="76"/>
  <c r="F3" i="73"/>
  <c r="AO13" i="1"/>
  <c r="C19" i="9"/>
  <c r="D6" i="73"/>
  <c r="AO10" i="1"/>
  <c r="F9" i="67"/>
  <c r="D5" i="73"/>
  <c r="D2" i="36"/>
  <c r="F38" i="67"/>
  <c r="C20" i="9"/>
  <c r="D4" i="73"/>
  <c r="D3" i="73"/>
  <c r="M29" i="15"/>
  <c r="B7" i="76"/>
  <c r="B12" i="76"/>
  <c r="M9" i="15"/>
  <c r="B9" i="76"/>
  <c r="F37" i="67"/>
  <c r="M8" i="67"/>
  <c r="F16" i="15"/>
  <c r="F26" i="15"/>
  <c r="J15" i="15"/>
  <c r="B8" i="76"/>
  <c r="B10" i="76"/>
  <c r="M8" i="15"/>
  <c r="F8" i="67"/>
  <c r="E2" i="68"/>
  <c r="M24" i="15"/>
  <c r="M26" i="67"/>
  <c r="M23" i="15"/>
  <c r="S43" i="33" l="1"/>
  <c r="AB41" i="33"/>
  <c r="AC36" i="33"/>
  <c r="H36" i="33"/>
  <c r="H111" i="33"/>
  <c r="I111" i="33" s="1"/>
  <c r="J111" i="33" s="1"/>
  <c r="K111" i="33" s="1"/>
  <c r="L111" i="33" s="1"/>
  <c r="M111" i="33" s="1"/>
  <c r="AA34" i="33"/>
  <c r="H15" i="33"/>
  <c r="AB15" i="33" s="1"/>
  <c r="J15" i="33"/>
  <c r="AC15" i="33" s="1"/>
  <c r="F15" i="33"/>
  <c r="AA15" i="33" s="1"/>
  <c r="W15" i="33"/>
  <c r="U15" i="33"/>
  <c r="AB21" i="33"/>
  <c r="S28" i="33"/>
  <c r="S25" i="33"/>
  <c r="S15" i="33"/>
  <c r="U42" i="33"/>
  <c r="W35" i="33"/>
  <c r="U35" i="33"/>
  <c r="AC34" i="33"/>
  <c r="AA36" i="33"/>
  <c r="U32" i="33"/>
  <c r="S38" i="33"/>
  <c r="AA35" i="33"/>
  <c r="U33" i="33"/>
  <c r="AA23" i="33"/>
  <c r="W21" i="33"/>
  <c r="U17" i="33"/>
  <c r="W10" i="33"/>
  <c r="U11" i="33"/>
  <c r="S9" i="33"/>
  <c r="P74" i="67"/>
  <c r="F28" i="12"/>
  <c r="B4" i="49"/>
  <c r="E9" i="49"/>
  <c r="E6" i="49"/>
  <c r="C92" i="9"/>
  <c r="C94" i="9"/>
  <c r="C74" i="9"/>
  <c r="C31" i="12"/>
  <c r="C24" i="12"/>
  <c r="C29" i="12" s="1"/>
  <c r="D28" i="12" s="1"/>
  <c r="C30" i="68"/>
  <c r="C30" i="69"/>
  <c r="C30" i="11"/>
  <c r="C47" i="69"/>
  <c r="D45" i="69" s="1"/>
  <c r="C40" i="69"/>
  <c r="D23" i="67"/>
  <c r="F29" i="6"/>
  <c r="L27" i="6"/>
  <c r="AZ19" i="3"/>
  <c r="BA5" i="3"/>
  <c r="E27" i="6" s="1"/>
  <c r="BL18" i="3"/>
  <c r="H16" i="1"/>
  <c r="T8" i="1"/>
  <c r="E59" i="40"/>
  <c r="E13" i="6"/>
  <c r="E15" i="6"/>
  <c r="AZ18" i="3"/>
  <c r="E62" i="39"/>
  <c r="E57" i="40"/>
  <c r="F27" i="11"/>
  <c r="C29" i="11" s="1"/>
  <c r="D27" i="11" s="1"/>
  <c r="F27" i="68"/>
  <c r="C29" i="68" s="1"/>
  <c r="D27" i="68" s="1"/>
  <c r="E2" i="70"/>
  <c r="E56" i="40"/>
  <c r="T7" i="1"/>
  <c r="C34" i="69"/>
  <c r="C35" i="69" s="1"/>
  <c r="AR7" i="1"/>
  <c r="D9" i="68"/>
  <c r="C9" i="68" s="1"/>
  <c r="D19" i="12"/>
  <c r="C19" i="12" s="1"/>
  <c r="B113" i="43"/>
  <c r="G101" i="43"/>
  <c r="J101" i="43"/>
  <c r="H22" i="43"/>
  <c r="H101" i="43"/>
  <c r="G22" i="43"/>
  <c r="AF11" i="43"/>
  <c r="AF13" i="43" s="1"/>
  <c r="AD11" i="43"/>
  <c r="Z7" i="43"/>
  <c r="AI11" i="43"/>
  <c r="AI13" i="43" s="1"/>
  <c r="AG11" i="43"/>
  <c r="AA11" i="43"/>
  <c r="AA13" i="43" s="1"/>
  <c r="Y11" i="43"/>
  <c r="Y13" i="43" s="1"/>
  <c r="F22" i="43"/>
  <c r="K101" i="43"/>
  <c r="F101" i="43"/>
  <c r="N101" i="43"/>
  <c r="E22" i="43"/>
  <c r="C101" i="43"/>
  <c r="N104" i="46"/>
  <c r="L101" i="43"/>
  <c r="D101" i="43"/>
  <c r="M101" i="43"/>
  <c r="I101" i="43"/>
  <c r="E101" i="43"/>
  <c r="AJ11" i="43"/>
  <c r="AJ13" i="43" s="1"/>
  <c r="AH11" i="43"/>
  <c r="AB11" i="43"/>
  <c r="AB13" i="43" s="1"/>
  <c r="Z11" i="43"/>
  <c r="AE11" i="43"/>
  <c r="AE13" i="43" s="1"/>
  <c r="AC11" i="43"/>
  <c r="J22" i="43"/>
  <c r="J10" i="40"/>
  <c r="H10" i="39"/>
  <c r="D127" i="9"/>
  <c r="D13" i="52" s="1"/>
  <c r="D63" i="40"/>
  <c r="C65" i="40"/>
  <c r="W10" i="39"/>
  <c r="AC10" i="39"/>
  <c r="E70" i="39"/>
  <c r="G68" i="39"/>
  <c r="F70" i="39"/>
  <c r="L59" i="34"/>
  <c r="M59" i="34" s="1"/>
  <c r="N59" i="34" s="1"/>
  <c r="O59" i="34" s="1"/>
  <c r="J7" i="34"/>
  <c r="G58" i="21"/>
  <c r="H58" i="21" s="1"/>
  <c r="I58" i="21" s="1"/>
  <c r="J58" i="21" s="1"/>
  <c r="K58" i="21" s="1"/>
  <c r="L58" i="21" s="1"/>
  <c r="M58" i="21" s="1"/>
  <c r="N58" i="21" s="1"/>
  <c r="O58" i="21" s="1"/>
  <c r="F7" i="21"/>
  <c r="J7" i="21"/>
  <c r="E5" i="71"/>
  <c r="V6" i="71"/>
  <c r="G46" i="36"/>
  <c r="H46" i="36" s="1"/>
  <c r="I46" i="36" s="1"/>
  <c r="J46" i="36" s="1"/>
  <c r="K46" i="36" s="1"/>
  <c r="L46" i="36" s="1"/>
  <c r="M46" i="36" s="1"/>
  <c r="N46" i="36" s="1"/>
  <c r="O46" i="36" s="1"/>
  <c r="G17" i="43"/>
  <c r="C16" i="43" s="1"/>
  <c r="D124" i="9"/>
  <c r="O14" i="1"/>
  <c r="P14" i="1" s="1"/>
  <c r="H7" i="34"/>
  <c r="F7" i="34"/>
  <c r="V10" i="71"/>
  <c r="H7" i="21"/>
  <c r="F7" i="36"/>
  <c r="F10" i="39"/>
  <c r="F10" i="40"/>
  <c r="H10" i="40"/>
  <c r="D12" i="52"/>
  <c r="D19" i="53"/>
  <c r="D16" i="53"/>
  <c r="H110" i="9"/>
  <c r="D18" i="53" s="1"/>
  <c r="B35" i="72" s="1"/>
  <c r="M16" i="1"/>
  <c r="C34" i="11" s="1"/>
  <c r="F52" i="37"/>
  <c r="O9" i="1"/>
  <c r="P9" i="1" s="1"/>
  <c r="P16" i="1" s="1"/>
  <c r="C11" i="12" s="1"/>
  <c r="BL5" i="3"/>
  <c r="AZ495" i="3"/>
  <c r="AZ521" i="3"/>
  <c r="E58" i="33"/>
  <c r="F58" i="33" s="1"/>
  <c r="G58" i="33" s="1"/>
  <c r="H58" i="33" s="1"/>
  <c r="I58" i="33" s="1"/>
  <c r="J58" i="33" s="1"/>
  <c r="K58" i="33" s="1"/>
  <c r="L58" i="33" s="1"/>
  <c r="M58" i="33" s="1"/>
  <c r="N58" i="33" s="1"/>
  <c r="O58" i="33" s="1"/>
  <c r="F7" i="33"/>
  <c r="H7" i="33"/>
  <c r="D48" i="35"/>
  <c r="K24" i="6"/>
  <c r="M24" i="6" s="1"/>
  <c r="I24" i="6" s="1"/>
  <c r="S24" i="6" s="1"/>
  <c r="K26" i="6"/>
  <c r="M26" i="6" s="1"/>
  <c r="I26" i="6" s="1"/>
  <c r="S26" i="6" s="1"/>
  <c r="K19" i="6"/>
  <c r="S6" i="1" s="1"/>
  <c r="AR6" i="1" s="1"/>
  <c r="K20" i="6"/>
  <c r="M20" i="6" s="1"/>
  <c r="I20" i="6" s="1"/>
  <c r="S20" i="6" s="1"/>
  <c r="K21" i="6"/>
  <c r="M21" i="6" s="1"/>
  <c r="I21" i="6" s="1"/>
  <c r="S21" i="6" s="1"/>
  <c r="K22" i="6"/>
  <c r="M22" i="6" s="1"/>
  <c r="I22" i="6" s="1"/>
  <c r="S22" i="6" s="1"/>
  <c r="K25" i="6"/>
  <c r="M25" i="6" s="1"/>
  <c r="I25" i="6" s="1"/>
  <c r="S25" i="6" s="1"/>
  <c r="K23" i="6"/>
  <c r="M23" i="6" s="1"/>
  <c r="I23" i="6" s="1"/>
  <c r="S23" i="6" s="1"/>
  <c r="F30" i="6"/>
  <c r="F31" i="6" s="1"/>
  <c r="E29" i="6"/>
  <c r="D9" i="53"/>
  <c r="B25" i="72" s="1"/>
  <c r="B24" i="72"/>
  <c r="G5" i="3"/>
  <c r="B3" i="3" s="1"/>
  <c r="E521" i="3" s="1"/>
  <c r="AB27" i="36"/>
  <c r="AA39" i="34"/>
  <c r="AZ581" i="3"/>
  <c r="AZ557" i="3"/>
  <c r="AZ568" i="3"/>
  <c r="AZ576" i="3"/>
  <c r="AA14" i="37"/>
  <c r="J9" i="34"/>
  <c r="H9" i="34"/>
  <c r="H36" i="35"/>
  <c r="J36" i="35"/>
  <c r="AZ409" i="3"/>
  <c r="AZ416" i="3"/>
  <c r="AZ425" i="3"/>
  <c r="AZ432" i="3"/>
  <c r="AZ464" i="3"/>
  <c r="AZ467" i="3"/>
  <c r="AZ480" i="3"/>
  <c r="AA13" i="35"/>
  <c r="J34" i="35"/>
  <c r="H34" i="35"/>
  <c r="F34" i="35"/>
  <c r="AZ399" i="3"/>
  <c r="AZ404" i="3"/>
  <c r="AZ414" i="3"/>
  <c r="AZ421" i="3"/>
  <c r="AZ440" i="3"/>
  <c r="AZ449" i="3"/>
  <c r="AZ453" i="3"/>
  <c r="AZ455" i="3"/>
  <c r="AZ460" i="3"/>
  <c r="AZ471" i="3"/>
  <c r="AZ476" i="3"/>
  <c r="AZ478" i="3"/>
  <c r="AZ482" i="3"/>
  <c r="AZ484" i="3"/>
  <c r="AZ486" i="3"/>
  <c r="AZ492" i="3"/>
  <c r="AZ395" i="3"/>
  <c r="AZ208" i="3"/>
  <c r="AZ211" i="3"/>
  <c r="AZ219" i="3"/>
  <c r="AZ236" i="3"/>
  <c r="AZ276" i="3"/>
  <c r="AZ73" i="3"/>
  <c r="AZ252" i="3"/>
  <c r="AZ258" i="3"/>
  <c r="AZ267" i="3"/>
  <c r="AZ289" i="3"/>
  <c r="AZ294" i="3"/>
  <c r="AZ300" i="3"/>
  <c r="AZ118" i="3"/>
  <c r="AZ121" i="3"/>
  <c r="AZ134" i="3"/>
  <c r="AZ137" i="3"/>
  <c r="AZ145" i="3"/>
  <c r="AZ161" i="3"/>
  <c r="AZ177" i="3"/>
  <c r="AZ193" i="3"/>
  <c r="AZ34" i="3"/>
  <c r="AZ5" i="3" s="1"/>
  <c r="AZ38" i="3"/>
  <c r="AZ44" i="3"/>
  <c r="AZ48" i="3"/>
  <c r="AZ60" i="3"/>
  <c r="AZ64" i="3"/>
  <c r="AZ108" i="3"/>
  <c r="F3" i="35"/>
  <c r="C40" i="68"/>
  <c r="D17" i="71"/>
  <c r="AB17" i="71"/>
  <c r="Z12" i="43"/>
  <c r="Z13" i="43" s="1"/>
  <c r="Z10" i="43"/>
  <c r="AD12" i="43"/>
  <c r="AD10" i="43"/>
  <c r="AH12" i="43"/>
  <c r="AH13" i="43" s="1"/>
  <c r="AH10" i="43"/>
  <c r="Y11" i="71"/>
  <c r="Z11" i="71" s="1"/>
  <c r="AB11" i="71"/>
  <c r="AA11" i="71"/>
  <c r="X7" i="71"/>
  <c r="Y7" i="71"/>
  <c r="Z7" i="71" s="1"/>
  <c r="AA7" i="71"/>
  <c r="AB8" i="71"/>
  <c r="X22" i="71"/>
  <c r="X27" i="71"/>
  <c r="AA19" i="71"/>
  <c r="X14" i="71"/>
  <c r="V58" i="71"/>
  <c r="F57" i="71"/>
  <c r="AF10" i="43"/>
  <c r="AC12" i="43"/>
  <c r="AC13" i="43" s="1"/>
  <c r="AC10" i="43"/>
  <c r="AG12" i="43"/>
  <c r="AG13" i="43" s="1"/>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B6" i="49"/>
  <c r="B10" i="49"/>
  <c r="E13" i="49"/>
  <c r="B8" i="49"/>
  <c r="E14" i="49"/>
  <c r="Y6" i="71"/>
  <c r="Z6" i="71" s="1"/>
  <c r="Y5" i="71"/>
  <c r="AA6" i="71"/>
  <c r="AB3" i="71"/>
  <c r="E22" i="49"/>
  <c r="E21" i="49"/>
  <c r="B14" i="49"/>
  <c r="B9" i="49"/>
  <c r="E11" i="49"/>
  <c r="B11" i="49"/>
  <c r="E4" i="49"/>
  <c r="B13" i="49"/>
  <c r="E7" i="49"/>
  <c r="C29" i="69"/>
  <c r="D27" i="69" s="1"/>
  <c r="X6" i="71"/>
  <c r="AB6" i="71"/>
  <c r="Z5" i="71"/>
  <c r="Y3" i="71"/>
  <c r="Z3" i="71" s="1"/>
  <c r="F6" i="71"/>
  <c r="F5" i="71" s="1"/>
  <c r="AF3" i="71"/>
  <c r="P22" i="43" s="1"/>
  <c r="P21" i="43"/>
  <c r="P24" i="43"/>
  <c r="B66" i="40" s="1"/>
  <c r="C36" i="68"/>
  <c r="C102" i="9"/>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C27" i="67"/>
  <c r="F71" i="67"/>
  <c r="C27" i="15"/>
  <c r="F65" i="15"/>
  <c r="B9" i="70"/>
  <c r="C103" i="9"/>
  <c r="N59" i="67"/>
  <c r="L59" i="67"/>
  <c r="L58" i="67"/>
  <c r="M59" i="67"/>
  <c r="B13" i="70"/>
  <c r="M7" i="67"/>
  <c r="J6" i="67" s="1"/>
  <c r="F50" i="67"/>
  <c r="F68" i="67"/>
  <c r="F64" i="67"/>
  <c r="J20" i="15"/>
  <c r="F68" i="15"/>
  <c r="M17" i="15"/>
  <c r="F59" i="67"/>
  <c r="F31" i="15"/>
  <c r="M17" i="67"/>
  <c r="F31" i="67"/>
  <c r="F59" i="15"/>
  <c r="C14" i="67"/>
  <c r="C17" i="67"/>
  <c r="C16" i="67"/>
  <c r="C14" i="15"/>
  <c r="C17" i="15"/>
  <c r="G1" i="73"/>
  <c r="C16" i="15"/>
  <c r="E4" i="4" l="1"/>
  <c r="B5" i="62" s="1"/>
  <c r="B73" i="72" s="1"/>
  <c r="AB36" i="33"/>
  <c r="U36" i="33"/>
  <c r="C47" i="11"/>
  <c r="D45" i="11" s="1"/>
  <c r="C38" i="69"/>
  <c r="C47" i="68"/>
  <c r="D45" i="68" s="1"/>
  <c r="AD13" i="43"/>
  <c r="C34" i="68"/>
  <c r="C35" i="68" s="1"/>
  <c r="AQ6" i="1"/>
  <c r="S16" i="1"/>
  <c r="T6" i="1"/>
  <c r="E16" i="6"/>
  <c r="C15" i="15"/>
  <c r="C18" i="15"/>
  <c r="E60" i="40"/>
  <c r="E65" i="39"/>
  <c r="T16" i="1"/>
  <c r="E58" i="40"/>
  <c r="E63" i="39"/>
  <c r="O16" i="1"/>
  <c r="I109" i="43"/>
  <c r="I104" i="43"/>
  <c r="I107" i="43"/>
  <c r="I105" i="43"/>
  <c r="I102" i="43"/>
  <c r="I106" i="43"/>
  <c r="I103" i="43"/>
  <c r="D109" i="43"/>
  <c r="D105" i="43"/>
  <c r="D106" i="43"/>
  <c r="D102" i="43"/>
  <c r="D103" i="43"/>
  <c r="D104" i="43"/>
  <c r="D107" i="43"/>
  <c r="G105" i="43"/>
  <c r="G102" i="43"/>
  <c r="G103" i="43"/>
  <c r="G106" i="43"/>
  <c r="G109" i="43"/>
  <c r="G107" i="43"/>
  <c r="G104" i="43"/>
  <c r="F104" i="43"/>
  <c r="F107" i="43"/>
  <c r="F106" i="43"/>
  <c r="F105" i="43"/>
  <c r="F109" i="43"/>
  <c r="F102" i="43"/>
  <c r="F103" i="43"/>
  <c r="D22"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7" i="43"/>
  <c r="H106" i="43"/>
  <c r="H105" i="43"/>
  <c r="H109" i="43"/>
  <c r="H102" i="43"/>
  <c r="H103" i="43"/>
  <c r="H104"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U10" i="39"/>
  <c r="AB10" i="39"/>
  <c r="AC10" i="40"/>
  <c r="W10" i="40"/>
  <c r="J7" i="36"/>
  <c r="D65" i="40"/>
  <c r="E63" i="40"/>
  <c r="C38" i="11"/>
  <c r="C35" i="11"/>
  <c r="AY6" i="3"/>
  <c r="E3" i="6"/>
  <c r="C15" i="12"/>
  <c r="C12" i="12"/>
  <c r="C13" i="71"/>
  <c r="T14" i="71"/>
  <c r="D14" i="71"/>
  <c r="U14" i="71" s="1"/>
  <c r="AA34" i="35"/>
  <c r="S34" i="35"/>
  <c r="AC34" i="35"/>
  <c r="W34" i="35"/>
  <c r="AB36" i="35"/>
  <c r="U36" i="35"/>
  <c r="AC9" i="34"/>
  <c r="W9" i="34"/>
  <c r="K15" i="1"/>
  <c r="K16" i="1" s="1"/>
  <c r="E30" i="6"/>
  <c r="E31" i="6" s="1"/>
  <c r="M19" i="6"/>
  <c r="K27" i="6"/>
  <c r="U7" i="33"/>
  <c r="AB7" i="33"/>
  <c r="T48" i="33" s="1"/>
  <c r="G48" i="33" s="1"/>
  <c r="J7" i="33"/>
  <c r="B38" i="72"/>
  <c r="D20" i="53"/>
  <c r="B40" i="72" s="1"/>
  <c r="U10" i="40"/>
  <c r="AB10" i="40"/>
  <c r="S10" i="39"/>
  <c r="AA10" i="39"/>
  <c r="U7" i="21"/>
  <c r="AB7" i="21"/>
  <c r="T48" i="21" s="1"/>
  <c r="G48" i="21" s="1"/>
  <c r="AA7" i="34"/>
  <c r="R49" i="34" s="1"/>
  <c r="S7" i="34"/>
  <c r="D10" i="52"/>
  <c r="D125" i="9"/>
  <c r="D11" i="52" s="1"/>
  <c r="H14" i="74"/>
  <c r="B7" i="74" s="1"/>
  <c r="D5" i="43"/>
  <c r="C5" i="43"/>
  <c r="H7" i="36"/>
  <c r="AC7" i="21"/>
  <c r="V48" i="21" s="1"/>
  <c r="I48" i="21" s="1"/>
  <c r="W7" i="21"/>
  <c r="G70" i="39"/>
  <c r="H68" i="39"/>
  <c r="B13" i="71"/>
  <c r="B12" i="71" s="1"/>
  <c r="B11" i="71" s="1"/>
  <c r="B10" i="71" s="1"/>
  <c r="S14" i="71"/>
  <c r="F56" i="71"/>
  <c r="Q57" i="71"/>
  <c r="U34" i="35"/>
  <c r="AB34" i="35"/>
  <c r="AC36" i="35"/>
  <c r="W36" i="35"/>
  <c r="AB9" i="34"/>
  <c r="U9" i="34"/>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 i="35"/>
  <c r="S7" i="33"/>
  <c r="AA7" i="33"/>
  <c r="R48" i="33" s="1"/>
  <c r="G52" i="37"/>
  <c r="N16" i="1"/>
  <c r="L16" i="1"/>
  <c r="B34" i="72"/>
  <c r="D17" i="53"/>
  <c r="B36" i="72" s="1"/>
  <c r="AA10" i="40"/>
  <c r="S10" i="40"/>
  <c r="S7" i="36"/>
  <c r="AA7" i="36"/>
  <c r="R36" i="36" s="1"/>
  <c r="U7" i="34"/>
  <c r="AB7" i="34"/>
  <c r="T49" i="34" s="1"/>
  <c r="G49" i="34" s="1"/>
  <c r="AC7" i="36"/>
  <c r="V36" i="36" s="1"/>
  <c r="I36" i="36" s="1"/>
  <c r="W7" i="36"/>
  <c r="S7" i="21"/>
  <c r="AA7" i="21"/>
  <c r="R48" i="21" s="1"/>
  <c r="W7" i="34"/>
  <c r="AC7" i="34"/>
  <c r="V49" i="34" s="1"/>
  <c r="I49" i="34" s="1"/>
  <c r="C49" i="67"/>
  <c r="P25" i="43"/>
  <c r="P23" i="43"/>
  <c r="B71" i="39" s="1"/>
  <c r="C49" i="15"/>
  <c r="C15" i="67"/>
  <c r="C18" i="67"/>
  <c r="B40" i="1"/>
  <c r="J18" i="15"/>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K4" i="4" l="1"/>
  <c r="B46" i="48" s="1"/>
  <c r="B4" i="72" s="1"/>
  <c r="AG6" i="1"/>
  <c r="C19" i="15"/>
  <c r="C20" i="15" s="1"/>
  <c r="C26" i="15" s="1"/>
  <c r="C38" i="68"/>
  <c r="E66" i="39"/>
  <c r="AC6" i="3"/>
  <c r="H6" i="3"/>
  <c r="C115" i="43"/>
  <c r="D113" i="43" s="1"/>
  <c r="S2" i="43"/>
  <c r="T2" i="43" s="1"/>
  <c r="V2" i="43" s="1"/>
  <c r="C23" i="43"/>
  <c r="C21" i="43" s="1"/>
  <c r="C29" i="43" s="1"/>
  <c r="S7" i="43"/>
  <c r="S6" i="43"/>
  <c r="S4" i="43"/>
  <c r="S5" i="43"/>
  <c r="S3" i="43"/>
  <c r="T3" i="43" s="1"/>
  <c r="V3" i="43" s="1"/>
  <c r="F63" i="40"/>
  <c r="E65" i="40"/>
  <c r="G53" i="34"/>
  <c r="H53" i="34" s="1"/>
  <c r="G54" i="34"/>
  <c r="H54" i="34" s="1"/>
  <c r="E36" i="36"/>
  <c r="R37" i="36"/>
  <c r="H52" i="37"/>
  <c r="I52" i="37" s="1"/>
  <c r="J52" i="37" s="1"/>
  <c r="K52" i="37" s="1"/>
  <c r="L52" i="37" s="1"/>
  <c r="M52" i="37" s="1"/>
  <c r="N52" i="37" s="1"/>
  <c r="O52" i="37" s="1"/>
  <c r="E48" i="33"/>
  <c r="I40" i="36"/>
  <c r="J40" i="36" s="1"/>
  <c r="I41" i="36"/>
  <c r="J41" i="36" s="1"/>
  <c r="F50" i="69"/>
  <c r="F50" i="11"/>
  <c r="F50" i="68"/>
  <c r="J7" i="37"/>
  <c r="F48" i="35"/>
  <c r="E6" i="3"/>
  <c r="Q56" i="71"/>
  <c r="Q55" i="71"/>
  <c r="B9" i="71"/>
  <c r="B8" i="71" s="1"/>
  <c r="B7" i="71" s="1"/>
  <c r="B6" i="71" s="1"/>
  <c r="S10" i="71"/>
  <c r="I52" i="21"/>
  <c r="J52" i="21" s="1"/>
  <c r="T12" i="43"/>
  <c r="V12" i="43" s="1"/>
  <c r="T11" i="43"/>
  <c r="V11" i="43" s="1"/>
  <c r="T9" i="43"/>
  <c r="V9" i="43" s="1"/>
  <c r="T4" i="43"/>
  <c r="V4" i="43" s="1"/>
  <c r="T6" i="43"/>
  <c r="V6" i="43" s="1"/>
  <c r="T14" i="43"/>
  <c r="V14" i="43" s="1"/>
  <c r="T15" i="43"/>
  <c r="V15" i="43" s="1"/>
  <c r="T7" i="43"/>
  <c r="V7" i="43" s="1"/>
  <c r="T16" i="43"/>
  <c r="V16" i="43" s="1"/>
  <c r="T8" i="43"/>
  <c r="V8" i="43" s="1"/>
  <c r="T10" i="43"/>
  <c r="V10" i="43" s="1"/>
  <c r="T13" i="43"/>
  <c r="V13" i="43" s="1"/>
  <c r="T5" i="43"/>
  <c r="V5" i="43" s="1"/>
  <c r="E49" i="34"/>
  <c r="R50" i="34"/>
  <c r="G52" i="33"/>
  <c r="H52" i="33" s="1"/>
  <c r="C12" i="71"/>
  <c r="D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3" i="34"/>
  <c r="J53" i="34" s="1"/>
  <c r="I54" i="34"/>
  <c r="J54" i="34" s="1"/>
  <c r="E48" i="21"/>
  <c r="R49" i="21"/>
  <c r="I68" i="39"/>
  <c r="H70" i="39"/>
  <c r="AB7" i="36"/>
  <c r="T36" i="36" s="1"/>
  <c r="G36" i="36" s="1"/>
  <c r="U7" i="36"/>
  <c r="C35" i="43"/>
  <c r="C37" i="43"/>
  <c r="C36" i="43"/>
  <c r="C39" i="43"/>
  <c r="C34" i="43"/>
  <c r="C38" i="43"/>
  <c r="C33" i="43"/>
  <c r="G52" i="21"/>
  <c r="H52" i="21" s="1"/>
  <c r="G53" i="21"/>
  <c r="H53" i="21" s="1"/>
  <c r="W7" i="33"/>
  <c r="AC7" i="33"/>
  <c r="V48" i="33" s="1"/>
  <c r="I48" i="33" s="1"/>
  <c r="M27" i="6"/>
  <c r="I19" i="6"/>
  <c r="F7" i="37"/>
  <c r="D3" i="21"/>
  <c r="D19" i="11"/>
  <c r="C19" i="11" s="1"/>
  <c r="C17" i="4"/>
  <c r="B4" i="52" s="1"/>
  <c r="B43" i="72" s="1"/>
  <c r="L18" i="9"/>
  <c r="D3" i="37"/>
  <c r="D3" i="34"/>
  <c r="D3" i="33"/>
  <c r="E6" i="6"/>
  <c r="D37" i="11"/>
  <c r="C37" i="11" s="1"/>
  <c r="C33" i="11" s="1"/>
  <c r="D14" i="12"/>
  <c r="M18" i="9"/>
  <c r="B118" i="9" s="1"/>
  <c r="B14" i="74" s="1"/>
  <c r="B1" i="74" s="1"/>
  <c r="C8" i="74" s="1"/>
  <c r="C19" i="67"/>
  <c r="C20" i="67" s="1"/>
  <c r="C26" i="67" s="1"/>
  <c r="J24" i="67"/>
  <c r="J24" i="15"/>
  <c r="J26" i="15"/>
  <c r="J29" i="15" s="1"/>
  <c r="C53" i="67"/>
  <c r="C48" i="67" s="1"/>
  <c r="C53" i="15"/>
  <c r="C48" i="15" s="1"/>
  <c r="C10" i="15"/>
  <c r="C5" i="15" s="1"/>
  <c r="F25" i="12"/>
  <c r="F22" i="69"/>
  <c r="F24" i="67"/>
  <c r="C24" i="67" s="1"/>
  <c r="F22" i="11"/>
  <c r="F22" i="68"/>
  <c r="F24" i="15"/>
  <c r="C24" i="15" s="1"/>
  <c r="M27" i="67"/>
  <c r="R49" i="33" l="1"/>
  <c r="C48" i="33" s="1"/>
  <c r="H7" i="37"/>
  <c r="G63" i="40"/>
  <c r="F65" i="40"/>
  <c r="C39" i="11"/>
  <c r="C46" i="11" s="1"/>
  <c r="C45" i="11" s="1"/>
  <c r="S19" i="6"/>
  <c r="S27" i="6" s="1"/>
  <c r="I27" i="6"/>
  <c r="G34" i="43"/>
  <c r="I34" i="43" s="1"/>
  <c r="E34" i="43"/>
  <c r="E36" i="43"/>
  <c r="G36" i="43"/>
  <c r="I36" i="43" s="1"/>
  <c r="E35" i="43"/>
  <c r="G35" i="43"/>
  <c r="I35" i="43" s="1"/>
  <c r="J68" i="39"/>
  <c r="I70" i="39"/>
  <c r="E52" i="21"/>
  <c r="F52" i="21" s="1"/>
  <c r="E53" i="21"/>
  <c r="F53" i="21" s="1"/>
  <c r="H20" i="6"/>
  <c r="D25" i="6"/>
  <c r="D15" i="6"/>
  <c r="D22" i="6"/>
  <c r="D21" i="6"/>
  <c r="D24" i="6"/>
  <c r="D20" i="6"/>
  <c r="R20" i="6" s="1"/>
  <c r="D6" i="6"/>
  <c r="D9" i="6"/>
  <c r="D10" i="6"/>
  <c r="L19" i="9"/>
  <c r="D29" i="6"/>
  <c r="H25" i="6"/>
  <c r="H22" i="6"/>
  <c r="H21" i="6"/>
  <c r="H24" i="6"/>
  <c r="M19" i="9"/>
  <c r="C118" i="9" s="1"/>
  <c r="C14" i="74" s="1"/>
  <c r="B2" i="74" s="1"/>
  <c r="D26" i="6"/>
  <c r="D8" i="6"/>
  <c r="D14" i="6"/>
  <c r="D12" i="6"/>
  <c r="D13" i="6"/>
  <c r="E61" i="40"/>
  <c r="H23" i="6"/>
  <c r="H19" i="6"/>
  <c r="H27" i="6" s="1"/>
  <c r="D19" i="6"/>
  <c r="C18" i="4"/>
  <c r="D23" i="6"/>
  <c r="R23" i="6" s="1"/>
  <c r="D5" i="6"/>
  <c r="D11" i="6"/>
  <c r="D28" i="6"/>
  <c r="D30" i="6" s="1"/>
  <c r="H26" i="6"/>
  <c r="D17" i="12"/>
  <c r="C17" i="12" s="1"/>
  <c r="C14" i="12"/>
  <c r="C16" i="12" s="1"/>
  <c r="D10" i="11"/>
  <c r="C10" i="11" s="1"/>
  <c r="D20" i="12"/>
  <c r="C20" i="12" s="1"/>
  <c r="C18" i="12" s="1"/>
  <c r="D10" i="69"/>
  <c r="D10" i="68"/>
  <c r="C20" i="11"/>
  <c r="C28" i="11" s="1"/>
  <c r="C27" i="11" s="1"/>
  <c r="AA7" i="37"/>
  <c r="R42" i="37" s="1"/>
  <c r="S7" i="37"/>
  <c r="G38" i="43"/>
  <c r="I38" i="43" s="1"/>
  <c r="E38" i="43"/>
  <c r="E39" i="43"/>
  <c r="G39" i="43"/>
  <c r="I39" i="43" s="1"/>
  <c r="E37" i="43"/>
  <c r="G37" i="43"/>
  <c r="I37" i="43" s="1"/>
  <c r="C48" i="21"/>
  <c r="C49" i="21"/>
  <c r="B2" i="21" s="1"/>
  <c r="B3" i="21" s="1"/>
  <c r="E54" i="34"/>
  <c r="F54" i="34" s="1"/>
  <c r="E53" i="34"/>
  <c r="F53" i="34" s="1"/>
  <c r="G48" i="35"/>
  <c r="E40" i="36"/>
  <c r="F40" i="36" s="1"/>
  <c r="E41" i="36"/>
  <c r="F41" i="36" s="1"/>
  <c r="I52" i="33"/>
  <c r="J52" i="33" s="1"/>
  <c r="I53" i="33"/>
  <c r="J53" i="33" s="1"/>
  <c r="E33" i="43"/>
  <c r="G33" i="43"/>
  <c r="I33" i="43" s="1"/>
  <c r="G40" i="36"/>
  <c r="H40" i="36" s="1"/>
  <c r="G41" i="36"/>
  <c r="H41" i="36" s="1"/>
  <c r="D12" i="71"/>
  <c r="C11" i="71"/>
  <c r="G53" i="33"/>
  <c r="H53" i="33" s="1"/>
  <c r="C50" i="34"/>
  <c r="B2" i="34" s="1"/>
  <c r="B3" i="34" s="1"/>
  <c r="C49" i="34"/>
  <c r="C7" i="74"/>
  <c r="E29" i="43"/>
  <c r="C26" i="43" s="1"/>
  <c r="B2" i="43" s="1"/>
  <c r="C30" i="43"/>
  <c r="E30" i="43" s="1"/>
  <c r="C27" i="43" s="1"/>
  <c r="I53" i="21"/>
  <c r="J53" i="21" s="1"/>
  <c r="B5" i="71"/>
  <c r="S6" i="71"/>
  <c r="AC7" i="37"/>
  <c r="V42" i="37" s="1"/>
  <c r="I42" i="37" s="1"/>
  <c r="W7" i="37"/>
  <c r="E53" i="33"/>
  <c r="F53" i="33" s="1"/>
  <c r="E52" i="33"/>
  <c r="F52" i="33" s="1"/>
  <c r="AB7" i="37"/>
  <c r="T42" i="37" s="1"/>
  <c r="G42" i="37" s="1"/>
  <c r="U7" i="37"/>
  <c r="C37" i="36"/>
  <c r="B2" i="36" s="1"/>
  <c r="B3" i="36" s="1"/>
  <c r="C36" i="36"/>
  <c r="C60" i="15"/>
  <c r="C66" i="15"/>
  <c r="C23" i="15"/>
  <c r="C29" i="15" s="1"/>
  <c r="C26" i="69"/>
  <c r="D22" i="69" s="1"/>
  <c r="C44" i="69"/>
  <c r="D41" i="69" s="1"/>
  <c r="C44" i="68"/>
  <c r="D41" i="68" s="1"/>
  <c r="C23" i="68"/>
  <c r="C26" i="68"/>
  <c r="D22" i="68" s="1"/>
  <c r="C26" i="12"/>
  <c r="D25" i="12" s="1"/>
  <c r="C44" i="11"/>
  <c r="D41" i="11" s="1"/>
  <c r="C23" i="11"/>
  <c r="C24" i="11"/>
  <c r="C43" i="11"/>
  <c r="C26" i="11"/>
  <c r="D22" i="11" s="1"/>
  <c r="C42" i="11"/>
  <c r="C38" i="15"/>
  <c r="C66" i="67"/>
  <c r="C60" i="67"/>
  <c r="C23" i="67"/>
  <c r="C29" i="67" s="1"/>
  <c r="B6" i="76"/>
  <c r="E6" i="76"/>
  <c r="C49" i="33" l="1"/>
  <c r="B2" i="33" s="1"/>
  <c r="B3" i="33" s="1"/>
  <c r="C25" i="11"/>
  <c r="C22" i="11" s="1"/>
  <c r="C31" i="11" s="1"/>
  <c r="D16" i="6"/>
  <c r="R25" i="6"/>
  <c r="H63" i="40"/>
  <c r="G65" i="40"/>
  <c r="E2" i="76"/>
  <c r="E42" i="37"/>
  <c r="R43" i="37"/>
  <c r="C10" i="69"/>
  <c r="C8" i="69" s="1"/>
  <c r="C5" i="69" s="1"/>
  <c r="D19" i="69"/>
  <c r="C4" i="52"/>
  <c r="B45" i="72" s="1"/>
  <c r="A7" i="51"/>
  <c r="B7" i="72" s="1"/>
  <c r="A10" i="51"/>
  <c r="B9" i="72" s="1"/>
  <c r="D8" i="74"/>
  <c r="D7" i="74"/>
  <c r="C21" i="9"/>
  <c r="R21" i="6"/>
  <c r="J70" i="39"/>
  <c r="K68" i="39"/>
  <c r="G46" i="37"/>
  <c r="H46" i="37" s="1"/>
  <c r="G47" i="37"/>
  <c r="H47" i="37" s="1"/>
  <c r="I47" i="37"/>
  <c r="J47" i="37" s="1"/>
  <c r="I46" i="37"/>
  <c r="J46" i="37" s="1"/>
  <c r="D11" i="71"/>
  <c r="C10" i="71"/>
  <c r="H48" i="35"/>
  <c r="C10" i="68"/>
  <c r="D19" i="68"/>
  <c r="C21" i="12"/>
  <c r="D27" i="6"/>
  <c r="D31" i="6" s="1"/>
  <c r="R19" i="6"/>
  <c r="R26" i="6"/>
  <c r="R24" i="6"/>
  <c r="R22" i="6"/>
  <c r="B2" i="76"/>
  <c r="B3" i="43"/>
  <c r="J14" i="15"/>
  <c r="C57" i="15"/>
  <c r="C36" i="15"/>
  <c r="C33" i="15"/>
  <c r="C31" i="15" s="1"/>
  <c r="C13" i="15"/>
  <c r="Q49" i="15"/>
  <c r="J19" i="15"/>
  <c r="J17" i="15" s="1"/>
  <c r="J59" i="15"/>
  <c r="J60" i="15" s="1"/>
  <c r="C41" i="11"/>
  <c r="C49" i="11" s="1"/>
  <c r="C51" i="11" s="1"/>
  <c r="C36" i="67"/>
  <c r="J14" i="67"/>
  <c r="C13" i="67"/>
  <c r="J19" i="67"/>
  <c r="C57" i="67"/>
  <c r="Q49" i="67"/>
  <c r="J59" i="67"/>
  <c r="J60" i="67" s="1"/>
  <c r="R24" i="31" l="1"/>
  <c r="S24" i="31" s="1"/>
  <c r="R27" i="6"/>
  <c r="R6" i="1"/>
  <c r="B3" i="76"/>
  <c r="I63" i="40"/>
  <c r="H65" i="40"/>
  <c r="C22" i="12"/>
  <c r="C30" i="12" s="1"/>
  <c r="C28" i="12" s="1"/>
  <c r="C9" i="71"/>
  <c r="T10" i="71"/>
  <c r="D10" i="71"/>
  <c r="U10" i="71" s="1"/>
  <c r="C19" i="69"/>
  <c r="C24" i="69" s="1"/>
  <c r="D37" i="69"/>
  <c r="C37" i="69" s="1"/>
  <c r="C33" i="69" s="1"/>
  <c r="C43" i="37"/>
  <c r="B2" i="37" s="1"/>
  <c r="B3" i="37" s="1"/>
  <c r="C42" i="37"/>
  <c r="I6" i="6"/>
  <c r="I5" i="6"/>
  <c r="C19" i="68"/>
  <c r="D37" i="68"/>
  <c r="C37" i="68" s="1"/>
  <c r="C33" i="68" s="1"/>
  <c r="I48" i="35"/>
  <c r="L68" i="39"/>
  <c r="K70" i="39"/>
  <c r="C23" i="69"/>
  <c r="E47" i="37"/>
  <c r="F47" i="37" s="1"/>
  <c r="E46" i="37"/>
  <c r="F46" i="37" s="1"/>
  <c r="C52" i="11"/>
  <c r="B2" i="11" s="1"/>
  <c r="B3" i="11"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F35" i="67"/>
  <c r="M21" i="67"/>
  <c r="L51" i="15"/>
  <c r="R30" i="31" l="1"/>
  <c r="S30" i="31" s="1"/>
  <c r="R32" i="31"/>
  <c r="S32" i="31" s="1"/>
  <c r="R29" i="31"/>
  <c r="S29" i="31" s="1"/>
  <c r="R31" i="31"/>
  <c r="S31" i="31" s="1"/>
  <c r="R26" i="31"/>
  <c r="S26" i="31" s="1"/>
  <c r="R25" i="31"/>
  <c r="S25" i="31" s="1"/>
  <c r="R28" i="31"/>
  <c r="S28" i="31" s="1"/>
  <c r="R27" i="31"/>
  <c r="S27" i="31" s="1"/>
  <c r="C56" i="11"/>
  <c r="C57" i="11" s="1"/>
  <c r="F63" i="67"/>
  <c r="C62" i="67" s="1"/>
  <c r="C59" i="67" s="1"/>
  <c r="C58" i="67" s="1"/>
  <c r="C67" i="67" s="1"/>
  <c r="C68" i="67" s="1"/>
  <c r="C34" i="67"/>
  <c r="J20" i="67"/>
  <c r="J17" i="67" s="1"/>
  <c r="J16" i="67" s="1"/>
  <c r="J25" i="67" s="1"/>
  <c r="J26" i="67" s="1"/>
  <c r="J29" i="67" s="1"/>
  <c r="R16" i="1"/>
  <c r="C27" i="12"/>
  <c r="C25" i="12" s="1"/>
  <c r="C32" i="12" s="1"/>
  <c r="B2" i="12" s="1"/>
  <c r="B3" i="12" s="1"/>
  <c r="C20" i="69"/>
  <c r="J63" i="40"/>
  <c r="I65" i="40"/>
  <c r="C39" i="68"/>
  <c r="C42" i="68"/>
  <c r="C39" i="69"/>
  <c r="C43" i="69" s="1"/>
  <c r="C42" i="69"/>
  <c r="C8" i="71"/>
  <c r="D9" i="71"/>
  <c r="M68" i="39"/>
  <c r="L70" i="39"/>
  <c r="J48" i="35"/>
  <c r="C20" i="68"/>
  <c r="C25" i="68" s="1"/>
  <c r="C24" i="68"/>
  <c r="C58" i="15"/>
  <c r="C67" i="15" s="1"/>
  <c r="C68" i="15" s="1"/>
  <c r="C71" i="15" s="1"/>
  <c r="J16" i="15"/>
  <c r="J25" i="15" s="1"/>
  <c r="C80" i="15"/>
  <c r="C79" i="15" s="1"/>
  <c r="Q69" i="15"/>
  <c r="Q68" i="15" s="1"/>
  <c r="C40" i="15"/>
  <c r="S22" i="31" l="1"/>
  <c r="R22" i="31" s="1"/>
  <c r="C41" i="69"/>
  <c r="C22" i="68"/>
  <c r="K63" i="40"/>
  <c r="J65" i="40"/>
  <c r="C46" i="69"/>
  <c r="C45" i="69" s="1"/>
  <c r="C25" i="69"/>
  <c r="C22" i="69" s="1"/>
  <c r="C28" i="69"/>
  <c r="C27" i="69" s="1"/>
  <c r="K48" i="35"/>
  <c r="L48" i="35" s="1"/>
  <c r="M48" i="35" s="1"/>
  <c r="N48" i="35" s="1"/>
  <c r="O48" i="35" s="1"/>
  <c r="J7" i="35" s="1"/>
  <c r="M70" i="39"/>
  <c r="N68" i="39"/>
  <c r="C28" i="68"/>
  <c r="C27" i="68" s="1"/>
  <c r="C7" i="71"/>
  <c r="D8" i="71"/>
  <c r="C46" i="68"/>
  <c r="C45" i="68" s="1"/>
  <c r="C43" i="68"/>
  <c r="C41" i="68" s="1"/>
  <c r="Q67" i="15"/>
  <c r="L57" i="15"/>
  <c r="L60" i="15" s="1"/>
  <c r="L57" i="67"/>
  <c r="L60" i="67" s="1"/>
  <c r="L46" i="67" s="1"/>
  <c r="C71" i="67"/>
  <c r="B2" i="15"/>
  <c r="B3" i="15" s="1"/>
  <c r="Q56" i="15"/>
  <c r="Q65" i="15"/>
  <c r="C43" i="15"/>
  <c r="Q47" i="15"/>
  <c r="Q53" i="15" s="1"/>
  <c r="C83" i="15"/>
  <c r="C82" i="15" s="1"/>
  <c r="C46" i="15"/>
  <c r="F20" i="31"/>
  <c r="B20" i="31" l="1"/>
  <c r="B21" i="31" s="1"/>
  <c r="C49" i="69"/>
  <c r="C51" i="69" s="1"/>
  <c r="C31" i="68"/>
  <c r="C31" i="69"/>
  <c r="C49" i="68"/>
  <c r="C51" i="68" s="1"/>
  <c r="C52" i="68" s="1"/>
  <c r="B2" i="68" s="1"/>
  <c r="F7" i="35"/>
  <c r="AA7" i="35" s="1"/>
  <c r="R38" i="35" s="1"/>
  <c r="K65" i="40"/>
  <c r="L63" i="40"/>
  <c r="S7" i="35"/>
  <c r="N70" i="39"/>
  <c r="O68" i="39"/>
  <c r="O70" i="39" s="1"/>
  <c r="H7" i="35"/>
  <c r="C6" i="71"/>
  <c r="D7" i="71"/>
  <c r="W7" i="35"/>
  <c r="AC7" i="35"/>
  <c r="V38" i="35" s="1"/>
  <c r="I38" i="35" s="1"/>
  <c r="Q66" i="15"/>
  <c r="Q75" i="15" s="1"/>
  <c r="Q57" i="15"/>
  <c r="Q62" i="15" s="1"/>
  <c r="Q66" i="67"/>
  <c r="Q57" i="67"/>
  <c r="B3" i="68" l="1"/>
  <c r="C52" i="69"/>
  <c r="B2" i="69" s="1"/>
  <c r="B3" i="69" s="1"/>
  <c r="L65" i="40"/>
  <c r="M63" i="40"/>
  <c r="C5" i="71"/>
  <c r="T6" i="71"/>
  <c r="D6" i="71"/>
  <c r="U6" i="71" s="1"/>
  <c r="I42" i="35"/>
  <c r="J42" i="35" s="1"/>
  <c r="F7" i="39"/>
  <c r="J7" i="39"/>
  <c r="H7" i="39"/>
  <c r="E38" i="35"/>
  <c r="R39" i="35"/>
  <c r="U7" i="35"/>
  <c r="AB7" i="35"/>
  <c r="T38" i="35" s="1"/>
  <c r="G38" i="35" s="1"/>
  <c r="C57" i="68"/>
  <c r="C56" i="68" s="1"/>
  <c r="D35" i="9"/>
  <c r="D34" i="9"/>
  <c r="C57" i="69" l="1"/>
  <c r="C56" i="69" s="1"/>
  <c r="N63" i="40"/>
  <c r="M65" i="40"/>
  <c r="G42" i="35"/>
  <c r="H42" i="35" s="1"/>
  <c r="G43" i="35"/>
  <c r="H43" i="35" s="1"/>
  <c r="C38" i="35"/>
  <c r="C39" i="35"/>
  <c r="B2" i="35" s="1"/>
  <c r="B3" i="35" s="1"/>
  <c r="U7" i="39"/>
  <c r="AB7" i="39"/>
  <c r="T47" i="39" s="1"/>
  <c r="G47" i="39" s="1"/>
  <c r="S7" i="39"/>
  <c r="AA7" i="39"/>
  <c r="R47" i="39" s="1"/>
  <c r="E43" i="35"/>
  <c r="F43" i="35" s="1"/>
  <c r="E42" i="35"/>
  <c r="F42" i="35" s="1"/>
  <c r="W7" i="39"/>
  <c r="AC7" i="39"/>
  <c r="V47" i="39" s="1"/>
  <c r="I47" i="39" s="1"/>
  <c r="I43" i="35"/>
  <c r="J43" i="35" s="1"/>
  <c r="D5" i="71"/>
  <c r="M20" i="43"/>
  <c r="F7" i="40" l="1"/>
  <c r="O63" i="40"/>
  <c r="O65" i="40" s="1"/>
  <c r="N65" i="40"/>
  <c r="H7" i="40" s="1"/>
  <c r="I51" i="39"/>
  <c r="J51" i="39" s="1"/>
  <c r="R48" i="39"/>
  <c r="E47" i="39"/>
  <c r="G51" i="39"/>
  <c r="H51" i="39" s="1"/>
  <c r="G52" i="39"/>
  <c r="H52" i="39" s="1"/>
  <c r="U7" i="40" l="1"/>
  <c r="AB7" i="40"/>
  <c r="T42" i="40" s="1"/>
  <c r="G42" i="40" s="1"/>
  <c r="J7" i="40"/>
  <c r="AA7" i="40"/>
  <c r="R42" i="40" s="1"/>
  <c r="S7" i="40"/>
  <c r="C48" i="39"/>
  <c r="C47" i="39"/>
  <c r="E51" i="39"/>
  <c r="F51" i="39" s="1"/>
  <c r="E52" i="39"/>
  <c r="F52" i="39" s="1"/>
  <c r="I52" i="39"/>
  <c r="J52" i="39" s="1"/>
  <c r="E42" i="40" l="1"/>
  <c r="R43" i="40"/>
  <c r="G46" i="40"/>
  <c r="H46" i="40" s="1"/>
  <c r="AC7" i="40"/>
  <c r="V42" i="40" s="1"/>
  <c r="I42" i="40" s="1"/>
  <c r="W7" i="40"/>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I46" i="40" l="1"/>
  <c r="J46" i="40" s="1"/>
  <c r="I47" i="40"/>
  <c r="J47" i="40" s="1"/>
  <c r="E47" i="40"/>
  <c r="F47" i="40" s="1"/>
  <c r="E46" i="40"/>
  <c r="F46" i="40" s="1"/>
  <c r="G47" i="40"/>
  <c r="H47" i="40" s="1"/>
  <c r="C43" i="40"/>
  <c r="C42" i="40"/>
  <c r="B60" i="40" l="1"/>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K19" i="78"/>
  <c r="K20" i="78"/>
  <c r="K21" i="78"/>
  <c r="K22" i="78"/>
  <c r="K23" i="78"/>
  <c r="K24" i="78"/>
  <c r="K25" i="78"/>
  <c r="K26" i="78"/>
  <c r="K27" i="78"/>
  <c r="K28" i="78"/>
  <c r="D19" i="9"/>
  <c r="G19" i="9"/>
  <c r="D20" i="9"/>
  <c r="G20" i="9"/>
  <c r="D21" i="9"/>
  <c r="G21" i="9"/>
  <c r="D22" i="9"/>
  <c r="C32" i="9"/>
  <c r="C34" i="9"/>
  <c r="C35" i="9"/>
  <c r="D45" i="9"/>
  <c r="M48" i="9"/>
  <c r="M49" i="9"/>
  <c r="D52" i="9"/>
  <c r="D53" i="9"/>
  <c r="M53" i="9"/>
  <c r="D54" i="9"/>
  <c r="M54" i="9"/>
  <c r="D55" i="9"/>
  <c r="D56" i="9"/>
  <c r="N57" i="9"/>
  <c r="P57" i="9"/>
  <c r="D58" i="9"/>
  <c r="N58"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D102" i="9"/>
  <c r="H102" i="9"/>
  <c r="D103" i="9"/>
  <c r="C104" i="9"/>
  <c r="C105" i="9"/>
  <c r="H107" i="9"/>
  <c r="H108" i="9"/>
  <c r="D118" i="9"/>
  <c r="E118" i="9"/>
  <c r="F118" i="9"/>
  <c r="G118" i="9"/>
  <c r="H118" i="9"/>
  <c r="I118" i="9"/>
  <c r="D119" i="9"/>
  <c r="F119" i="9"/>
  <c r="H119" i="9"/>
  <c r="D122" i="9"/>
  <c r="D123" i="9"/>
  <c r="B2" i="67"/>
  <c r="D2" i="67"/>
  <c r="B3" i="67"/>
  <c r="C5" i="67"/>
  <c r="C6" i="67"/>
  <c r="F6" i="67"/>
  <c r="C10" i="67"/>
  <c r="C30" i="67"/>
  <c r="C31" i="67"/>
  <c r="C32" i="67"/>
  <c r="C33" i="67"/>
  <c r="C38" i="67"/>
  <c r="C39" i="67"/>
  <c r="C40" i="67"/>
  <c r="C43" i="67"/>
  <c r="C45" i="67"/>
  <c r="C46" i="67"/>
  <c r="Q47" i="67"/>
  <c r="L51" i="67"/>
  <c r="Q53" i="67"/>
  <c r="Q56" i="67"/>
  <c r="Q62" i="67"/>
  <c r="Q65" i="67"/>
  <c r="Q67" i="67"/>
  <c r="Q68" i="67"/>
  <c r="Q69" i="67"/>
  <c r="Q75" i="67"/>
  <c r="C79" i="67"/>
  <c r="C80" i="67"/>
  <c r="C82" i="67"/>
  <c r="C83" i="67"/>
  <c r="B2" i="70"/>
  <c r="B3" i="70"/>
  <c r="B6" i="70"/>
  <c r="U6" i="1"/>
  <c r="AO6" i="1"/>
  <c r="B5" i="74"/>
  <c r="C5" i="74"/>
  <c r="D5" i="74"/>
  <c r="B6" i="74"/>
  <c r="C6" i="74"/>
  <c r="D6" i="74"/>
  <c r="D14" i="74"/>
  <c r="E14" i="74"/>
  <c r="F14" i="74"/>
  <c r="G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<sst xmlns="http://schemas.openxmlformats.org/spreadsheetml/2006/main" count="7671" uniqueCount="3262">
  <si>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</si>
  <si>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</si>
  <si>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</si>
  <si>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</si>
  <si>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</si>
  <si>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</si>
  <si>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</si>
  <si>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</si>
  <si>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</si>
  <si>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</si>
  <si>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</si>
  <si>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</si>
  <si>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</si>
  <si>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</si>
  <si>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</si>
  <si>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</si>
  <si>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</si>
  <si>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</si>
  <si>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</si>
  <si>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</si>
  <si>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</si>
  <si>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</si>
  <si>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</si>
  <si>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</si>
  <si>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</si>
  <si>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</si>
  <si>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</si>
  <si>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</si>
  <si>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</si>
  <si>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</si>
  <si>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</si>
  <si>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</si>
  <si>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</si>
  <si>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</si>
  <si>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</si>
  <si>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</si>
  <si>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</si>
  <si>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</si>
  <si>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</si>
  <si>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</si>
  <si>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</si>
  <si>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</si>
  <si>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</si>
  <si>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</si>
  <si>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</si>
  <si>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</si>
  <si>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</si>
  <si>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</si>
  <si>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</si>
  <si>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</si>
  <si>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</si>
  <si>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</si>
  <si>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</si>
  <si>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</si>
  <si>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</si>
  <si>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</si>
  <si>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</si>
  <si>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</si>
  <si>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</si>
  <si>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</si>
  <si>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</si>
  <si>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</si>
  <si>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</si>
  <si>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</si>
  <si>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</si>
  <si>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</si>
  <si>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</si>
  <si>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</si>
  <si>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</si>
  <si>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</si>
  <si>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</si>
  <si>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</si>
  <si>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</si>
  <si>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</si>
  <si>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</si>
  <si>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</si>
  <si>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</si>
  <si>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</si>
  <si>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</si>
  <si>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</si>
  <si>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</si>
  <si>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</si>
  <si>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</si>
  <si>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</si>
  <si>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</si>
  <si>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</si>
  <si>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</si>
  <si>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</si>
  <si>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</si>
  <si>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</si>
  <si>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</si>
  <si>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</si>
  <si>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</si>
  <si>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</si>
  <si>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</si>
  <si>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</si>
  <si>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</si>
  <si>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</si>
  <si>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</si>
  <si>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</si>
  <si>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</si>
  <si>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</si>
  <si>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</si>
  <si>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</si>
  <si>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</si>
  <si>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</si>
  <si>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</si>
  <si>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</si>
  <si>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</si>
  <si>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</si>
  <si>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</si>
  <si>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</si>
  <si>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</si>
  <si>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</si>
  <si>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</si>
  <si>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</si>
  <si>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</si>
  <si>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</si>
  <si>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</si>
  <si>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</si>
  <si>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</si>
  <si>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</si>
  <si>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</si>
  <si>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</si>
  <si>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</si>
  <si>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</si>
  <si>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</si>
  <si>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</si>
  <si>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</si>
  <si>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</si>
  <si>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</si>
  <si>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</si>
  <si>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</si>
  <si>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</si>
  <si>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</si>
  <si>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</si>
  <si>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</si>
  <si>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</si>
  <si>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</si>
  <si>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</si>
  <si>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</si>
  <si>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</si>
  <si>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</si>
  <si>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</si>
  <si>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</si>
  <si>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</si>
  <si>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</si>
  <si>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</si>
  <si>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</si>
  <si>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</si>
  <si>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</si>
  <si>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</si>
  <si>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</si>
  <si>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</si>
  <si>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</si>
  <si>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</si>
  <si>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</si>
  <si>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</si>
  <si>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</si>
  <si>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</si>
  <si>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</si>
  <si>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</si>
  <si>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</si>
  <si>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</si>
  <si>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</si>
  <si>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</si>
  <si>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</si>
  <si>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</si>
  <si>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</si>
  <si>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</si>
  <si>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</si>
  <si>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</si>
  <si>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</si>
  <si>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</si>
  <si>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</si>
  <si>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</si>
  <si>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</si>
  <si>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</si>
  <si>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</si>
  <si>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</si>
  <si>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</si>
  <si>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</si>
  <si>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</si>
  <si>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</si>
  <si>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</si>
  <si>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</si>
  <si>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</si>
  <si>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</si>
  <si>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</si>
  <si>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</si>
  <si>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</si>
  <si>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</si>
  <si>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</si>
  <si>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</si>
  <si>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</si>
  <si>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</si>
  <si>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</si>
  <si>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</si>
  <si>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</si>
  <si>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</si>
  <si>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</si>
  <si>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</si>
  <si>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</si>
  <si>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</si>
  <si>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</si>
  <si>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</si>
  <si>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</si>
  <si>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</si>
  <si>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</si>
  <si>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</si>
  <si>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</si>
  <si>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</si>
  <si>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</si>
  <si>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</si>
  <si>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</si>
  <si>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</si>
  <si>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</si>
  <si>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</si>
  <si>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</si>
  <si>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</si>
  <si>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</si>
  <si>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</si>
  <si>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</si>
  <si>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</si>
  <si>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</si>
  <si>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</si>
  <si>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</si>
  <si>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</si>
  <si>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</si>
  <si>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</si>
  <si>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</si>
  <si>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</si>
  <si>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</si>
  <si>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</si>
  <si>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</si>
  <si>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</si>
  <si>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</si>
  <si>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</si>
  <si>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</si>
  <si>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</si>
  <si>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</si>
  <si>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</si>
  <si>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</si>
  <si>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</si>
  <si>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</si>
  <si>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</si>
  <si>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</si>
  <si>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</si>
  <si>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</si>
  <si>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</si>
  <si>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</si>
  <si>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</si>
  <si>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</si>
  <si>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</si>
  <si>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</si>
  <si>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</si>
  <si>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</si>
  <si>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</si>
  <si>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</si>
  <si>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</si>
  <si>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</si>
  <si>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</si>
  <si>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</si>
  <si>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</si>
  <si>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</si>
  <si>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</si>
  <si>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</si>
  <si>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</si>
  <si>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</si>
  <si>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</si>
  <si>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</si>
  <si>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</si>
  <si>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</si>
  <si>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</si>
  <si>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</si>
  <si>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</si>
  <si>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</si>
  <si>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</si>
  <si>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</si>
  <si>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</si>
  <si>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</si>
  <si>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</si>
  <si>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</si>
  <si>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</si>
  <si>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</si>
  <si>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</si>
  <si>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</si>
  <si>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</si>
  <si>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</si>
  <si>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</si>
  <si>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</si>
  <si>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</si>
  <si>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</si>
  <si>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</si>
  <si>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</si>
  <si>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</si>
  <si>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</si>
  <si>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</si>
  <si>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</si>
  <si>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</si>
  <si>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</si>
  <si>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</si>
  <si>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</si>
  <si>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</si>
  <si>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</si>
  <si>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</si>
  <si>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</si>
  <si>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</si>
  <si>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</si>
  <si>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</si>
  <si>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</si>
  <si>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</si>
  <si>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</si>
  <si>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</si>
  <si>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</si>
  <si>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</si>
  <si>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</si>
  <si>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</si>
  <si>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</si>
  <si>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</si>
  <si>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</si>
  <si>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</si>
  <si>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</si>
  <si>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</si>
  <si>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</si>
  <si>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</si>
  <si>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</si>
  <si>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</si>
  <si>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</si>
  <si>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</si>
  <si>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</si>
  <si>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</si>
  <si>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</si>
  <si>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</si>
  <si>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</si>
  <si>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</si>
  <si>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</si>
  <si>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</si>
  <si>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</si>
  <si>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</si>
  <si>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</si>
  <si>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</si>
  <si>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</si>
  <si>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</si>
  <si>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</si>
  <si>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</si>
  <si>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</si>
  <si>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</si>
  <si>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</si>
  <si>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</si>
  <si>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</si>
  <si>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</si>
  <si>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</si>
  <si>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</si>
  <si>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</si>
  <si>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</si>
  <si>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</si>
  <si>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</si>
  <si>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</si>
  <si>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</si>
  <si>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</si>
  <si>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</si>
  <si>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</si>
  <si>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</si>
  <si>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</si>
  <si>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</si>
  <si>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</si>
  <si>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</si>
  <si>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</si>
  <si>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</si>
  <si>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</si>
  <si>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</si>
  <si>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</si>
  <si>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</si>
  <si>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</si>
  <si>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</si>
  <si>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</si>
  <si>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</si>
  <si>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</si>
  <si>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</si>
  <si>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</si>
  <si>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</si>
  <si>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</si>
  <si>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</si>
  <si>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</si>
  <si>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</si>
  <si>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</si>
  <si>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</si>
  <si>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</si>
  <si>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</si>
  <si>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</si>
  <si>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</si>
  <si>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</si>
  <si>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</si>
  <si>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</si>
  <si>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</si>
  <si>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</si>
  <si>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</si>
  <si>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</si>
  <si>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</si>
  <si>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</si>
  <si>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</si>
  <si>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</si>
  <si>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</si>
  <si>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</si>
  <si>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</si>
  <si>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</si>
  <si>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</si>
  <si>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</si>
  <si>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</si>
  <si>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</si>
  <si>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</si>
  <si>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</si>
  <si>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</si>
  <si>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</si>
  <si>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</si>
  <si>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</si>
  <si>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</si>
  <si>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</si>
  <si>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</si>
  <si>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</si>
  <si>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</si>
  <si>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</si>
  <si>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</si>
  <si>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</si>
  <si>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</si>
  <si>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</si>
  <si>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</si>
  <si>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</si>
  <si>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</si>
  <si>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</si>
  <si>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</si>
  <si>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</si>
  <si>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</si>
  <si>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</si>
  <si>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</si>
  <si>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</si>
  <si>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</si>
  <si>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</si>
  <si>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</si>
  <si>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</si>
  <si>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</si>
  <si>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</si>
  <si>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</si>
  <si>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</si>
  <si>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</si>
  <si>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</si>
  <si>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</si>
  <si>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</si>
  <si>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</si>
  <si>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</si>
  <si>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</si>
  <si>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</si>
  <si>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</si>
  <si>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</si>
  <si>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</si>
  <si>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</si>
  <si>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</si>
  <si>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</si>
  <si>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</si>
  <si>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</si>
  <si>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</si>
  <si>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</si>
  <si>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</si>
  <si>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</si>
  <si>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</si>
  <si>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</si>
  <si>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</si>
  <si>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</si>
  <si>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</si>
  <si>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</si>
  <si>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</si>
  <si>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</si>
  <si>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</si>
  <si>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</si>
  <si>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</si>
  <si>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</si>
  <si>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</si>
  <si>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</si>
  <si>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</si>
  <si>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</si>
  <si>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</si>
  <si>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</si>
  <si>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</si>
  <si>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</si>
  <si>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</si>
  <si>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</si>
  <si>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</si>
  <si>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</si>
  <si>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</si>
  <si>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</si>
  <si>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</si>
  <si>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</si>
  <si>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</si>
  <si>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</si>
  <si>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</si>
  <si>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</si>
  <si>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</si>
  <si>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</si>
  <si>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</si>
  <si>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</si>
  <si>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</si>
  <si>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</si>
  <si>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</si>
  <si>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</si>
  <si>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</si>
  <si>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</si>
  <si>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</si>
  <si>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</si>
  <si>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</si>
  <si>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</si>
  <si>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</si>
  <si>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</si>
  <si>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</si>
  <si>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</si>
  <si>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</si>
  <si>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</si>
  <si>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</si>
  <si>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</si>
  <si>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</si>
  <si>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</si>
  <si>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</si>
  <si>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</si>
  <si>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</si>
  <si>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</si>
  <si>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</si>
  <si>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</si>
  <si>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</si>
  <si>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</si>
  <si>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</si>
  <si>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</si>
  <si>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</si>
  <si>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</si>
  <si>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</si>
  <si>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</si>
  <si>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</si>
  <si>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</si>
  <si>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</si>
  <si>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</si>
  <si>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</si>
  <si>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</si>
  <si>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</si>
  <si>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</si>
  <si>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</si>
  <si>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</si>
  <si>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</si>
  <si>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</si>
  <si>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</si>
  <si>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</si>
  <si>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</si>
  <si>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</si>
  <si>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</si>
  <si>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</si>
  <si>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</si>
  <si>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</si>
  <si>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</si>
  <si>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</si>
  <si>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</si>
  <si>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</si>
  <si>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</si>
  <si>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</si>
  <si>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</si>
  <si>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</si>
  <si>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</si>
  <si>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</si>
  <si>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</si>
  <si>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</si>
  <si>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</si>
  <si>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</si>
  <si>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</si>
  <si>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</si>
  <si>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</si>
  <si>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</si>
  <si>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</si>
  <si>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</si>
  <si>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</si>
  <si>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</si>
  <si>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</si>
  <si>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</si>
  <si>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</si>
  <si>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</si>
  <si>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</si>
  <si>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</si>
  <si>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</si>
  <si>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</si>
  <si>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</si>
  <si>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</si>
  <si>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</si>
  <si>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</si>
  <si>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</si>
  <si>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</si>
  <si>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</si>
  <si>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</si>
  <si>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</si>
  <si>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</si>
  <si>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</si>
  <si>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</si>
  <si>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</si>
  <si>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</si>
  <si>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</si>
  <si>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</si>
  <si>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</si>
  <si>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</si>
  <si>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</si>
  <si>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</si>
  <si>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</si>
  <si>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</si>
  <si>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</si>
  <si>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</si>
  <si>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</si>
  <si>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</si>
  <si>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</si>
  <si>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</si>
  <si>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</si>
  <si>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</si>
  <si>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</si>
  <si>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</si>
  <si>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</si>
  <si>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</si>
  <si>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</si>
  <si>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</si>
  <si>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</si>
  <si>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</si>
  <si>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</si>
  <si>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</si>
  <si>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</si>
  <si>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</si>
  <si>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</si>
  <si>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</si>
  <si>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</si>
  <si>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</si>
  <si>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</si>
  <si>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</si>
  <si>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</si>
  <si>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</si>
  <si>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</si>
  <si>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</si>
  <si>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</si>
  <si>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</si>
  <si>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</si>
  <si>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</si>
  <si>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</si>
  <si>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</si>
  <si>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</si>
  <si>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</si>
  <si>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</si>
  <si>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</si>
  <si>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</si>
  <si>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</si>
  <si>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</si>
  <si>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</si>
  <si>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</si>
  <si>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</si>
  <si>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</si>
  <si>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</si>
  <si>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</si>
  <si>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</si>
  <si>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</si>
  <si>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</si>
  <si>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</si>
  <si>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</si>
  <si>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</si>
  <si>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</si>
  <si>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</si>
  <si>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</si>
  <si>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</si>
  <si>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</si>
  <si>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</si>
  <si>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</si>
  <si>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</si>
  <si>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</si>
  <si>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</si>
  <si>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</si>
  <si>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</si>
  <si>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</si>
  <si>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</si>
  <si>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</si>
  <si>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</si>
  <si>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</si>
  <si>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</si>
  <si>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</si>
  <si>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</si>
  <si>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</si>
  <si>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</si>
  <si>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</si>
  <si>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</si>
  <si>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</si>
  <si>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</si>
  <si>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</si>
  <si>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</si>
  <si>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</si>
  <si>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</si>
  <si>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</si>
  <si>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</si>
  <si>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</si>
  <si>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</si>
  <si>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</si>
  <si>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</si>
  <si>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</si>
  <si>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</si>
  <si>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</si>
  <si>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</si>
  <si>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</si>
  <si>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</si>
  <si>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</si>
  <si>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</si>
  <si>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</si>
  <si>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</si>
  <si>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</si>
  <si>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</si>
  <si>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</si>
  <si>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</si>
  <si>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</si>
  <si>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</si>
  <si>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</si>
  <si>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</si>
  <si>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</si>
  <si>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</si>
  <si>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</si>
  <si>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</si>
  <si>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</si>
  <si>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</si>
  <si>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</si>
  <si>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</si>
  <si>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</si>
  <si>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</si>
  <si>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</si>
  <si>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</si>
  <si>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</si>
  <si>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</si>
  <si>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</si>
  <si>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</si>
  <si>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</si>
  <si>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</si>
  <si>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</si>
  <si>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</si>
  <si>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</si>
  <si>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</si>
  <si>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</si>
  <si>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</si>
  <si>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</si>
  <si>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</si>
  <si>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</si>
  <si>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</si>
  <si>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</si>
  <si>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</si>
  <si>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</si>
  <si>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</si>
  <si>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</si>
  <si>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</si>
  <si>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</si>
  <si>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</si>
  <si>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</si>
  <si>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</si>
  <si>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</si>
  <si>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</si>
  <si>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</si>
  <si>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</si>
  <si>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</si>
  <si>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</si>
  <si>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</si>
  <si>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</si>
  <si>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</si>
  <si>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</si>
  <si>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</si>
  <si>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</si>
  <si>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</si>
  <si>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</si>
  <si>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</si>
  <si>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</si>
  <si>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</si>
  <si>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</si>
  <si>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</si>
  <si>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</si>
  <si>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</si>
  <si>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</si>
  <si>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</si>
  <si>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</si>
  <si>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</si>
  <si>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</si>
  <si>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</si>
  <si>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</si>
  <si>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</si>
  <si>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</si>
  <si>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</si>
  <si>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</si>
  <si>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</si>
  <si>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</si>
  <si>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</si>
  <si>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</si>
  <si>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</si>
  <si>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</si>
  <si>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</si>
  <si>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</si>
  <si>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</si>
  <si>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</si>
  <si>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</si>
  <si>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</si>
  <si>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</si>
  <si>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</si>
  <si>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</si>
  <si>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</si>
  <si>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</si>
  <si>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</si>
  <si>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</si>
  <si>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</si>
  <si>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</si>
  <si>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</si>
  <si>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</si>
  <si>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</si>
  <si>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</si>
  <si>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</si>
  <si>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</si>
  <si>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</si>
  <si>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</si>
  <si>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</si>
  <si>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</si>
  <si>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</si>
  <si>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</si>
  <si>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</si>
  <si>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</si>
  <si>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</si>
  <si>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</si>
  <si>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</si>
  <si>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</si>
  <si>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</si>
  <si>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</si>
  <si>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</si>
  <si>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</si>
  <si>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</si>
  <si>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</si>
  <si>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</si>
  <si>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</si>
  <si>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</si>
  <si>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</si>
  <si>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</si>
  <si>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</si>
  <si>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</si>
  <si>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</si>
  <si>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</si>
  <si>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</si>
  <si>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</si>
  <si>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</si>
  <si>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</si>
  <si>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</si>
  <si>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</si>
  <si>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</si>
  <si>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</si>
  <si>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</si>
  <si>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</si>
  <si>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</si>
  <si>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</si>
  <si>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</si>
  <si>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</si>
  <si>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</si>
  <si>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</si>
  <si>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</si>
  <si>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</si>
  <si>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</si>
  <si>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</si>
  <si>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</si>
  <si>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</si>
  <si>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</si>
  <si>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</si>
  <si>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</si>
  <si>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</si>
  <si>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</si>
  <si>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</si>
  <si>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</si>
  <si>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</si>
  <si>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</si>
  <si>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</si>
  <si>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</si>
  <si>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</si>
  <si>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</si>
  <si>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</si>
  <si>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</si>
  <si>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</si>
  <si>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</si>
  <si>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</si>
  <si>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</si>
  <si>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</si>
  <si>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</si>
  <si>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</si>
  <si>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</si>
  <si>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</si>
  <si>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</si>
  <si>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</si>
  <si>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</si>
  <si>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</si>
  <si>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</si>
  <si>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</si>
  <si>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</si>
  <si>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</si>
  <si>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</si>
  <si>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</si>
  <si>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</si>
  <si>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</si>
  <si>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</si>
  <si>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</si>
  <si>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</si>
  <si>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</si>
  <si>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</si>
  <si>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</si>
  <si>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</si>
  <si>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</si>
  <si>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</si>
  <si>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</si>
  <si>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</si>
  <si>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</si>
  <si>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</si>
  <si>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</si>
  <si>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</si>
  <si>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</si>
  <si>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</si>
  <si>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</si>
  <si>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</si>
  <si>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</si>
  <si>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</si>
  <si>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</si>
  <si>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</si>
  <si>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</si>
  <si>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</si>
  <si>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</si>
  <si>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</si>
  <si>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</si>
  <si>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</si>
  <si>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</si>
  <si>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</si>
  <si>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</si>
  <si>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</si>
  <si>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</si>
  <si>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</si>
  <si>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</si>
  <si>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</si>
  <si>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</si>
  <si>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</si>
  <si>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</si>
  <si>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</si>
  <si>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</si>
  <si>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</si>
  <si>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</si>
  <si>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</si>
  <si>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</si>
  <si>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</si>
  <si>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</si>
  <si>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</si>
  <si>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</si>
  <si>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</si>
  <si>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</si>
  <si>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</si>
  <si>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</si>
  <si>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</si>
  <si>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</si>
  <si>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</si>
  <si>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</si>
  <si>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</si>
  <si>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</si>
  <si>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</si>
  <si>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</si>
  <si>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</si>
  <si>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</si>
  <si>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</si>
  <si>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</si>
  <si>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</si>
  <si>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</si>
  <si>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</si>
  <si>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</si>
  <si>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</si>
  <si>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</si>
  <si>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</si>
  <si>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</si>
  <si>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</si>
  <si>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</si>
  <si>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</si>
  <si>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</si>
  <si>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</si>
  <si>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</si>
  <si>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</si>
  <si>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</si>
  <si>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</si>
  <si>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</si>
  <si>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</si>
  <si>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</si>
  <si>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</si>
  <si>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</si>
  <si>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</si>
  <si>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</si>
  <si>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</si>
  <si>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</si>
  <si>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</si>
  <si>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</si>
  <si>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</si>
  <si>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</si>
  <si>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</si>
  <si>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</si>
  <si>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</si>
  <si>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</si>
  <si>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</si>
  <si>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</si>
  <si>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</si>
  <si>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</si>
  <si>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</si>
  <si>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</si>
  <si>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</si>
  <si>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</si>
  <si>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</si>
  <si>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</si>
  <si>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</si>
  <si>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</si>
  <si>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</si>
  <si>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</si>
  <si>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</si>
  <si>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</si>
  <si>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</si>
  <si>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</si>
  <si>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</si>
  <si>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</si>
  <si>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</si>
  <si>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</si>
  <si>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</si>
  <si>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</si>
  <si>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</si>
  <si>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</si>
  <si>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</si>
  <si>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</si>
  <si>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</si>
  <si>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</si>
  <si>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</si>
  <si>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</si>
  <si>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</si>
  <si>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</si>
  <si>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</si>
  <si>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</si>
  <si>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</si>
  <si>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</si>
  <si>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</si>
  <si>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</si>
  <si>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</si>
  <si>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</si>
  <si>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</si>
  <si>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</si>
  <si>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</si>
  <si>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</si>
  <si>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</si>
  <si>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</si>
  <si>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</si>
  <si>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</si>
  <si>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</si>
  <si>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</si>
  <si>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</si>
  <si>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</si>
  <si>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</si>
  <si>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</si>
  <si>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</si>
  <si>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</si>
  <si>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</si>
  <si>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</si>
  <si>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</si>
  <si>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</si>
  <si>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</si>
  <si>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</si>
  <si>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</si>
  <si>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</si>
  <si>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</si>
  <si>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</si>
  <si>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</si>
  <si>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</si>
  <si>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</si>
  <si>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</si>
  <si>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</si>
  <si>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</si>
  <si>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</si>
  <si>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</si>
  <si>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</si>
  <si>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</si>
  <si>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</si>
  <si>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</si>
  <si>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</si>
  <si>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</si>
  <si>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</si>
  <si>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</si>
  <si>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</si>
  <si>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</si>
  <si>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</si>
  <si>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</si>
  <si>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</si>
  <si>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</si>
  <si>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</si>
  <si>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</si>
  <si>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</si>
  <si>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</si>
  <si>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</si>
  <si>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</si>
  <si>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</si>
  <si>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</si>
  <si>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</si>
  <si>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</si>
  <si>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</si>
  <si>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</si>
  <si>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</si>
  <si>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</si>
  <si>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</si>
  <si>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</si>
  <si>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</si>
  <si>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</si>
  <si>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</si>
  <si>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</si>
  <si>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</si>
  <si>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</si>
  <si>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</si>
  <si>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</si>
  <si>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</si>
  <si>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</si>
  <si>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</si>
  <si>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</si>
  <si>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</si>
  <si>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</si>
  <si>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</si>
  <si>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</si>
  <si>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</si>
  <si>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</si>
  <si>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</si>
  <si>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</si>
  <si>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</si>
  <si>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</si>
  <si>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</si>
  <si>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</si>
  <si>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</si>
  <si>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</si>
  <si>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</si>
  <si>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</si>
  <si>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</si>
  <si>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</si>
  <si>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</si>
  <si>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</si>
  <si>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</si>
  <si>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</si>
  <si>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</si>
  <si>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</si>
  <si>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</si>
  <si>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</si>
  <si>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</si>
  <si>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</si>
  <si>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</si>
  <si>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</si>
  <si>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</si>
  <si>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</si>
  <si>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</si>
  <si>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</si>
  <si>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</si>
  <si>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</si>
  <si>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</si>
  <si>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</si>
  <si>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</si>
  <si>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</si>
  <si>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</si>
  <si>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</si>
  <si>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</si>
  <si>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</si>
  <si>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</si>
  <si>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</si>
  <si>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</si>
  <si>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</si>
  <si>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</si>
  <si>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</si>
  <si>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</si>
  <si>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</si>
  <si>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</si>
  <si>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</si>
  <si>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</si>
  <si>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</si>
  <si>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</si>
  <si>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</si>
  <si>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</si>
  <si>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</si>
  <si>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</si>
  <si>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</si>
  <si>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</si>
  <si>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</si>
  <si>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</si>
  <si>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</si>
  <si>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</si>
  <si>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</si>
  <si>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</si>
  <si>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</si>
  <si>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</si>
  <si>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</si>
  <si>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</si>
  <si>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</si>
  <si>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</si>
  <si>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</si>
  <si>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</si>
  <si>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</si>
  <si>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</si>
  <si>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</si>
  <si>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</si>
  <si>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</si>
  <si>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</si>
  <si>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</si>
  <si>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</si>
  <si>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</si>
  <si>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</si>
  <si>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</si>
  <si>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</si>
  <si>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</si>
  <si>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</si>
  <si>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</si>
  <si>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</si>
  <si>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</si>
  <si>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</si>
  <si>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</si>
  <si>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</si>
  <si>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</si>
  <si>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</si>
  <si>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</si>
  <si>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</si>
  <si>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</si>
  <si>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</si>
  <si>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</si>
  <si>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</si>
  <si>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</si>
  <si>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</si>
  <si>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</si>
  <si>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</si>
  <si>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</si>
  <si>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</si>
  <si>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</si>
  <si>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</si>
  <si>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</si>
  <si>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</si>
  <si>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</si>
  <si>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</si>
  <si>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</si>
  <si>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</si>
  <si>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</si>
  <si>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</si>
  <si>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</si>
  <si>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</si>
  <si>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</si>
  <si>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</si>
  <si>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</si>
  <si>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</si>
  <si>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</si>
  <si>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</si>
  <si>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</si>
  <si>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</si>
  <si>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</si>
  <si>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</si>
  <si>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</si>
  <si>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</si>
  <si>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</si>
  <si>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</si>
  <si>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</si>
  <si>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</si>
  <si>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</si>
  <si>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</si>
  <si>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</si>
  <si>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</si>
  <si>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</si>
  <si>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</si>
  <si>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</si>
  <si>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</si>
  <si>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</si>
  <si>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</si>
  <si>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</si>
  <si>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</si>
  <si>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</si>
  <si>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</si>
  <si>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</si>
  <si>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</si>
  <si>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</si>
  <si>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</si>
  <si>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</si>
  <si>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</si>
  <si>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</si>
  <si>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</si>
  <si>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</si>
  <si>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</si>
  <si>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</si>
  <si>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</si>
  <si>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</si>
  <si>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</si>
  <si>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</si>
  <si>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</si>
  <si>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</si>
  <si>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</si>
  <si>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</si>
  <si>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</si>
  <si>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</si>
  <si>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</si>
  <si>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</si>
  <si>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</si>
  <si>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</si>
  <si>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</si>
  <si>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</si>
  <si>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</si>
  <si>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</si>
  <si>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</si>
  <si>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</si>
  <si>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</si>
  <si>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</si>
  <si>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</si>
  <si>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</si>
  <si>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</si>
  <si>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</si>
  <si>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</si>
  <si>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</si>
  <si>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</si>
  <si>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</si>
  <si>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</si>
  <si>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</si>
  <si>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</si>
  <si>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</si>
  <si>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</si>
  <si>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</si>
  <si>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</si>
  <si>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</si>
  <si>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</si>
  <si>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</si>
  <si>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</si>
  <si>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</si>
  <si>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</si>
  <si>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</si>
  <si>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</si>
  <si>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</si>
  <si>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</si>
  <si>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</si>
  <si>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</si>
  <si>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</si>
  <si>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</si>
  <si>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</si>
  <si>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</si>
  <si>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</si>
  <si>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</si>
  <si>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</si>
  <si>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</si>
  <si>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</si>
  <si>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</si>
  <si>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</si>
  <si>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</si>
  <si>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</si>
  <si>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</si>
  <si>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</si>
  <si>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</si>
  <si>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</si>
  <si>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</si>
  <si>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</si>
  <si>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</si>
  <si>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</si>
  <si>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</si>
  <si>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</si>
  <si>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</si>
  <si>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</si>
  <si>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</si>
  <si>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</si>
  <si>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</si>
  <si>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</si>
  <si>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</si>
  <si>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</si>
  <si>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</si>
  <si>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</si>
  <si>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</si>
  <si>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</si>
  <si>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</si>
  <si>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</si>
  <si>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</si>
  <si>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</si>
  <si>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</si>
  <si>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</si>
  <si>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</si>
  <si>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</si>
  <si>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</si>
  <si>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</si>
  <si>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</si>
  <si>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</si>
  <si>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</si>
  <si>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</si>
  <si>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</si>
  <si>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</si>
  <si>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</si>
  <si>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</si>
  <si>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</si>
  <si>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</si>
  <si>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</si>
  <si>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</si>
  <si>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</si>
  <si>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</si>
  <si>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</si>
  <si>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</si>
  <si>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</si>
  <si>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</si>
  <si>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</si>
  <si>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</si>
  <si>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</si>
  <si>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</si>
  <si>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</si>
  <si>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</si>
  <si>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</si>
  <si>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</si>
  <si>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</si>
  <si>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</si>
  <si>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</si>
  <si>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</si>
  <si>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</si>
  <si>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</si>
  <si>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</si>
  <si>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</si>
  <si>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</si>
  <si>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</si>
  <si>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</si>
  <si>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</si>
  <si>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</si>
  <si>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</si>
  <si>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</si>
  <si>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</si>
  <si>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</si>
  <si>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</si>
  <si>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</si>
  <si>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</si>
  <si>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</si>
  <si>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</si>
  <si>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</si>
  <si>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</si>
  <si>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</si>
  <si>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</si>
  <si>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</si>
  <si>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</si>
  <si>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</si>
  <si>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</si>
  <si>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</si>
  <si>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</si>
  <si>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</si>
  <si>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</si>
  <si>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</si>
  <si>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</si>
  <si>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</si>
  <si>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</si>
  <si>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</si>
  <si>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</si>
  <si>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</si>
  <si>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</si>
  <si>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</si>
  <si>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</si>
  <si>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</si>
  <si>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</si>
  <si>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</si>
  <si>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</si>
  <si>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</si>
  <si>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</si>
  <si>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</si>
  <si>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</si>
  <si>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</si>
  <si>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</si>
  <si>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</si>
  <si>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</si>
  <si>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</si>
  <si>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</si>
  <si>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</si>
  <si>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</si>
  <si>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</si>
  <si>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</si>
  <si>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</si>
  <si>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</si>
  <si>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</si>
  <si>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</si>
  <si>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</si>
  <si>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</si>
  <si>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</si>
  <si>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</si>
  <si>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</si>
  <si>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</si>
  <si>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</si>
  <si>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</si>
  <si>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</si>
  <si>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</si>
  <si>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</si>
  <si>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</si>
  <si>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</si>
  <si>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</si>
  <si>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</si>
  <si>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</si>
  <si>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</si>
  <si>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</si>
  <si>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</si>
  <si>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</si>
  <si>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</si>
  <si>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</si>
  <si>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</si>
  <si>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</si>
  <si>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</si>
  <si>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</si>
  <si>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</si>
  <si>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</si>
  <si>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</si>
  <si>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</si>
  <si>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</si>
  <si>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</si>
  <si>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</si>
  <si>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</si>
  <si>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</si>
  <si>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</si>
  <si>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</si>
  <si>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</si>
  <si>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</si>
  <si>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</si>
  <si>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</si>
  <si>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</si>
  <si>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</si>
  <si>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</si>
  <si>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</si>
  <si>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</si>
  <si>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</si>
  <si>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</si>
  <si>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</si>
  <si>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</si>
  <si>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</si>
  <si>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</si>
  <si>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</si>
  <si>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</si>
  <si>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</si>
  <si>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</si>
  <si>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</si>
  <si>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</si>
  <si>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</si>
  <si>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</si>
  <si>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</si>
  <si>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</si>
  <si>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</si>
  <si>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</si>
  <si>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</si>
  <si>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</si>
  <si>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</si>
  <si>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</si>
  <si>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</si>
  <si>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</si>
  <si>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</si>
  <si>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</si>
  <si>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</si>
  <si>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</si>
  <si>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</si>
  <si>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</si>
  <si>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</si>
  <si>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</si>
  <si>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</si>
  <si>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</si>
  <si>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</si>
  <si>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</si>
  <si>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</si>
  <si>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</si>
  <si>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</si>
  <si>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</si>
  <si>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</si>
  <si>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</si>
  <si>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</si>
  <si>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</si>
  <si>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</si>
  <si>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</si>
  <si>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</si>
  <si>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</si>
  <si>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</si>
  <si>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</si>
  <si>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</si>
  <si>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</si>
  <si>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</si>
  <si>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</si>
  <si>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</si>
  <si>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</si>
  <si>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</si>
  <si>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</si>
  <si>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</si>
  <si>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</si>
  <si>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</si>
  <si>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</si>
  <si>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</si>
  <si>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</si>
  <si>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</si>
  <si>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</si>
  <si>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</si>
  <si>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</si>
  <si>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</si>
  <si>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</si>
  <si>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</si>
  <si>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</si>
  <si>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</si>
  <si>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</si>
  <si>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</si>
  <si>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</si>
  <si>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</si>
  <si>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</si>
  <si>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</si>
  <si>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</si>
  <si>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</si>
  <si>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</si>
  <si>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</si>
  <si>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</si>
  <si>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</si>
  <si>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</si>
  <si>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</si>
  <si>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</si>
  <si>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</si>
  <si>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</si>
  <si>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</si>
  <si>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</si>
  <si>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</si>
  <si>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</si>
  <si>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</si>
  <si>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</si>
  <si>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</si>
  <si>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</si>
  <si>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</si>
  <si>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</si>
  <si>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</si>
  <si>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</si>
  <si>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</si>
  <si>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</si>
  <si>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</si>
  <si>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</si>
  <si>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</si>
  <si>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</si>
  <si>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</si>
  <si>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</si>
  <si>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</si>
  <si>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</si>
  <si>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</si>
  <si>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</si>
  <si>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</si>
  <si>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</si>
  <si>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</si>
  <si>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</si>
  <si>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</si>
  <si>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</si>
  <si>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</si>
  <si>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</si>
  <si>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</si>
  <si>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</si>
  <si>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</si>
  <si>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</si>
  <si>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</si>
  <si>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</si>
  <si>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</si>
  <si>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</si>
  <si>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</si>
  <si>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</si>
  <si>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</si>
  <si>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</si>
  <si>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</si>
  <si>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</si>
  <si>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</si>
  <si>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</si>
  <si>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</si>
  <si>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</si>
  <si>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</si>
  <si>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</si>
  <si>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</si>
  <si>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</si>
  <si>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</si>
  <si>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</si>
  <si>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</si>
  <si>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</si>
  <si>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</si>
  <si>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</si>
  <si>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</si>
  <si>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</si>
  <si>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</si>
  <si>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</si>
  <si>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</si>
  <si>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</si>
  <si>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</si>
  <si>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</si>
  <si>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</si>
  <si>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</si>
  <si>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</si>
  <si>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</si>
  <si>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</si>
  <si>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</si>
  <si>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</si>
  <si>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</si>
  <si>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</si>
  <si>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</si>
  <si>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</si>
  <si>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</si>
  <si>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</si>
  <si>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</si>
  <si>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</si>
  <si>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</si>
  <si>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</si>
  <si>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</si>
  <si>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</si>
  <si>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</si>
  <si>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</si>
  <si>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</si>
  <si>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</si>
  <si>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</si>
  <si>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</si>
  <si>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</si>
  <si>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</si>
  <si>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</si>
  <si>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</si>
  <si>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</si>
  <si>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</si>
  <si>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</si>
  <si>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</si>
  <si>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</si>
  <si>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</si>
  <si>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</si>
  <si>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</si>
  <si>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</si>
  <si>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</si>
  <si>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</si>
  <si>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</si>
  <si>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</si>
  <si>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</si>
  <si>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</si>
  <si>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</si>
  <si>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</si>
  <si>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</si>
  <si>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</si>
  <si>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</si>
  <si>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</si>
  <si>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</si>
  <si>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</si>
  <si>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</si>
  <si>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</si>
  <si>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</si>
  <si>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</si>
  <si>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</si>
  <si>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</si>
  <si>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</si>
  <si>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</si>
  <si>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</si>
  <si>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</si>
  <si>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</si>
  <si>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</si>
  <si>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</si>
  <si>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</si>
  <si>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</si>
  <si>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</si>
  <si>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</si>
  <si>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</si>
  <si>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</si>
  <si>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</si>
  <si>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</si>
  <si>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</si>
  <si>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</si>
  <si>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</si>
  <si>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</si>
  <si>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</si>
  <si>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</si>
  <si>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</si>
  <si>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</si>
  <si>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</si>
  <si>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</si>
  <si>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</si>
  <si>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</si>
  <si>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</si>
  <si>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</si>
  <si>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</si>
  <si>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</si>
  <si>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</si>
  <si>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</si>
  <si>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</si>
  <si>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</si>
  <si>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</si>
  <si>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</si>
  <si>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</si>
  <si>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</si>
  <si>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</si>
  <si>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</si>
  <si>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</si>
  <si>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</si>
  <si>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</si>
  <si>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</si>
  <si>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</si>
  <si>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</si>
  <si>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</si>
  <si>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</si>
  <si>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</si>
  <si>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</si>
  <si>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</si>
  <si>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</si>
  <si>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</si>
  <si>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</si>
  <si>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</si>
  <si>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</si>
  <si>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</si>
  <si>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</si>
  <si>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</si>
  <si>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</si>
  <si>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</si>
  <si>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</si>
  <si>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</si>
  <si>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</si>
  <si>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</si>
  <si>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</si>
  <si>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</si>
  <si>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</si>
  <si>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</si>
  <si>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</si>
  <si>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</si>
  <si>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</si>
  <si>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</si>
  <si>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</si>
  <si>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</si>
  <si>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</si>
  <si>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</si>
  <si>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</si>
  <si>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</si>
  <si>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</si>
  <si>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</si>
  <si>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</si>
  <si>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</si>
  <si>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</si>
  <si>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</si>
  <si>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</si>
  <si>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</si>
  <si>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</si>
  <si>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</si>
  <si>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</si>
  <si>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</si>
  <si>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</si>
  <si>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</si>
  <si>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</si>
  <si>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</si>
  <si>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</si>
  <si>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</si>
  <si>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</si>
  <si>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</si>
  <si>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</si>
  <si>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</si>
  <si>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</si>
  <si>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</si>
  <si>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</si>
  <si>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</si>
  <si>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</si>
  <si>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</si>
  <si>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</si>
  <si>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</si>
  <si>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</si>
  <si>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</si>
  <si>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</si>
  <si>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</si>
  <si>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</si>
  <si>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</si>
  <si>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</si>
  <si>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</si>
  <si>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</si>
  <si>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</si>
  <si>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</si>
  <si>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</si>
  <si>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</si>
  <si>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</si>
  <si>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</si>
  <si>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</si>
  <si>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</si>
  <si>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</si>
  <si>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</si>
  <si>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</si>
  <si>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</si>
  <si>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</si>
  <si>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</si>
  <si>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</si>
  <si>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</si>
  <si>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</si>
  <si>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</si>
  <si>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</si>
  <si>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</si>
  <si>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</si>
  <si>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</si>
  <si>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</si>
  <si>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</si>
  <si>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</si>
  <si>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</si>
  <si>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</si>
  <si>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</si>
  <si>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</si>
  <si>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</si>
  <si>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</si>
  <si>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</si>
  <si>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</si>
  <si>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</si>
  <si>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</si>
  <si>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</si>
  <si>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</si>
  <si>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</si>
  <si>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</si>
  <si>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</si>
  <si>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</si>
  <si>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</si>
  <si>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</si>
  <si>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</si>
  <si>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</si>
  <si>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</si>
  <si>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</si>
  <si>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</si>
  <si>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</si>
  <si>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</si>
  <si>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</si>
  <si>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</si>
  <si>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</si>
  <si>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</si>
  <si>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</si>
  <si>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</si>
  <si>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</si>
  <si>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</si>
  <si>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</si>
  <si>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</si>
  <si>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</si>
  <si>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</si>
  <si>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</si>
  <si>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</si>
  <si>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</si>
  <si>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</si>
  <si>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</si>
  <si>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</si>
  <si>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</si>
  <si>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</si>
  <si>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</si>
  <si>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</si>
  <si>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</si>
  <si>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</si>
  <si>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</si>
  <si>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</si>
  <si>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</si>
  <si>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</si>
  <si>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</si>
  <si>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</si>
  <si>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</si>
  <si>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</si>
  <si>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</si>
  <si>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</si>
  <si>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</si>
  <si>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</si>
  <si>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</si>
  <si>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</si>
  <si>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</si>
  <si>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</si>
  <si>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</si>
  <si>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</si>
  <si>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</si>
  <si>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</si>
  <si>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</si>
  <si>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</si>
  <si>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</si>
  <si>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</si>
  <si>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</si>
  <si>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</si>
  <si>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</si>
  <si>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</si>
  <si>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</si>
  <si>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</si>
  <si>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</si>
  <si>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</si>
  <si>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</si>
  <si>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</si>
  <si>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</si>
  <si>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</si>
  <si>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</si>
  <si>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</si>
  <si>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</si>
  <si>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</si>
  <si>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</si>
  <si>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</si>
  <si>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</si>
  <si>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</si>
  <si>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</si>
  <si>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</si>
  <si>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</si>
  <si>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</si>
  <si>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</si>
  <si>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</si>
  <si>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</si>
  <si>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</si>
  <si>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</si>
  <si>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</si>
  <si>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</si>
  <si>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</si>
  <si>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</si>
  <si>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</si>
  <si>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</si>
  <si>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</si>
  <si>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</si>
  <si>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</si>
  <si>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</si>
  <si>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</si>
  <si>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</si>
  <si>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</si>
  <si>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</si>
  <si>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</si>
  <si>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</si>
  <si>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</si>
  <si>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</si>
  <si>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</si>
  <si>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</si>
  <si>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</si>
  <si>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</si>
  <si>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</si>
  <si>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</si>
  <si>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</si>
  <si>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</si>
  <si>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</si>
  <si>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</si>
  <si>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</si>
  <si>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</si>
  <si>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</si>
  <si>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</si>
  <si>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</si>
  <si>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</si>
  <si>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</si>
  <si>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</si>
  <si>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</si>
  <si>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</si>
  <si>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</si>
  <si>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</si>
  <si>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</si>
  <si>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</si>
  <si>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</si>
  <si>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</si>
  <si>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</si>
  <si>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</si>
  <si>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</si>
  <si>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</si>
  <si>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</si>
  <si>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</si>
  <si>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</si>
  <si>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</si>
  <si>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</si>
  <si>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</si>
  <si>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</si>
  <si>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</si>
  <si>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</si>
  <si>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</si>
  <si>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</si>
  <si>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</si>
  <si>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</si>
  <si>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</si>
  <si>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</si>
  <si>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</si>
  <si>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</si>
  <si>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</si>
  <si>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</si>
  <si>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</si>
  <si>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</si>
  <si>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</si>
  <si>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</si>
  <si>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</si>
  <si>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</si>
  <si>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</si>
  <si>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</si>
  <si>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</si>
  <si>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</si>
  <si>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</si>
  <si>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</si>
  <si>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</si>
  <si>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</si>
  <si>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</si>
  <si>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</si>
  <si>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</si>
  <si>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</si>
  <si>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</si>
  <si>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</si>
  <si>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</si>
  <si>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</si>
  <si>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</si>
  <si>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</si>
  <si>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</si>
  <si>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</si>
  <si>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</si>
  <si>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</si>
  <si>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</si>
  <si>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</si>
  <si>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</si>
  <si>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</si>
  <si>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</si>
  <si>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</si>
  <si>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</si>
  <si>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</si>
  <si>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</si>
  <si>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</si>
  <si>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</si>
  <si>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</si>
  <si>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</si>
  <si>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</si>
  <si>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</si>
  <si>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</si>
  <si>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</si>
  <si>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</si>
  <si>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</si>
  <si>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</si>
  <si>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</si>
  <si>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</si>
  <si>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</si>
  <si>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</si>
  <si>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</si>
  <si>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</si>
  <si>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</si>
  <si>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</si>
  <si>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</si>
  <si>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</si>
  <si>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</si>
  <si>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</si>
  <si>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</si>
  <si>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</si>
  <si>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</si>
  <si>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</si>
  <si>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</si>
  <si>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</si>
  <si>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</si>
  <si>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</si>
  <si>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</si>
  <si>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</si>
  <si>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</si>
  <si>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</si>
  <si>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</si>
  <si>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</si>
  <si>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</si>
  <si>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</si>
  <si>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</si>
  <si>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</si>
  <si>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</si>
  <si>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</si>
  <si>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</si>
  <si>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</si>
  <si>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</si>
  <si>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</si>
  <si>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</si>
  <si>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</si>
  <si>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</si>
  <si>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</si>
  <si>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</si>
  <si>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</si>
  <si>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</si>
  <si>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</si>
  <si>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</si>
  <si>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</si>
  <si>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</si>
  <si>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</si>
  <si>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</si>
  <si>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</si>
  <si>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</si>
  <si>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</si>
  <si>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</si>
  <si>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</si>
  <si>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</si>
  <si>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</si>
  <si>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</si>
  <si>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</si>
  <si>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</si>
  <si>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</si>
  <si>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</si>
  <si>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</si>
  <si>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</si>
  <si>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</si>
  <si>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</si>
  <si>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</si>
  <si>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</si>
  <si>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</si>
  <si>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</si>
  <si>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</si>
  <si>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</si>
  <si>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</si>
  <si>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</si>
  <si>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</si>
  <si>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</si>
  <si>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</si>
  <si>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</si>
  <si>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</si>
  <si>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</si>
  <si>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</si>
  <si>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</si>
  <si>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</si>
  <si>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</si>
  <si>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</si>
  <si>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</si>
  <si>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</si>
  <si>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</si>
  <si>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</si>
  <si>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</si>
  <si>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</si>
  <si>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</si>
  <si>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</si>
  <si>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</si>
  <si>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</si>
  <si>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</si>
  <si>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</si>
  <si>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</si>
  <si>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</si>
  <si>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</si>
  <si>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</si>
  <si>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</si>
  <si>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</si>
  <si>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</si>
  <si>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</si>
  <si>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</si>
  <si>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</si>
  <si>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</si>
  <si>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</si>
  <si>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</si>
  <si>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</si>
  <si>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</si>
  <si>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</si>
  <si>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</si>
  <si>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</si>
  <si>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</si>
  <si>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</si>
  <si>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</si>
  <si>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</si>
  <si>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</si>
  <si>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</si>
  <si>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</si>
  <si>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</si>
  <si>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</si>
  <si>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</si>
  <si>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</si>
  <si>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</si>
  <si>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</si>
  <si>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</si>
  <si>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</si>
  <si>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</si>
  <si>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</si>
  <si>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</si>
  <si>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</si>
  <si>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</si>
  <si>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</si>
  <si>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</si>
  <si>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</si>
  <si>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</si>
  <si>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</si>
  <si>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</si>
  <si>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</si>
  <si>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</si>
  <si>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</si>
  <si>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</si>
  <si>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</si>
  <si>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</si>
  <si>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</si>
  <si>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</si>
  <si>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</si>
  <si>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</si>
  <si>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</si>
  <si>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</si>
  <si>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</si>
  <si>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</si>
  <si>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</si>
  <si>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</si>
  <si>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</si>
  <si>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</si>
  <si>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</si>
  <si>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</si>
  <si>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</si>
  <si>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</si>
  <si>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</si>
  <si>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</si>
  <si>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</si>
  <si>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</si>
  <si>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</si>
  <si>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</si>
  <si>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</si>
  <si>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</si>
  <si>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</si>
  <si>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</si>
  <si>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</si>
  <si>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</si>
  <si>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</si>
  <si>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</si>
  <si>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</si>
  <si>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</si>
  <si>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</si>
  <si>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</si>
  <si>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</si>
  <si>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</si>
  <si>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</si>
  <si>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</si>
  <si>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</si>
  <si>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</si>
  <si>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</si>
  <si>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</si>
  <si>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</si>
  <si>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</si>
  <si>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</si>
  <si>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</si>
  <si>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</si>
  <si>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</si>
  <si>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</si>
  <si>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</si>
  <si>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</si>
  <si>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</si>
  <si>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</si>
  <si>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</si>
  <si>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</si>
  <si>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</si>
  <si>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</si>
  <si>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</si>
  <si>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</si>
  <si>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</si>
  <si>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</si>
  <si>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</si>
  <si>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</si>
  <si>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</si>
  <si>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</si>
  <si>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</si>
  <si>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</si>
  <si>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</si>
  <si>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</si>
  <si>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</si>
  <si>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</si>
  <si>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</si>
  <si>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</si>
  <si>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</si>
  <si>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</si>
  <si>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</si>
  <si>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</si>
  <si>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</si>
  <si>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</si>
  <si>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</si>
  <si>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</si>
  <si>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</si>
  <si>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</si>
  <si>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</si>
  <si>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</si>
  <si>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</si>
  <si>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</si>
  <si>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</si>
  <si>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</si>
  <si>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</si>
  <si>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</si>
  <si>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</si>
  <si>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</si>
  <si>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</si>
  <si>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</si>
  <si>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</si>
  <si>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</si>
  <si>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</si>
  <si>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</si>
  <si>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</si>
  <si>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</si>
  <si>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</si>
  <si>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</si>
  <si>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</si>
  <si>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</si>
  <si>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</si>
  <si>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</si>
  <si>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</si>
  <si>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</si>
  <si>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</si>
  <si>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</si>
  <si>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</si>
  <si>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</si>
  <si>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</si>
  <si>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</si>
  <si>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</si>
  <si>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</si>
  <si>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</si>
  <si>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</si>
  <si>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</si>
  <si>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</si>
  <si>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</si>
  <si>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</si>
  <si>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</si>
  <si>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</si>
  <si>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</si>
  <si>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</si>
  <si>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</si>
  <si>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</si>
  <si>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</si>
  <si>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</si>
  <si>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</si>
  <si>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</si>
  <si>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</si>
  <si>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</si>
  <si>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</si>
  <si>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</si>
  <si>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</si>
  <si>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</si>
  <si>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</si>
  <si>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</si>
  <si>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</si>
  <si>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</si>
  <si>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</si>
  <si>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</si>
  <si>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</si>
  <si>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</si>
  <si>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</si>
  <si>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</si>
  <si>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</si>
  <si>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</si>
  <si>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</si>
  <si>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</si>
  <si>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</si>
  <si>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</si>
  <si>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</si>
  <si>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</si>
  <si>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</si>
  <si>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</si>
  <si>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</si>
  <si>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</si>
  <si>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</si>
  <si>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</si>
  <si>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</si>
  <si>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</si>
  <si>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</si>
  <si>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</si>
  <si>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</si>
  <si>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</si>
  <si>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</si>
  <si>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</si>
  <si>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</si>
  <si>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</si>
  <si>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</si>
  <si>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</si>
  <si>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</si>
  <si>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</si>
  <si>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</si>
  <si>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</si>
  <si>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</si>
  <si>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</si>
  <si>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</si>
  <si>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</si>
  <si>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</si>
  <si>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</si>
  <si>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</si>
  <si>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</si>
  <si>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</si>
  <si>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</si>
  <si>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</si>
  <si>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</si>
  <si>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</si>
  <si>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</si>
  <si>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</si>
  <si>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</si>
  <si>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</si>
  <si>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</si>
  <si>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</si>
  <si>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</si>
  <si>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</si>
  <si>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</si>
  <si>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</si>
  <si>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</si>
  <si>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</si>
  <si>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</si>
  <si>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</si>
  <si>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</si>
  <si>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</si>
  <si>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</si>
  <si>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</si>
  <si>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</si>
  <si>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</si>
  <si>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</si>
  <si>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</si>
  <si>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</si>
  <si>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</si>
  <si>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</si>
  <si>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</si>
  <si>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</si>
  <si>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</si>
  <si>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</si>
  <si>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</si>
  <si>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</si>
  <si>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</si>
  <si>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</si>
  <si>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</si>
  <si>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</si>
  <si>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</si>
  <si>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</si>
  <si>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</si>
  <si>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</si>
  <si>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</si>
  <si>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</si>
  <si>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</si>
  <si>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</si>
  <si>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</si>
  <si>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</si>
  <si>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</si>
  <si>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</si>
  <si>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</si>
  <si>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</si>
  <si>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</si>
  <si>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</si>
  <si>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</si>
  <si>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</si>
  <si>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</si>
  <si>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</si>
  <si>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</si>
  <si>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</si>
  <si>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</si>
  <si>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</si>
  <si>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</si>
  <si>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</si>
  <si>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</si>
  <si>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</si>
  <si>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</si>
  <si>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</si>
  <si>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</si>
  <si>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</si>
  <si>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</si>
  <si>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</si>
  <si>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</si>
  <si>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</si>
  <si>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</si>
  <si>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</si>
  <si>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</si>
  <si>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</si>
  <si>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</si>
  <si>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</si>
  <si>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</si>
  <si>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</si>
  <si>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</si>
  <si>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</si>
  <si>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</si>
  <si>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</si>
  <si>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</si>
  <si>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</si>
  <si>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</si>
  <si>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</si>
  <si>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</si>
  <si>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</si>
  <si>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</si>
  <si>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</si>
  <si>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</si>
  <si>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</si>
  <si>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</si>
  <si>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</si>
  <si>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</si>
  <si>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</si>
  <si>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</si>
  <si>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</si>
  <si>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</si>
  <si>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</si>
  <si>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</si>
  <si>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</si>
  <si>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</si>
  <si>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</si>
  <si>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</si>
  <si>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</si>
  <si>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</si>
  <si>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</si>
  <si>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</si>
  <si>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</si>
  <si>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</si>
  <si>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</si>
  <si>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</si>
  <si>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</si>
  <si>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</si>
  <si>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</si>
  <si>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</si>
  <si>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</si>
  <si>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</si>
  <si>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</si>
  <si>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</si>
  <si>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</si>
  <si>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</si>
  <si>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</si>
  <si>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</si>
  <si>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</si>
  <si>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</si>
  <si>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</si>
  <si>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</si>
  <si>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</si>
  <si>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</si>
  <si>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</si>
  <si>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</si>
  <si>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</si>
  <si>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</si>
  <si>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</si>
  <si>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</si>
  <si>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</si>
  <si>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</si>
  <si>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</si>
  <si>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</si>
  <si>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</si>
  <si>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</si>
  <si>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</si>
  <si>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</si>
  <si>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</si>
  <si>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</si>
  <si>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</si>
  <si>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</si>
  <si>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</si>
  <si>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</si>
  <si>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</si>
  <si>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</si>
  <si>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</si>
  <si>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</si>
  <si>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</si>
  <si>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</si>
  <si>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</si>
  <si>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</si>
  <si>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</si>
  <si>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</si>
  <si>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</si>
  <si>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</si>
  <si>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</si>
  <si>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</si>
  <si>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</si>
  <si>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</si>
  <si>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</si>
  <si>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</si>
  <si>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</si>
  <si>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</si>
  <si>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</si>
  <si>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</si>
  <si>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</si>
  <si>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</si>
  <si>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</si>
  <si>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</si>
  <si>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</si>
  <si>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</si>
  <si>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</si>
  <si>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</si>
  <si>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</si>
  <si>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</si>
  <si>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</si>
  <si>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</si>
  <si>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</si>
  <si>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</si>
  <si>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</si>
  <si>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</si>
  <si>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</si>
  <si>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</si>
  <si>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</si>
  <si>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</si>
  <si>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</si>
  <si>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</si>
  <si>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</si>
  <si>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</si>
  <si>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</si>
  <si>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</si>
  <si>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</si>
  <si>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</si>
  <si>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</si>
  <si>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</si>
  <si>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</si>
  <si>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</si>
  <si>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</si>
  <si>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</si>
  <si>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</si>
  <si>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</si>
  <si>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</si>
  <si>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</si>
  <si>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</si>
  <si>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</si>
  <si>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</si>
  <si>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</si>
  <si>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</si>
  <si>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</si>
  <si>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</si>
  <si>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</si>
  <si>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</si>
  <si>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</si>
  <si>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</si>
  <si>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</si>
  <si>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</si>
  <si>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</si>
  <si>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</si>
  <si>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</si>
  <si>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</si>
  <si>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</si>
  <si>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</si>
  <si>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</si>
  <si>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</si>
  <si>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</si>
  <si>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</si>
  <si>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</si>
  <si>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</si>
  <si>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</si>
  <si>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</si>
  <si>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</si>
  <si>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</si>
  <si>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</si>
  <si>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</si>
  <si>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</si>
  <si>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</si>
  <si>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</si>
  <si>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</si>
  <si>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</si>
  <si>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</si>
  <si>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</si>
  <si>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</si>
  <si>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</si>
  <si>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</si>
  <si>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</si>
  <si>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</si>
  <si>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</si>
  <si>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</si>
  <si>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</si>
  <si>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</si>
  <si>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</si>
  <si>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</si>
  <si>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</si>
  <si>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</si>
  <si>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</si>
  <si>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</si>
  <si>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</si>
  <si>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</si>
  <si>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</si>
  <si>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</si>
  <si>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</si>
  <si>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</si>
  <si>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</si>
  <si>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</si>
  <si>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</si>
  <si>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</si>
  <si>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</si>
  <si>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</si>
  <si>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</si>
  <si>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</si>
  <si>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</si>
  <si>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</si>
  <si>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</si>
  <si>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</si>
  <si>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</si>
  <si>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</si>
  <si>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</si>
  <si>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</si>
  <si>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</si>
  <si>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</si>
  <si>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</si>
  <si>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</si>
  <si>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</si>
  <si>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</si>
  <si>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</si>
  <si>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</si>
  <si>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</si>
  <si>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</si>
  <si>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</si>
  <si>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</si>
  <si>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</si>
  <si>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</si>
  <si>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</si>
  <si>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</si>
  <si>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</si>
  <si>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</si>
  <si>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</si>
  <si>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</si>
  <si>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</si>
  <si>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</si>
  <si>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</si>
  <si>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</si>
  <si>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</si>
  <si>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</si>
  <si>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</si>
  <si>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</si>
  <si>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</si>
  <si>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</si>
  <si>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</si>
  <si>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</si>
  <si>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</si>
  <si>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</si>
  <si>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</si>
  <si>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</si>
  <si>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</si>
  <si>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</si>
  <si>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</si>
  <si>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</si>
  <si>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</si>
  <si>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</si>
  <si>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</si>
  <si>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</si>
  <si>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</si>
  <si>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</si>
  <si>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</si>
  <si>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</si>
  <si>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</si>
  <si>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</si>
  <si>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</si>
  <si>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</si>
  <si>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</si>
  <si>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</si>
  <si>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</si>
  <si>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</si>
  <si>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</si>
  <si>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</si>
  <si>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</si>
  <si>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</si>
  <si>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</si>
  <si>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</si>
  <si>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</si>
  <si>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</si>
  <si>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</si>
  <si>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</si>
  <si>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</si>
  <si>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</si>
  <si>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</si>
  <si>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</si>
  <si>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</si>
  <si>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</si>
  <si>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</si>
  <si>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</si>
  <si>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</si>
  <si>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</si>
  <si>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</si>
  <si>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</si>
  <si>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</si>
  <si>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</si>
  <si>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</si>
  <si>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</si>
  <si>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</si>
  <si>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</si>
  <si>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</si>
  <si>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</si>
  <si>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</si>
  <si>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</si>
  <si>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</si>
  <si>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</si>
  <si>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</si>
  <si>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</si>
  <si>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</si>
  <si>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</si>
  <si>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</si>
  <si>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</si>
  <si>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</si>
  <si>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</si>
  <si>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</si>
  <si>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</si>
  <si>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</si>
  <si>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</si>
  <si>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</si>
  <si>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</si>
  <si>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</si>
  <si>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</si>
  <si>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</si>
  <si>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</si>
  <si>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</si>
  <si>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</si>
  <si>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</si>
  <si>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</si>
  <si>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</si>
  <si>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</si>
  <si>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</si>
  <si>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</si>
  <si>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</si>
  <si>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</si>
  <si>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</si>
  <si>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</si>
  <si>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</si>
  <si>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</si>
  <si>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</si>
  <si>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</si>
  <si>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</si>
  <si>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</si>
  <si>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</si>
  <si>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</si>
  <si>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</si>
  <si>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</si>
  <si>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</si>
  <si>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</si>
  <si>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</si>
  <si>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</si>
  <si>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</si>
  <si>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</si>
  <si>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</si>
  <si>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</si>
  <si>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</si>
  <si>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</si>
  <si>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</si>
  <si>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</si>
  <si>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</si>
  <si>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</si>
  <si>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</si>
  <si>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</si>
  <si>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</si>
  <si>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</si>
  <si>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</si>
  <si>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</si>
  <si>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</si>
  <si>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</si>
  <si>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</si>
  <si>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</si>
  <si>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</si>
  <si>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</si>
  <si>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</si>
  <si>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</si>
  <si>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</si>
  <si>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</si>
  <si>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</si>
  <si>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</si>
  <si>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</si>
  <si>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</si>
  <si>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</si>
  <si>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</si>
  <si>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</si>
  <si>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</si>
  <si>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</si>
  <si>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</si>
  <si>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</si>
  <si>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</si>
  <si>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</si>
  <si>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</si>
  <si>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</si>
  <si>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</si>
  <si>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</si>
  <si>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</si>
  <si>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</si>
  <si>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</si>
  <si>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</si>
  <si>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</si>
  <si>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</si>
  <si>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</si>
  <si>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</si>
  <si>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</si>
  <si>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</si>
  <si>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</si>
  <si>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</si>
  <si>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</si>
  <si>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</si>
  <si>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</si>
  <si>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</si>
  <si>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</si>
  <si>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</si>
  <si>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</si>
  <si>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</si>
  <si>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</si>
  <si>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</si>
  <si>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</si>
  <si>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</si>
  <si>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</si>
  <si>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</si>
  <si>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</si>
  <si>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</si>
  <si>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</si>
  <si>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</si>
  <si>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</si>
  <si>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</si>
  <si>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</si>
  <si>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</si>
  <si>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</si>
  <si>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</si>
  <si>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</si>
  <si>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</si>
  <si>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</si>
  <si>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</si>
  <si>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</si>
  <si>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</si>
  <si>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</si>
  <si>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</si>
  <si>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</si>
  <si>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</si>
  <si>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</si>
  <si>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</si>
  <si>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</si>
  <si>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</si>
  <si>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</si>
  <si>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</si>
  <si>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</si>
  <si>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</si>
  <si>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</si>
  <si>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</si>
  <si>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</si>
  <si>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</si>
  <si>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</si>
  <si>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</si>
  <si>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</si>
  <si>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</si>
  <si>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</si>
  <si>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</si>
  <si>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</si>
  <si>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</si>
  <si>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</si>
  <si>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</si>
  <si>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</si>
  <si>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</si>
  <si>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</si>
  <si>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</si>
  <si>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</si>
  <si>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</si>
  <si>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</si>
  <si>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</si>
  <si>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</si>
  <si>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</si>
  <si>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</si>
  <si>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</si>
  <si>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</si>
  <si>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</si>
  <si>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</si>
  <si>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</si>
  <si>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</si>
  <si>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</si>
  <si>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</si>
  <si>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</si>
  <si>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</si>
  <si>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</si>
  <si>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</si>
  <si>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</si>
  <si>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</si>
  <si>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</si>
  <si>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</si>
  <si>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</si>
  <si>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</si>
  <si>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</si>
  <si>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</si>
  <si>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</si>
  <si>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</si>
  <si>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</si>
  <si>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</si>
  <si>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</si>
  <si>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</si>
  <si>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</si>
  <si>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</si>
  <si>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</si>
  <si>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</si>
  <si>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</si>
  <si>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</si>
  <si>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</si>
  <si>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</si>
  <si>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</si>
  <si>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</si>
  <si>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</si>
  <si>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</si>
  <si>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</si>
  <si>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</si>
  <si>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</si>
  <si>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</si>
  <si>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</si>
  <si>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</si>
  <si>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</si>
  <si>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</si>
  <si>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</si>
  <si>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</si>
  <si>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</si>
  <si>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</si>
  <si>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</si>
  <si>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</si>
  <si>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</si>
  <si>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</si>
  <si>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</si>
  <si>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</si>
  <si>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</si>
  <si>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</si>
  <si>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</si>
  <si>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</si>
  <si>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</si>
  <si>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</si>
  <si>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</si>
  <si>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</si>
  <si>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</si>
  <si>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</si>
  <si>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</si>
  <si>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</si>
  <si>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</si>
  <si>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</si>
  <si>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</si>
  <si>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</si>
  <si>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</si>
  <si>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</si>
  <si>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</si>
  <si>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</si>
  <si>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</si>
  <si>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</si>
  <si>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</si>
  <si>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</si>
  <si>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</si>
  <si>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</si>
  <si>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</si>
  <si>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</si>
  <si>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</si>
  <si>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</si>
  <si>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</si>
  <si>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</si>
  <si>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</si>
  <si>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</si>
  <si>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</si>
  <si>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</si>
  <si>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</si>
  <si>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</si>
  <si>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是</t>
  </si>
  <si>
    <t>是</t>
    <phoneticPr fontId="3" type="noConversion"/>
  </si>
  <si>
    <t>地上</t>
  </si>
  <si>
    <t>商业</t>
    <phoneticPr fontId="7" type="noConversion"/>
  </si>
  <si>
    <t>成新度</t>
  </si>
  <si>
    <t>收益法 (元)</t>
  </si>
  <si>
    <t>押一</t>
  </si>
  <si>
    <t>按租金收入计税</t>
  </si>
  <si>
    <t>钢混</t>
  </si>
  <si>
    <t>非生产用房</t>
  </si>
  <si>
    <t>否</t>
  </si>
  <si>
    <t>收益还原</t>
  </si>
  <si>
    <t>售价</t>
  </si>
  <si>
    <t>正常</t>
    <phoneticPr fontId="31" type="noConversion"/>
  </si>
  <si>
    <t>商业</t>
    <phoneticPr fontId="31" type="noConversion"/>
  </si>
  <si>
    <t>30-40（含）</t>
  </si>
  <si>
    <t>多面临街</t>
    <phoneticPr fontId="25" type="noConversion"/>
  </si>
  <si>
    <t>双面临街</t>
    <phoneticPr fontId="25" type="noConversion"/>
  </si>
  <si>
    <t>单面临街</t>
    <phoneticPr fontId="25" type="noConversion"/>
  </si>
  <si>
    <r>
      <t>1-2</t>
    </r>
    <r>
      <rPr>
        <sz val="10"/>
        <color indexed="8"/>
        <rFont val="宋体"/>
        <family val="3"/>
        <charset val="134"/>
      </rPr>
      <t>层</t>
    </r>
    <phoneticPr fontId="25" type="noConversion"/>
  </si>
  <si>
    <t>单面临街</t>
    <phoneticPr fontId="25" type="noConversion"/>
  </si>
  <si>
    <t>中海九号</t>
    <phoneticPr fontId="3" type="noConversion"/>
  </si>
  <si>
    <t>新发地</t>
    <phoneticPr fontId="3" type="noConversion"/>
  </si>
  <si>
    <t>花乡奥莱村</t>
    <phoneticPr fontId="3" type="noConversion"/>
  </si>
  <si>
    <t>一般</t>
    <phoneticPr fontId="31" type="noConversion"/>
  </si>
  <si>
    <t>较好</t>
    <phoneticPr fontId="31" type="noConversion"/>
  </si>
  <si>
    <t>七通</t>
    <phoneticPr fontId="31" type="noConversion"/>
  </si>
  <si>
    <t>单面临街</t>
    <phoneticPr fontId="31" type="noConversion"/>
  </si>
  <si>
    <r>
      <t>1-2</t>
    </r>
    <r>
      <rPr>
        <sz val="11"/>
        <rFont val="宋体"/>
        <family val="3"/>
        <charset val="134"/>
      </rPr>
      <t>层</t>
    </r>
    <phoneticPr fontId="31" type="noConversion"/>
  </si>
  <si>
    <t>写字楼底商</t>
    <phoneticPr fontId="31" type="noConversion"/>
  </si>
  <si>
    <t>钢混</t>
    <phoneticPr fontId="31" type="noConversion"/>
  </si>
  <si>
    <t>普装</t>
    <phoneticPr fontId="31" type="noConversion"/>
  </si>
  <si>
    <t>可做餐饮</t>
    <phoneticPr fontId="31" type="noConversion"/>
  </si>
  <si>
    <t>普装</t>
    <phoneticPr fontId="31" type="noConversion"/>
  </si>
  <si>
    <t>住宅底商</t>
    <phoneticPr fontId="31" type="noConversion"/>
  </si>
  <si>
    <t>住宅底商</t>
    <phoneticPr fontId="31" type="noConversion"/>
  </si>
  <si>
    <t>七通</t>
    <phoneticPr fontId="31" type="noConversion"/>
  </si>
  <si>
    <t>可做餐饮</t>
    <phoneticPr fontId="31" type="noConversion"/>
  </si>
  <si>
    <t>较好</t>
    <phoneticPr fontId="31" type="noConversion"/>
  </si>
  <si>
    <t>单面临街</t>
    <phoneticPr fontId="31" type="noConversion"/>
  </si>
  <si>
    <r>
      <t>1</t>
    </r>
    <r>
      <rPr>
        <sz val="11"/>
        <rFont val="宋体"/>
        <family val="3"/>
        <charset val="134"/>
      </rPr>
      <t>层</t>
    </r>
    <phoneticPr fontId="31" type="noConversion"/>
  </si>
  <si>
    <r>
      <t>1-2</t>
    </r>
    <r>
      <rPr>
        <sz val="11"/>
        <rFont val="宋体"/>
        <family val="3"/>
        <charset val="134"/>
      </rPr>
      <t>层</t>
    </r>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</si>
  <si>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</si>
  <si>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</si>
  <si>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写字楼底商</t>
    <phoneticPr fontId="31" type="noConversion"/>
  </si>
  <si>
    <t>典型户型修正</t>
  </si>
  <si>
    <t>典型户型修正</t>
    <phoneticPr fontId="16" type="noConversion"/>
  </si>
  <si>
    <t>现房</t>
  </si>
  <si>
    <t>王鹏</t>
  </si>
  <si>
    <t>郑燚</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</si>
  <si>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</si>
  <si>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</si>
  <si>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</si>
  <si>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</si>
  <si>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</si>
  <si>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</si>
  <si>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</si>
  <si>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</si>
  <si>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</si>
  <si>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</si>
  <si>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</si>
  <si>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</si>
  <si>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7" type="noConversion"/>
  </si>
  <si>
    <t>2019年租金(应收)</t>
    <phoneticPr fontId="3"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</si>
  <si>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</si>
  <si>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</si>
  <si>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</si>
  <si>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</si>
  <si>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</si>
  <si>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</si>
  <si>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</si>
  <si>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</si>
  <si>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</si>
  <si>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</si>
  <si>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</si>
  <si>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</si>
  <si>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</si>
  <si>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</si>
  <si>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</si>
  <si>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</si>
  <si>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</si>
  <si>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</si>
  <si>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租赁</t>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</si>
  <si>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</si>
  <si>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</si>
  <si>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</si>
  <si>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</si>
  <si>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r>
      <t>90</t>
    </r>
    <r>
      <rPr>
        <sz val="10"/>
        <rFont val="宋体"/>
        <family val="3"/>
        <charset val="134"/>
      </rPr>
      <t>天</t>
    </r>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</si>
  <si>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</si>
  <si>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</si>
  <si>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</si>
  <si>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7" type="noConversion"/>
  </si>
  <si>
    <t>5年3个月</t>
    <phoneticPr fontId="3" type="noConversion"/>
  </si>
  <si>
    <t>2018.7.1</t>
    <phoneticPr fontId="257" type="noConversion"/>
  </si>
  <si>
    <t>2023.9.30</t>
    <phoneticPr fontId="257" type="noConversion"/>
  </si>
  <si>
    <t>2018.7.1-2018.9.30</t>
    <phoneticPr fontId="257" type="noConversion"/>
  </si>
  <si>
    <t>石增喜</t>
    <phoneticPr fontId="3" type="noConversion"/>
  </si>
  <si>
    <r>
      <t>5</t>
    </r>
    <r>
      <rPr>
        <sz val="10"/>
        <rFont val="宋体"/>
        <family val="3"/>
        <charset val="134"/>
      </rPr>
      <t>年</t>
    </r>
    <phoneticPr fontId="3" type="noConversion"/>
  </si>
  <si>
    <t>2017.06.15</t>
    <phoneticPr fontId="3" type="noConversion"/>
  </si>
  <si>
    <t>2022.06.14</t>
    <phoneticPr fontId="3" type="noConversion"/>
  </si>
  <si>
    <t>2017.06.15-2017.09.14</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</si>
  <si>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</si>
  <si>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</si>
  <si>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</si>
  <si>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7" type="noConversion"/>
  </si>
  <si>
    <t>2024.5.20</t>
    <phoneticPr fontId="257" type="noConversion"/>
  </si>
  <si>
    <t>2019.2.20-2019.5.20</t>
    <phoneticPr fontId="257" type="noConversion"/>
  </si>
  <si>
    <t>第三年起递增5%，第五年递增5%</t>
    <phoneticPr fontId="257"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</si>
  <si>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</si>
  <si>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</si>
  <si>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</si>
  <si>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</si>
  <si>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</si>
  <si>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7" type="noConversion"/>
  </si>
  <si>
    <t>2019.1.1</t>
    <phoneticPr fontId="257" type="noConversion"/>
  </si>
  <si>
    <t>2023.3.31</t>
    <phoneticPr fontId="257" type="noConversion"/>
  </si>
  <si>
    <r>
      <t>90</t>
    </r>
    <r>
      <rPr>
        <sz val="10"/>
        <rFont val="宋体"/>
        <family val="3"/>
        <charset val="134"/>
      </rPr>
      <t>天</t>
    </r>
    <phoneticPr fontId="257" type="noConversion"/>
  </si>
  <si>
    <t>2019.1.1-2019.3.31</t>
    <phoneticPr fontId="257" type="noConversion"/>
  </si>
  <si>
    <t>半年付</t>
    <phoneticPr fontId="3"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</si>
  <si>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7"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</si>
  <si>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</si>
  <si>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</si>
  <si>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</si>
  <si>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租赁情况表</t>
    <phoneticPr fontId="143" type="noConversion"/>
  </si>
  <si>
    <t>现状</t>
    <phoneticPr fontId="143" type="noConversion"/>
  </si>
  <si>
    <t>承租人</t>
    <phoneticPr fontId="3" type="noConversion"/>
  </si>
  <si>
    <t>租赁期限</t>
    <phoneticPr fontId="3" type="noConversion"/>
  </si>
  <si>
    <t>租金递增比例</t>
    <phoneticPr fontId="3" type="noConversion"/>
  </si>
  <si>
    <t>2019年租金(应收)</t>
    <phoneticPr fontId="3" type="noConversion"/>
  </si>
  <si>
    <t>租赁期</t>
    <phoneticPr fontId="3" type="noConversion"/>
  </si>
  <si>
    <t>起租日</t>
    <phoneticPr fontId="3" type="noConversion"/>
  </si>
  <si>
    <t>届满日</t>
    <phoneticPr fontId="3" type="noConversion"/>
  </si>
  <si>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</si>
  <si>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</si>
  <si>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</si>
  <si>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</si>
  <si>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</si>
  <si>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t>第2年起，5%环比递增</t>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</si>
  <si>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</si>
  <si>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</si>
  <si>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</si>
  <si>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t>2017.10.20</t>
    <phoneticPr fontId="3" type="noConversion"/>
  </si>
  <si>
    <t>2024.01.19</t>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</si>
  <si>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</si>
  <si>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t>张嘉颖</t>
    <phoneticPr fontId="257" type="noConversion"/>
  </si>
  <si>
    <t>5年3个月</t>
    <phoneticPr fontId="3" type="noConversion"/>
  </si>
  <si>
    <t>2018.7.1</t>
    <phoneticPr fontId="257" type="noConversion"/>
  </si>
  <si>
    <t>2023.9.30</t>
    <phoneticPr fontId="257"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</si>
  <si>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</si>
  <si>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</si>
  <si>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</si>
  <si>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</si>
  <si>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年3个月</t>
    </r>
    <phoneticPr fontId="3" type="noConversion"/>
  </si>
  <si>
    <t>2019.2.20</t>
    <phoneticPr fontId="257" type="noConversion"/>
  </si>
  <si>
    <t>2024.5.20</t>
    <phoneticPr fontId="257" type="noConversion"/>
  </si>
  <si>
    <t>第三年起递增5%，第五年递增5%</t>
    <phoneticPr fontId="257" type="noConversion"/>
  </si>
  <si>
    <t>孙朋朋</t>
    <phoneticPr fontId="3" type="noConversion"/>
  </si>
  <si>
    <t>2017.12.1</t>
    <phoneticPr fontId="3" type="noConversion"/>
  </si>
  <si>
    <t>2023.2.28</t>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</si>
  <si>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</si>
  <si>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李宝娟</t>
    <phoneticPr fontId="257" type="noConversion"/>
  </si>
  <si>
    <t>2019.1.1</t>
    <phoneticPr fontId="257" type="noConversion"/>
  </si>
  <si>
    <t>2023.3.31</t>
    <phoneticPr fontId="257" type="noConversion"/>
  </si>
  <si>
    <t>从第三年起按5 %环比递增</t>
    <phoneticPr fontId="257" type="noConversion"/>
  </si>
  <si>
    <t xml:space="preserve">商业1号楼     </t>
    <phoneticPr fontId="3" type="noConversion"/>
  </si>
  <si>
    <t>2019年租金单价（元/㎡·天）</t>
    <phoneticPr fontId="3" type="noConversion"/>
  </si>
  <si>
    <t>租赁期</t>
    <phoneticPr fontId="3" type="noConversion"/>
  </si>
  <si>
    <t>起租日</t>
    <phoneticPr fontId="3" type="noConversion"/>
  </si>
  <si>
    <t>届满日</t>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</si>
  <si>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</si>
  <si>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</si>
  <si>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</si>
  <si>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t>2017.10.20</t>
    <phoneticPr fontId="3" type="noConversion"/>
  </si>
  <si>
    <t>2024.01.19</t>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</si>
  <si>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</si>
  <si>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t>张嘉颖</t>
    <phoneticPr fontId="257" type="noConversion"/>
  </si>
  <si>
    <t>5年3个月</t>
    <phoneticPr fontId="3" type="noConversion"/>
  </si>
  <si>
    <t>2018.7.1</t>
    <phoneticPr fontId="257" type="noConversion"/>
  </si>
  <si>
    <t>2023.9.30</t>
    <phoneticPr fontId="257"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</si>
  <si>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</si>
  <si>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</si>
  <si>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</si>
  <si>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</si>
  <si>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年3个月</t>
    </r>
    <phoneticPr fontId="3" type="noConversion"/>
  </si>
  <si>
    <t>2019.2.20</t>
    <phoneticPr fontId="257" type="noConversion"/>
  </si>
  <si>
    <t>2024.5.20</t>
    <phoneticPr fontId="257" type="noConversion"/>
  </si>
  <si>
    <t>第三年起递增5%，第五年递增5%</t>
    <phoneticPr fontId="257" type="noConversion"/>
  </si>
  <si>
    <t>孙朋朋</t>
    <phoneticPr fontId="3" type="noConversion"/>
  </si>
  <si>
    <t>2017.12.1</t>
    <phoneticPr fontId="3" type="noConversion"/>
  </si>
  <si>
    <t>2023.2.28</t>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</si>
  <si>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</si>
  <si>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李宝娟</t>
    <phoneticPr fontId="257" type="noConversion"/>
  </si>
  <si>
    <t>2019.1.1</t>
    <phoneticPr fontId="257" type="noConversion"/>
  </si>
  <si>
    <t>2023.3.31</t>
    <phoneticPr fontId="257" type="noConversion"/>
  </si>
  <si>
    <t>从第三年起按5 %环比递增</t>
    <phoneticPr fontId="257" type="noConversion"/>
  </si>
  <si>
    <t xml:space="preserve">商业1号楼     </t>
    <phoneticPr fontId="3"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</si>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</sst>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0_ ;_ * \-#,##0.0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5" borderId="2" xfId="0"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3" borderId="6" xfId="0" applyFont="1" applyFill="1" applyBorder="1" applyAlignment="1">
      <alignment horizontal="center" vertical="center"/>
    </xf>
    <xf numFmtId="0" fontId="256" fillId="3" borderId="9" xfId="0" applyFont="1" applyFill="1" applyBorder="1" applyAlignment="1">
      <alignment horizontal="center" vertical="center"/>
    </xf>
    <xf numFmtId="0" fontId="83" fillId="3" borderId="9" xfId="0" applyFont="1" applyFill="1" applyBorder="1" applyAlignment="1">
      <alignment horizontal="center" vertical="center"/>
    </xf>
    <xf numFmtId="0" fontId="84" fillId="0" borderId="9" xfId="0" applyFont="1" applyBorder="1" applyAlignment="1">
      <alignment horizontal="center" vertical="center"/>
    </xf>
    <xf numFmtId="43" fontId="84" fillId="0" borderId="9" xfId="0" applyNumberFormat="1" applyFont="1" applyBorder="1" applyAlignment="1">
      <alignment horizontal="center" vertical="center"/>
    </xf>
    <xf numFmtId="43" fontId="84" fillId="0" borderId="17" xfId="0" applyNumberFormat="1" applyFont="1" applyBorder="1" applyAlignment="1">
      <alignment horizontal="center" vertical="center"/>
    </xf>
    <xf numFmtId="0" fontId="258" fillId="0" borderId="0" xfId="0" applyFont="1" applyAlignment="1">
      <alignment horizontal="center" vertical="center"/>
    </xf>
    <xf numFmtId="43" fontId="258" fillId="0" borderId="0" xfId="0" applyNumberFormat="1" applyFont="1" applyAlignment="1">
      <alignment horizontal="center" vertical="center"/>
    </xf>
    <xf numFmtId="0" fontId="255" fillId="0" borderId="0" xfId="0" applyFont="1">
      <alignment vertical="center"/>
    </xf>
    <xf numFmtId="0" fontId="256" fillId="3" borderId="23" xfId="0" applyFont="1" applyFill="1" applyBorder="1" applyAlignment="1">
      <alignment horizontal="center" vertical="center"/>
    </xf>
    <xf numFmtId="0" fontId="256" fillId="3" borderId="1"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1" xfId="0" applyFont="1" applyBorder="1" applyAlignment="1">
      <alignment horizontal="center" vertical="center"/>
    </xf>
    <xf numFmtId="43" fontId="84" fillId="0" borderId="1" xfId="0" applyNumberFormat="1" applyFont="1" applyBorder="1" applyAlignment="1">
      <alignment horizontal="center" vertical="center"/>
    </xf>
    <xf numFmtId="43" fontId="84" fillId="0" borderId="15" xfId="0" applyNumberFormat="1" applyFont="1" applyBorder="1" applyAlignment="1">
      <alignment horizontal="center" vertical="center"/>
    </xf>
    <xf numFmtId="0" fontId="84" fillId="0" borderId="1" xfId="0" applyFont="1" applyBorder="1" applyAlignment="1">
      <alignment horizontal="center" vertical="center"/>
    </xf>
    <xf numFmtId="43" fontId="84" fillId="0" borderId="2" xfId="0" applyNumberFormat="1" applyFont="1" applyBorder="1" applyAlignment="1">
      <alignment horizontal="center" vertical="center"/>
    </xf>
    <xf numFmtId="0" fontId="259" fillId="3" borderId="23" xfId="0" applyFont="1" applyFill="1" applyBorder="1" applyAlignment="1">
      <alignment horizontal="center" vertical="center"/>
    </xf>
    <xf numFmtId="0" fontId="259" fillId="3" borderId="1" xfId="0" applyFont="1" applyFill="1" applyBorder="1" applyAlignment="1">
      <alignment horizontal="center" vertical="center"/>
    </xf>
    <xf numFmtId="0" fontId="259" fillId="3" borderId="1" xfId="0" applyNumberFormat="1" applyFont="1" applyFill="1" applyBorder="1" applyAlignment="1">
      <alignment horizontal="center" vertical="center"/>
    </xf>
    <xf numFmtId="4" fontId="259"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60"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1" fillId="0" borderId="0" xfId="0" applyNumberFormat="1" applyFont="1" applyAlignment="1">
      <alignment horizontal="center" vertical="center"/>
    </xf>
    <xf numFmtId="0" fontId="259" fillId="0" borderId="23" xfId="0" applyFont="1" applyFill="1" applyBorder="1" applyAlignment="1">
      <alignment horizontal="center" vertical="center"/>
    </xf>
    <xf numFmtId="0" fontId="259" fillId="0" borderId="1" xfId="0" applyFont="1" applyFill="1" applyBorder="1" applyAlignment="1">
      <alignment horizontal="center" vertical="center"/>
    </xf>
    <xf numFmtId="0" fontId="259" fillId="0" borderId="1" xfId="0" applyNumberFormat="1" applyFont="1" applyFill="1" applyBorder="1" applyAlignment="1">
      <alignment horizontal="center" vertical="center"/>
    </xf>
    <xf numFmtId="4" fontId="259" fillId="0" borderId="1" xfId="0" applyNumberFormat="1" applyFont="1" applyFill="1" applyBorder="1" applyAlignment="1">
      <alignment horizontal="center" vertical="center"/>
    </xf>
    <xf numFmtId="0" fontId="260"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1"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1" fillId="0" borderId="1" xfId="0" applyFont="1" applyFill="1" applyBorder="1" applyAlignment="1">
      <alignment horizontal="center" vertical="center"/>
    </xf>
    <xf numFmtId="43" fontId="261" fillId="0" borderId="1" xfId="0" applyNumberFormat="1" applyFont="1" applyFill="1" applyBorder="1" applyAlignment="1">
      <alignment horizontal="center" vertical="center"/>
    </xf>
    <xf numFmtId="0" fontId="263" fillId="9" borderId="23" xfId="0" applyFont="1" applyFill="1" applyBorder="1" applyAlignment="1">
      <alignment horizontal="center" vertical="center"/>
    </xf>
    <xf numFmtId="0" fontId="263" fillId="9" borderId="1" xfId="0" applyFont="1" applyFill="1" applyBorder="1" applyAlignment="1">
      <alignment horizontal="center" vertical="center"/>
    </xf>
    <xf numFmtId="3" fontId="263" fillId="9" borderId="1" xfId="0" applyNumberFormat="1" applyFont="1" applyFill="1" applyBorder="1" applyAlignment="1">
      <alignment horizontal="center" vertical="center"/>
    </xf>
    <xf numFmtId="4" fontId="263" fillId="9" borderId="1" xfId="0" applyNumberFormat="1" applyFont="1" applyFill="1" applyBorder="1" applyAlignment="1">
      <alignment horizontal="center" vertical="center"/>
    </xf>
    <xf numFmtId="0" fontId="263" fillId="9" borderId="1" xfId="0" applyFont="1" applyFill="1" applyBorder="1" applyAlignment="1">
      <alignment horizontal="center" vertical="center"/>
    </xf>
    <xf numFmtId="0" fontId="263"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8" fillId="0" borderId="0" xfId="0" applyNumberFormat="1" applyFont="1" applyFill="1" applyAlignment="1">
      <alignment horizontal="center" vertical="center"/>
    </xf>
    <xf numFmtId="0" fontId="261" fillId="0" borderId="0" xfId="0" applyFont="1" applyAlignment="1">
      <alignment horizontal="center" vertical="center"/>
    </xf>
    <xf numFmtId="179" fontId="261"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197" fontId="0" fillId="0" borderId="0" xfId="0" applyNumberFormat="1">
      <alignment vertical="center"/>
    </xf>
    <xf numFmtId="0" fontId="100" fillId="0" borderId="1" xfId="0" applyFont="1" applyFill="1" applyBorder="1" applyAlignment="1">
      <alignment horizontal="center" vertical="center"/>
    </xf>
    <xf numFmtId="0" fontId="256" fillId="0" borderId="11" xfId="0" applyFont="1" applyFill="1" applyBorder="1" applyAlignment="1">
      <alignment horizontal="left" vertical="center"/>
    </xf>
    <xf numFmtId="0" fontId="256" fillId="0" borderId="13" xfId="0" applyFont="1" applyFill="1" applyBorder="1" applyAlignment="1">
      <alignment horizontal="left" vertical="center"/>
    </xf>
    <xf numFmtId="0" fontId="83" fillId="0" borderId="13" xfId="0"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84" fillId="0" borderId="13" xfId="0" applyFont="1" applyFill="1" applyBorder="1" applyAlignment="1">
      <alignment horizontal="left" vertical="center"/>
    </xf>
    <xf numFmtId="43" fontId="84" fillId="0" borderId="13" xfId="0" applyNumberFormat="1" applyFont="1" applyFill="1" applyBorder="1" applyAlignment="1">
      <alignment horizontal="left" vertical="center"/>
    </xf>
    <xf numFmtId="0" fontId="256" fillId="0" borderId="41" xfId="0" applyFont="1" applyFill="1" applyBorder="1" applyAlignment="1">
      <alignment horizontal="left" vertical="center"/>
    </xf>
    <xf numFmtId="0" fontId="256" fillId="0" borderId="2" xfId="0" applyFont="1" applyFill="1" applyBorder="1" applyAlignment="1">
      <alignment horizontal="left" vertical="center"/>
    </xf>
    <xf numFmtId="0" fontId="83" fillId="0" borderId="2" xfId="0" applyFont="1" applyFill="1" applyBorder="1" applyAlignment="1">
      <alignment horizontal="left" vertical="center"/>
    </xf>
    <xf numFmtId="0" fontId="84" fillId="0" borderId="1"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2" xfId="0" applyNumberFormat="1" applyFont="1" applyFill="1" applyBorder="1" applyAlignment="1">
      <alignment horizontal="left" vertical="center"/>
    </xf>
    <xf numFmtId="0" fontId="80" fillId="0" borderId="23"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80"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130" fillId="0" borderId="1" xfId="0"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43" fontId="145" fillId="0" borderId="1" xfId="0" applyNumberFormat="1"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0" xfId="0" applyNumberFormat="1" applyFont="1" applyFill="1" applyBorder="1" applyAlignment="1">
      <alignment horizontal="center" vertical="center"/>
    </xf>
    <xf numFmtId="0" fontId="122" fillId="0" borderId="0" xfId="0" applyFont="1">
      <alignment vertical="center"/>
    </xf>
    <xf numFmtId="43" fontId="47" fillId="0" borderId="23" xfId="0" applyNumberFormat="1" applyFont="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74820</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47620" cy="5009524"/>
        </a:xfrm>
        <a:prstGeom prst="rect">
          <a:avLst/>
        </a:prstGeom>
      </xdr:spPr>
    </xdr:pic>
    <xdr:clientData/>
  </xdr:twoCellAnchor>
  <xdr:twoCellAnchor editAs="oneCell">
    <xdr:from>
      <xdr:col>0</xdr:col>
      <xdr:colOff>0</xdr:colOff>
      <xdr:row>29</xdr:row>
      <xdr:rowOff>0</xdr:rowOff>
    </xdr:from>
    <xdr:to>
      <xdr:col>16</xdr:col>
      <xdr:colOff>8153</xdr:colOff>
      <xdr:row>58</xdr:row>
      <xdr:rowOff>75569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980953" cy="5047619"/>
        </a:xfrm>
        <a:prstGeom prst="rect">
          <a:avLst/>
        </a:prstGeom>
      </xdr:spPr>
    </xdr:pic>
    <xdr:clientData/>
  </xdr:twoCellAnchor>
  <xdr:twoCellAnchor editAs="oneCell">
    <xdr:from>
      <xdr:col>0</xdr:col>
      <xdr:colOff>0</xdr:colOff>
      <xdr:row>59</xdr:row>
      <xdr:rowOff>0</xdr:rowOff>
    </xdr:from>
    <xdr:to>
      <xdr:col>14</xdr:col>
      <xdr:colOff>236896</xdr:colOff>
      <xdr:row>87</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838096" cy="4857143"/>
        </a:xfrm>
        <a:prstGeom prst="rect">
          <a:avLst/>
        </a:prstGeom>
      </xdr:spPr>
    </xdr:pic>
    <xdr:clientData/>
  </xdr:twoCellAnchor>
  <xdr:twoCellAnchor editAs="oneCell">
    <xdr:from>
      <xdr:col>6</xdr:col>
      <xdr:colOff>552450</xdr:colOff>
      <xdr:row>14</xdr:row>
      <xdr:rowOff>133350</xdr:rowOff>
    </xdr:from>
    <xdr:to>
      <xdr:col>17</xdr:col>
      <xdr:colOff>522936</xdr:colOff>
      <xdr:row>28</xdr:row>
      <xdr:rowOff>37812</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0" y="2533650"/>
          <a:ext cx="7514286" cy="2304762"/>
        </a:xfrm>
        <a:prstGeom prst="rect">
          <a:avLst/>
        </a:prstGeom>
      </xdr:spPr>
    </xdr:pic>
    <xdr:clientData/>
  </xdr:twoCellAnchor>
  <xdr:twoCellAnchor editAs="oneCell">
    <xdr:from>
      <xdr:col>6</xdr:col>
      <xdr:colOff>514350</xdr:colOff>
      <xdr:row>43</xdr:row>
      <xdr:rowOff>85725</xdr:rowOff>
    </xdr:from>
    <xdr:to>
      <xdr:col>18</xdr:col>
      <xdr:colOff>27608</xdr:colOff>
      <xdr:row>58</xdr:row>
      <xdr:rowOff>47309</xdr:rowOff>
    </xdr:to>
    <xdr:pic>
      <xdr:nvPicPr>
        <xdr:cNvPr id="6" name="图片 5"/>
        <xdr:cNvPicPr>
          <a:picLocks noChangeAspect="1"/>
        </xdr:cNvPicPr>
      </xdr:nvPicPr>
      <xdr:blipFill>
        <a:blip xmlns:r="http://schemas.openxmlformats.org/officeDocument/2006/relationships" r:embed="rId5"/>
        <a:stretch>
          <a:fillRect/>
        </a:stretch>
      </xdr:blipFill>
      <xdr:spPr>
        <a:xfrm>
          <a:off x="4629150" y="7458075"/>
          <a:ext cx="7742858" cy="2533334"/>
        </a:xfrm>
        <a:prstGeom prst="rect">
          <a:avLst/>
        </a:prstGeom>
      </xdr:spPr>
    </xdr:pic>
    <xdr:clientData/>
  </xdr:twoCellAnchor>
  <xdr:twoCellAnchor editAs="oneCell">
    <xdr:from>
      <xdr:col>6</xdr:col>
      <xdr:colOff>495300</xdr:colOff>
      <xdr:row>73</xdr:row>
      <xdr:rowOff>76200</xdr:rowOff>
    </xdr:from>
    <xdr:to>
      <xdr:col>17</xdr:col>
      <xdr:colOff>580072</xdr:colOff>
      <xdr:row>88</xdr:row>
      <xdr:rowOff>75879</xdr:rowOff>
    </xdr:to>
    <xdr:pic>
      <xdr:nvPicPr>
        <xdr:cNvPr id="7" name="图片 6"/>
        <xdr:cNvPicPr>
          <a:picLocks noChangeAspect="1"/>
        </xdr:cNvPicPr>
      </xdr:nvPicPr>
      <xdr:blipFill>
        <a:blip xmlns:r="http://schemas.openxmlformats.org/officeDocument/2006/relationships" r:embed="rId6"/>
        <a:stretch>
          <a:fillRect/>
        </a:stretch>
      </xdr:blipFill>
      <xdr:spPr>
        <a:xfrm>
          <a:off x="4610100" y="12592050"/>
          <a:ext cx="7628572" cy="2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估价对象为北京市房地产，为所有。根据《国有土地使用证》[]，估价对象（分摊）出让国有建设用地使用权面积为1281.4平方米，建筑面积为1398.73平方米。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估价对象为北京市房地产,属开发建设的，该项目尚在开发建设中。根据《国有土地使用证》[]，估价对象（分摊）出让国有建设用地使用权面积为1281.4平方米，规划建筑面积为1398.73平方米。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2020年5月27日</v>
      </c>
    </row>
    <row r="13" spans="1:2" s="1593" customFormat="1">
      <c r="A13" s="1591" t="s">
        <v>1222</v>
      </c>
      <c r="B13" s="1592" t="str">
        <f>'预评函-1'!A18</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本次评估采用的主估价方法为基准地价系数修正法和收益法。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4327</v>
      </c>
    </row>
    <row r="21" spans="1:2" s="1593" customFormat="1">
      <c r="A21" s="1591" t="s">
        <v>1230</v>
      </c>
      <c r="B21" s="1592">
        <f ca="1">'预评函-2'!D7</f>
        <v>30935</v>
      </c>
    </row>
    <row r="22" spans="1:2" s="1593" customFormat="1">
      <c r="A22" s="1591" t="s">
        <v>1231</v>
      </c>
      <c r="B22" s="1592" t="str">
        <f ca="1">'预评函-2'!D6</f>
        <v>肆仟叁佰贰拾柒万元整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4327</v>
      </c>
    </row>
    <row r="31" spans="1:2" s="1593" customFormat="1">
      <c r="A31" s="1591" t="s">
        <v>1269</v>
      </c>
      <c r="B31" s="1592">
        <f ca="1">'预评函-2'!D15</f>
        <v>30935</v>
      </c>
    </row>
    <row r="32" spans="1:2" s="1593" customFormat="1">
      <c r="A32" s="1591" t="s">
        <v>1236</v>
      </c>
      <c r="B32" s="1592" t="str">
        <f ca="1">'预评函-2'!D14</f>
        <v>肆仟叁佰贰拾柒万元整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1398.7300000000002</v>
      </c>
    </row>
    <row r="44" spans="1:2" s="1593" customFormat="1">
      <c r="A44" s="1591" t="s">
        <v>1268</v>
      </c>
      <c r="B44" s="1592" t="str">
        <f>'预评函-3'!C2</f>
        <v>(分摊)土地面积</v>
      </c>
    </row>
    <row r="45" spans="1:2" s="1593" customFormat="1">
      <c r="A45" s="1591" t="s">
        <v>1240</v>
      </c>
      <c r="B45" s="1592">
        <f>'预评函-3'!C4</f>
        <v>1281.4000000000001</v>
      </c>
    </row>
    <row r="46" spans="1:2" s="1593" customFormat="1">
      <c r="A46" s="1591" t="s">
        <v>1266</v>
      </c>
      <c r="B46" s="1592" t="str">
        <f>'预评函-3'!D2</f>
        <v>出让国有建设用地使用权价值</v>
      </c>
    </row>
    <row r="47" spans="1:2" s="1593" customFormat="1">
      <c r="A47" s="1591" t="s">
        <v>1241</v>
      </c>
      <c r="B47" s="1592">
        <f ca="1">'预评函-3'!D4</f>
        <v>303</v>
      </c>
    </row>
    <row r="48" spans="1:2" s="1593" customFormat="1">
      <c r="A48" s="1591" t="s">
        <v>1242</v>
      </c>
      <c r="B48" s="1592">
        <f ca="1">'预评函-3'!E4</f>
        <v>2166</v>
      </c>
    </row>
    <row r="49" spans="1:2" s="1593" customFormat="1">
      <c r="A49" s="1591" t="s">
        <v>1243</v>
      </c>
      <c r="B49" s="1592" t="str">
        <f ca="1">'预评函-3'!D5</f>
        <v>叁佰零叁万元整</v>
      </c>
    </row>
    <row r="50" spans="1:2" s="1593" customFormat="1">
      <c r="A50" s="1591" t="s">
        <v>1267</v>
      </c>
      <c r="B50" s="1592" t="str">
        <f>'预评函-3'!F2</f>
        <v>在建建筑物价值</v>
      </c>
    </row>
    <row r="51" spans="1:2" s="1593" customFormat="1">
      <c r="A51" s="1591" t="s">
        <v>1244</v>
      </c>
      <c r="B51" s="1592">
        <f ca="1">'预评函-3'!F4</f>
        <v>4024</v>
      </c>
    </row>
    <row r="52" spans="1:2" s="1593" customFormat="1">
      <c r="A52" s="1591" t="s">
        <v>1245</v>
      </c>
      <c r="B52" s="1592">
        <f ca="1">'预评函-3'!G4</f>
        <v>28769</v>
      </c>
    </row>
    <row r="53" spans="1:2" s="1593" customFormat="1">
      <c r="A53" s="1591" t="s">
        <v>1273</v>
      </c>
      <c r="B53" s="1592" t="str">
        <f ca="1">'预评函-3'!F5</f>
        <v>肆仟零贰拾肆万元整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1" sqref="I31"/>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3110</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2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3" t="s">
        <v>860</v>
      </c>
      <c r="C54" s="2010" t="s">
        <v>1276</v>
      </c>
    </row>
    <row r="55" spans="1:4">
      <c r="A55" s="3024"/>
      <c r="B55" s="2013" t="s">
        <v>861</v>
      </c>
      <c r="C55" s="2010" t="s">
        <v>1277</v>
      </c>
    </row>
    <row r="56" spans="1:4">
      <c r="A56" s="3024"/>
      <c r="B56" s="2013" t="s">
        <v>862</v>
      </c>
      <c r="C56" s="2010" t="s">
        <v>1281</v>
      </c>
    </row>
    <row r="57" spans="1:4">
      <c r="A57" s="302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33" t="str">
        <f>IF(B10="北京市","北京市",C10)&amp;F10&amp;IF(结果表!G1="在建","出让国有建设用地使用权及在建建筑物",IF(结果表!G1="土地","出让国有建设用地使用权",))&amp;B9&amp;"预评估"</f>
        <v>北京市房地产抵押价值预评估</v>
      </c>
      <c r="C1" s="3034"/>
      <c r="D1" s="3034"/>
      <c r="E1" s="3034"/>
      <c r="F1" s="3034"/>
      <c r="G1" s="3034"/>
      <c r="H1" s="3034"/>
      <c r="I1" s="303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43978</v>
      </c>
      <c r="E3" s="2017"/>
      <c r="F3" s="2017"/>
      <c r="G3" s="2017"/>
      <c r="H3" s="2017"/>
      <c r="I3" s="2017"/>
      <c r="J3" s="2017"/>
      <c r="K3" s="2018"/>
      <c r="L3" s="2019"/>
      <c r="M3" s="2019"/>
      <c r="N3" s="2020"/>
      <c r="O3" s="2021"/>
      <c r="P3" s="2020"/>
      <c r="Q3" s="2020"/>
      <c r="R3" s="2020"/>
      <c r="S3" s="2022"/>
    </row>
    <row r="4" spans="1:19" ht="18" customHeight="1" thickBot="1">
      <c r="A4" s="2029" t="s">
        <v>1774</v>
      </c>
      <c r="B4" s="2030" t="s">
        <v>3112</v>
      </c>
      <c r="C4" s="1037">
        <f ca="1">SUMIF(注册房地产估价师,B4,估价师及机构信息!B3:B24)</f>
        <v>1120050019</v>
      </c>
      <c r="D4" s="2030" t="s">
        <v>3113</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3059</v>
      </c>
      <c r="C8" s="2047"/>
      <c r="D8" s="3036"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37"/>
      <c r="E9" s="2050"/>
      <c r="F9" s="2052"/>
      <c r="G9" s="2053"/>
      <c r="H9" s="2053"/>
      <c r="I9" s="2053"/>
      <c r="J9" s="2033"/>
      <c r="K9" s="2045"/>
      <c r="L9" s="2019"/>
      <c r="M9" s="2019"/>
      <c r="N9" s="2020"/>
      <c r="O9" s="2021"/>
      <c r="P9" s="2020"/>
      <c r="Q9" s="2020"/>
      <c r="R9" s="2020"/>
    </row>
    <row r="10" spans="1:19" ht="18" customHeight="1" thickTop="1">
      <c r="A10" s="2054" t="s">
        <v>1781</v>
      </c>
      <c r="B10" s="2055" t="s">
        <v>3061</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3062</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3063</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v>55220</v>
      </c>
      <c r="F13" s="2071"/>
      <c r="G13" s="2071"/>
      <c r="H13" s="2071"/>
      <c r="I13" s="1047"/>
      <c r="J13" s="2033"/>
      <c r="K13" s="2045"/>
      <c r="L13" s="2019"/>
      <c r="M13" s="2019"/>
      <c r="N13" s="2020"/>
      <c r="O13" s="2021"/>
      <c r="P13" s="2020"/>
      <c r="Q13" s="2020"/>
      <c r="R13" s="2020"/>
    </row>
    <row r="14" spans="1:19" ht="18" customHeight="1">
      <c r="A14" s="2068"/>
      <c r="B14" s="2069"/>
      <c r="C14" s="2070" t="s">
        <v>1793</v>
      </c>
      <c r="D14" s="1050"/>
      <c r="E14" s="1050">
        <v>40</v>
      </c>
      <c r="F14" s="1050"/>
      <c r="G14" s="1050"/>
      <c r="H14" s="1050"/>
      <c r="I14" s="1050"/>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f>IF(B12="出让",IF(E13="","",ROUNDDOWN(MIN((E13-$D$3)/365,E14),2)),E14)</f>
        <v>30.8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43"/>
      <c r="C16" s="3044"/>
      <c r="D16" s="3045"/>
      <c r="E16" s="2077" t="s">
        <v>1796</v>
      </c>
      <c r="F16" s="3046"/>
      <c r="G16" s="3047"/>
      <c r="H16" s="3047"/>
      <c r="I16" s="3048"/>
      <c r="J16" s="2020"/>
      <c r="K16" s="2074"/>
      <c r="L16" s="2075"/>
      <c r="M16" s="2075"/>
      <c r="N16" s="2076"/>
      <c r="O16" s="2075"/>
      <c r="P16" s="2076"/>
      <c r="Q16" s="2020"/>
      <c r="R16" s="2020"/>
    </row>
    <row r="17" spans="1:22" ht="18" customHeight="1">
      <c r="A17" s="2078" t="s">
        <v>1797</v>
      </c>
      <c r="B17" s="2026" t="s">
        <v>1798</v>
      </c>
      <c r="C17" s="1054">
        <f>'数据-汇总表'!E3</f>
        <v>1398.7300000000002</v>
      </c>
      <c r="D17" s="2079" t="s">
        <v>1799</v>
      </c>
      <c r="E17" s="3049" t="s">
        <v>1800</v>
      </c>
      <c r="F17" s="3050"/>
      <c r="G17" s="3050"/>
      <c r="H17" s="3050"/>
      <c r="I17" s="3051"/>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1281.4000000000001</v>
      </c>
      <c r="D18" s="2082" t="s">
        <v>1799</v>
      </c>
      <c r="E18" s="3052" t="s">
        <v>1803</v>
      </c>
      <c r="F18" s="3053"/>
      <c r="G18" s="3053"/>
      <c r="H18" s="3053"/>
      <c r="I18" s="3054"/>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39" t="s">
        <v>1808</v>
      </c>
      <c r="C20" s="3040"/>
      <c r="D20" s="3041" t="s">
        <v>1809</v>
      </c>
      <c r="E20" s="3042"/>
      <c r="F20" s="2089" t="s">
        <v>1810</v>
      </c>
      <c r="G20" s="2033"/>
      <c r="H20" s="2033"/>
      <c r="I20" s="2033"/>
      <c r="J20" s="2033"/>
      <c r="K20" s="303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26"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26"/>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26"/>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27"/>
      <c r="B30" s="2026" t="s">
        <v>1827</v>
      </c>
      <c r="C30" s="3028"/>
      <c r="D30" s="3029"/>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0"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1"/>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1"/>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25" t="s">
        <v>1837</v>
      </c>
      <c r="T34" s="2126" t="str">
        <f>NUMBERSTRING(7-K34,1)&amp;"通"</f>
        <v>七通</v>
      </c>
      <c r="U34" s="2020"/>
      <c r="V34" s="2020"/>
    </row>
    <row r="35" spans="1:22" ht="18" customHeight="1">
      <c r="A35" s="2127"/>
      <c r="B35" s="3032" t="s">
        <v>1838</v>
      </c>
      <c r="C35" s="3032"/>
      <c r="D35" s="3032"/>
      <c r="E35" s="3032"/>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1281.4000000000001</v>
      </c>
      <c r="B3" s="14">
        <f>IF(C3="否",G5-AT5,G5)</f>
        <v>1398.7300000000002</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3066</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1372</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v>101</v>
      </c>
      <c r="D13" s="2205" t="s">
        <v>3064</v>
      </c>
      <c r="E13" s="16">
        <f>IF($C$3="是",ROUND($A$3*G13/$B$3,2),ROUND($A$3*(G13-AT13)/$B$3,2))</f>
        <v>267.82</v>
      </c>
      <c r="F13" s="32"/>
      <c r="G13" s="33">
        <f>H13+AC13+AT13</f>
        <v>292.33999999999997</v>
      </c>
      <c r="H13" s="20">
        <f>SUMIF(I$12:AB$12,"总值",I13:AB13)</f>
        <v>292.33999999999997</v>
      </c>
      <c r="I13" s="2206">
        <v>292.33999999999997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101</v>
      </c>
      <c r="AY13" s="1798">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v>102</v>
      </c>
      <c r="D14" s="2960" t="s">
        <v>3065</v>
      </c>
      <c r="E14" s="16">
        <f>IF($C$3="是",ROUND($A$3*G14/$B$3,2),ROUND($A$3*(G14-AT14)/$B$3,2))</f>
        <v>143.76</v>
      </c>
      <c r="F14" s="32"/>
      <c r="G14" s="33">
        <f>H14+AC14+AT14</f>
        <v>156.91999999999999</v>
      </c>
      <c r="H14" s="20">
        <f>SUMIF(I$12:AB$12,"总值",I14:AB14)</f>
        <v>156.91999999999999</v>
      </c>
      <c r="I14" s="2206">
        <v>156.91999999999999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102</v>
      </c>
      <c r="AY14" s="1798">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v>103</v>
      </c>
      <c r="D15" s="2205" t="s">
        <v>3064</v>
      </c>
      <c r="E15" s="16">
        <f>IF($C$3="是",ROUND($A$3*G15/$B$3,2),ROUND($A$3*(G15-AT15)/$B$3,2))</f>
        <v>132.77000000000001</v>
      </c>
      <c r="F15" s="32"/>
      <c r="G15" s="33">
        <f>H15+AC15+AT15</f>
        <v>144.93</v>
      </c>
      <c r="H15" s="20">
        <f>SUMIF(I$12:AB$12,"总值",I15:AB15)</f>
        <v>144.93</v>
      </c>
      <c r="I15" s="2206">
        <v>144.93</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103</v>
      </c>
      <c r="AY15" s="1798">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v>110</v>
      </c>
      <c r="D16" s="2960" t="s">
        <v>3065</v>
      </c>
      <c r="E16" s="16">
        <f>IF($C$3="是",ROUND($A$3*G16/$B$3,2),ROUND($A$3*(G16-AT16)/$B$3,2))</f>
        <v>109.57</v>
      </c>
      <c r="F16" s="32"/>
      <c r="G16" s="33">
        <f>H16+AC16+AT16</f>
        <v>119.6</v>
      </c>
      <c r="H16" s="20">
        <f>SUMIF(I$12:AB$12,"总值",I16:AB16)</f>
        <v>119.6</v>
      </c>
      <c r="I16" s="2206">
        <v>119.6</v>
      </c>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110</v>
      </c>
      <c r="AY16" s="1798">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1272">
        <v>111</v>
      </c>
      <c r="D17" s="2205" t="s">
        <v>3064</v>
      </c>
      <c r="E17" s="16">
        <f>IF($C$3="是",ROUND($A$3*G17/$B$3,2),ROUND($A$3*(G17-AT17)/$B$3,2))</f>
        <v>120.92</v>
      </c>
      <c r="F17" s="32"/>
      <c r="G17" s="33">
        <f>H17+AC17+AT17</f>
        <v>131.99</v>
      </c>
      <c r="H17" s="20">
        <f>SUMIF(I$12:AB$12,"总值",I17:AB17)</f>
        <v>131.99</v>
      </c>
      <c r="I17" s="2206">
        <v>131.99</v>
      </c>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111</v>
      </c>
      <c r="AY17" s="1798">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45">
        <v>112</v>
      </c>
      <c r="D18" s="2960" t="s">
        <v>3065</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113</v>
      </c>
      <c r="D19" s="2205" t="s">
        <v>3064</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62" t="s">
        <v>3065</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62" t="s">
        <v>3065</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66" t="s">
        <v>1934</v>
      </c>
      <c r="B2" s="3066"/>
      <c r="C2" s="3066"/>
      <c r="D2" s="967" t="s">
        <v>1910</v>
      </c>
      <c r="E2" s="2219" t="s">
        <v>1911</v>
      </c>
      <c r="F2" s="1392"/>
      <c r="G2" s="2220"/>
      <c r="H2" s="2221"/>
      <c r="I2" s="2222" t="s">
        <v>1935</v>
      </c>
      <c r="J2" s="1392"/>
      <c r="K2" s="1392"/>
      <c r="L2" s="1392"/>
      <c r="M2" s="1392"/>
      <c r="N2" s="1427"/>
      <c r="O2" s="1392"/>
      <c r="P2" s="1392"/>
    </row>
    <row r="3" spans="1:16" ht="15.75" thickBot="1">
      <c r="A3" s="3067" t="s">
        <v>1908</v>
      </c>
      <c r="B3" s="3067"/>
      <c r="C3" s="3067"/>
      <c r="D3" s="46">
        <f>'数据-基础表'!AY6</f>
        <v>1281.4000000000001</v>
      </c>
      <c r="E3" s="46">
        <f>'数据-基础表'!AZ5</f>
        <v>1398.7300000000002</v>
      </c>
      <c r="F3" s="1392"/>
      <c r="G3" s="1399"/>
      <c r="H3" s="1247" t="s">
        <v>1909</v>
      </c>
      <c r="I3" s="55">
        <f>ROUND('数据-基础表'!B3/'数据-基础表'!A3,2)</f>
        <v>1.0900000000000001</v>
      </c>
      <c r="J3" s="1392"/>
      <c r="K3" s="1392"/>
      <c r="L3" s="1392"/>
      <c r="M3" s="1392"/>
      <c r="N3" s="1427"/>
      <c r="O3" s="1392"/>
      <c r="P3" s="1392"/>
    </row>
    <row r="4" spans="1:16" ht="15">
      <c r="A4" s="3068"/>
      <c r="B4" s="3069"/>
      <c r="C4" s="3070"/>
      <c r="D4" s="2223" t="s">
        <v>1910</v>
      </c>
      <c r="E4" s="2224" t="s">
        <v>1911</v>
      </c>
      <c r="F4" s="1392"/>
      <c r="G4" s="2225" t="s">
        <v>1936</v>
      </c>
      <c r="H4" s="1247" t="s">
        <v>1916</v>
      </c>
      <c r="I4" s="55">
        <f>ROUND(SUMIF('数据-基础表'!I9:AS9,"地上",'数据-基础表'!I5:AS5)/'数据-基础表'!A3,2)</f>
        <v>1.0900000000000001</v>
      </c>
      <c r="J4" s="1392"/>
      <c r="K4" s="1392"/>
      <c r="L4" s="1392"/>
      <c r="M4" s="1392"/>
      <c r="N4" s="1427"/>
      <c r="O4" s="1392"/>
      <c r="P4" s="1392"/>
    </row>
    <row r="5" spans="1:16">
      <c r="A5" s="47" t="s">
        <v>1912</v>
      </c>
      <c r="B5" s="3071" t="s">
        <v>1913</v>
      </c>
      <c r="C5" s="3071"/>
      <c r="D5" s="48">
        <f>ROUND($D$3*E5/$E$3,2)</f>
        <v>0</v>
      </c>
      <c r="E5" s="49">
        <f>SUMIF('数据-基础表'!$11:$11,"住宅",'数据-基础表'!$5:$5)</f>
        <v>0</v>
      </c>
      <c r="F5" s="1392"/>
      <c r="G5" s="1399"/>
      <c r="H5" s="1247" t="s">
        <v>1909</v>
      </c>
      <c r="I5" s="55">
        <f>ROUND(E31/D31,2)</f>
        <v>1.0900000000000001</v>
      </c>
      <c r="J5" s="1392"/>
      <c r="K5" s="1392"/>
      <c r="L5" s="1392"/>
      <c r="M5" s="1392"/>
      <c r="N5" s="1392"/>
      <c r="O5" s="1392"/>
      <c r="P5" s="1392"/>
    </row>
    <row r="6" spans="1:16" ht="15" thickBot="1">
      <c r="A6" s="2226"/>
      <c r="B6" s="3071" t="s">
        <v>1914</v>
      </c>
      <c r="C6" s="3071"/>
      <c r="D6" s="48">
        <f>ROUND($D$3*E6/$E$3,2)</f>
        <v>1281.4000000000001</v>
      </c>
      <c r="E6" s="49">
        <f>E3-E5</f>
        <v>1398.7300000000002</v>
      </c>
      <c r="F6" s="1392"/>
      <c r="G6" s="2227" t="s">
        <v>1915</v>
      </c>
      <c r="H6" s="1399" t="s">
        <v>1916</v>
      </c>
      <c r="I6" s="939">
        <f>ROUND(F31/D31,2)</f>
        <v>1.0900000000000001</v>
      </c>
      <c r="J6" s="1392"/>
      <c r="K6" s="1392"/>
      <c r="L6" s="1392"/>
      <c r="M6" s="1392"/>
      <c r="N6" s="1392"/>
      <c r="O6" s="1392"/>
      <c r="P6" s="1392"/>
    </row>
    <row r="7" spans="1:16" ht="15">
      <c r="A7" s="3063"/>
      <c r="B7" s="3064"/>
      <c r="C7" s="3065"/>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1281.4000000000001</v>
      </c>
      <c r="E8" s="51">
        <f>SUMIF('数据-基础表'!BB10:BK10,"地上",'数据-基础表'!BB5:BK5)</f>
        <v>1398.7300000000002</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1281.4000000000001</v>
      </c>
      <c r="E16" s="53">
        <f>SUM(E8:E15)</f>
        <v>1398.7300000000002</v>
      </c>
      <c r="F16" s="1392"/>
      <c r="G16" s="2229"/>
      <c r="H16" s="2232" t="s">
        <v>1938</v>
      </c>
      <c r="I16" s="2233"/>
      <c r="J16" s="1392"/>
      <c r="K16" s="3060" t="s">
        <v>1938</v>
      </c>
      <c r="L16" s="3061"/>
      <c r="M16" s="3061"/>
      <c r="N16" s="3061"/>
      <c r="O16" s="3061"/>
      <c r="P16" s="3062"/>
    </row>
    <row r="17" spans="1:19" ht="15">
      <c r="A17" s="2234" t="s">
        <v>1939</v>
      </c>
      <c r="B17" s="2235" t="s">
        <v>1940</v>
      </c>
      <c r="C17" s="2236" t="s">
        <v>1941</v>
      </c>
      <c r="D17" s="2237" t="s">
        <v>1929</v>
      </c>
      <c r="E17" s="2238" t="s">
        <v>1930</v>
      </c>
      <c r="F17" s="2239"/>
      <c r="G17" s="2240"/>
      <c r="H17" s="2241" t="s">
        <v>1942</v>
      </c>
      <c r="I17" s="2242" t="s">
        <v>1927</v>
      </c>
      <c r="J17" s="1392"/>
      <c r="K17" s="3057" t="s">
        <v>1943</v>
      </c>
      <c r="L17" s="3058"/>
      <c r="M17" s="3059"/>
      <c r="N17" s="3057" t="s">
        <v>1944</v>
      </c>
      <c r="O17" s="3058"/>
      <c r="P17" s="3059"/>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1" t="s">
        <v>3067</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1281.4000000000001</v>
      </c>
      <c r="S19" s="1248">
        <f t="shared" si="5"/>
        <v>1398.7300000000002</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1281.4000000000001</v>
      </c>
      <c r="E27" s="1394">
        <f>IF(SUM(E19:E26)='数据-基础表'!BA5,SUM(E19:E26),IF(F27="地上面积有误","面积有误","地下面积有误"))</f>
        <v>1398.7300000000002</v>
      </c>
      <c r="F27" s="1393">
        <f>IF(SUM(F19:F26)=E8,SUM(F19:F26),"地上面积有误")</f>
        <v>1398.7300000000002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1281.4000000000001</v>
      </c>
      <c r="S27" s="1247">
        <f>IF(SUM(S19:S26)=$E$3,SUM(S19:S26),SUM(S19:S26)&amp;"误差"&amp;ROUND(SUM(S19:S26)-E3,2))</f>
        <v>1398.7300000000002</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1281.4000000000001</v>
      </c>
      <c r="E31" s="729">
        <f>E27+E30</f>
        <v>1398.7300000000002</v>
      </c>
      <c r="F31" s="730">
        <f>F27+F30</f>
        <v>1398.7300000000002</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43978</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3068</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商业</v>
      </c>
      <c r="B6" s="2299" t="str">
        <f>IF(A6=0,"","经营性")</f>
        <v>经营性</v>
      </c>
      <c r="C6" s="2300" t="s">
        <v>1372</v>
      </c>
      <c r="D6" s="1051">
        <f>SUMIF(项目基本情况!D$12:I$12,C6,项目基本情况!D$14:I$14)</f>
        <v>40</v>
      </c>
      <c r="E6" s="1048">
        <f>IF(B6="","",SUMIF(项目基本情况!D$12:I$12,C6,项目基本情况!D$13:I$13))</f>
        <v>55220</v>
      </c>
      <c r="F6" s="72">
        <f>SUMIF(项目基本情况!D$12:I$12,C6,项目基本情况!D$15:I$15)</f>
        <v>30.8</v>
      </c>
      <c r="G6" s="73">
        <f>IF(ISERROR(ROUND(POWER(1+H6,D6-F6)*(POWER(1+H6,F6)-1)/(POWER(1+H6,D6)-1),3)),0,ROUND(POWER(1+H6,D6-F6)*(POWER(1+H6,F6)-1)/(POWER(1+H6,D6)-1),3))</f>
        <v>0.90600000000000003</v>
      </c>
      <c r="H6" s="802">
        <v>0.05</v>
      </c>
      <c r="I6" s="802">
        <v>5.5E-2</v>
      </c>
      <c r="J6" s="74">
        <v>8.5000000000000006E-2</v>
      </c>
      <c r="K6" s="1251">
        <f>SUMIF('数据-汇总表'!C$19:C$33,A6,'数据-汇总表'!E$19:E$33)</f>
        <v>1398.7300000000002</v>
      </c>
      <c r="L6" s="803">
        <v>2800</v>
      </c>
      <c r="M6" s="75">
        <f t="shared" ref="M6:M14" si="0">ROUND(K6*L6/10000,0)</f>
        <v>392</v>
      </c>
      <c r="N6" s="801">
        <f>ROUND(1-(2020-2014)/60,2)</f>
        <v>0.9</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3">
        <f>ROUND($L$14*S6/10000,0)</f>
        <v>0</v>
      </c>
      <c r="U6" s="3406">
        <f ca="1">Sheet2!K28</f>
        <v>5.14</v>
      </c>
      <c r="V6" s="79">
        <v>0</v>
      </c>
      <c r="W6" s="79">
        <v>0</v>
      </c>
      <c r="X6" s="1261"/>
      <c r="Y6" s="80">
        <f>N6</f>
        <v>0.9</v>
      </c>
      <c r="Z6" s="81">
        <f>ROUND(5*(1+AA6)^AF6,2)</f>
        <v>5.8</v>
      </c>
      <c r="AA6" s="74">
        <v>0.03</v>
      </c>
      <c r="AB6" s="74">
        <v>0.1</v>
      </c>
      <c r="AC6" s="1261"/>
      <c r="AD6" s="82">
        <f>ROUND(1-(2025-2014)/60,2)</f>
        <v>0.82</v>
      </c>
      <c r="AE6" s="1262">
        <f ca="1">IF(AN6="",0,SUMIF(INDIRECT("'"&amp;AN6&amp;"'"&amp;"!E:E"),$AE$5,INDIRECT("'"&amp;AN6&amp;"'"&amp;"!F:F")))</f>
        <v>30.8</v>
      </c>
      <c r="AF6" s="1796">
        <v>5</v>
      </c>
      <c r="AG6" s="147">
        <f ca="1">IF(AF6="",0,AE6-AF6)</f>
        <v>25.8</v>
      </c>
      <c r="AH6" s="83"/>
      <c r="AI6" s="85">
        <v>365</v>
      </c>
      <c r="AJ6" s="86"/>
      <c r="AK6" s="87">
        <v>1.4999999999999999E-2</v>
      </c>
      <c r="AL6" s="88">
        <v>1.5E-3</v>
      </c>
      <c r="AM6" s="89">
        <v>0.02</v>
      </c>
      <c r="AN6" s="2301" t="s">
        <v>3069</v>
      </c>
      <c r="AO6" s="55">
        <f ca="1">SUMIF(INDIRECT("'"&amp;AN6&amp;"'"&amp;"!A:A"),"总价",INDIRECT("'"&amp;AN6&amp;"'"&amp;"!B:B"))</f>
        <v>3803</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0.90600000000000003</v>
      </c>
      <c r="H16" s="99">
        <f>ROUND(SUMPRODUCT(H6:H13,K6:K13)/SUMPRODUCT((H6:H13&gt;0)*(K6:K13)),3)</f>
        <v>0.05</v>
      </c>
      <c r="I16" s="100"/>
      <c r="J16" s="100"/>
      <c r="K16" s="101">
        <f>SUM(K6:K15)</f>
        <v>1398.7300000000002</v>
      </c>
      <c r="L16" s="102">
        <f>ROUND(M16*10000/SUM(K6:K14),0)</f>
        <v>2803</v>
      </c>
      <c r="M16" s="102">
        <f>SUM(M6:M14)</f>
        <v>392</v>
      </c>
      <c r="N16" s="103">
        <f>ROUND(SUMPRODUCT(M6:M14,N6:N14)/M16,3)</f>
        <v>0.9</v>
      </c>
      <c r="O16" s="102">
        <f>SUM(O6:O14)</f>
        <v>0</v>
      </c>
      <c r="P16" s="102">
        <f>SUM(P6:P14)</f>
        <v>0</v>
      </c>
      <c r="Q16" s="104">
        <f>ROUND(SUMPRODUCT(Q6:Q13,K6:K13)/SUMPRODUCT((Q6:Q13&gt;0)*(K6:K13)),2)</f>
        <v>0.2</v>
      </c>
      <c r="R16" s="1255">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3</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523</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v>3</v>
      </c>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72" t="s">
        <v>2079</v>
      </c>
      <c r="B1" s="3073"/>
      <c r="C1" s="3073"/>
      <c r="D1" s="3073"/>
      <c r="E1" s="3073"/>
      <c r="F1" s="3073"/>
      <c r="G1" s="307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1398.7300000000002</v>
      </c>
      <c r="C1" s="2950"/>
      <c r="D1" s="2950"/>
      <c r="E1" s="2950"/>
      <c r="F1" s="2950"/>
      <c r="G1" s="2951"/>
    </row>
    <row r="2" spans="1:10" ht="16.5">
      <c r="A2" s="2953" t="s">
        <v>1348</v>
      </c>
      <c r="B2" s="2953">
        <f>SUM(C14:C23)</f>
        <v>1281.4000000000001</v>
      </c>
      <c r="C2" s="2950"/>
      <c r="D2" s="2950"/>
      <c r="E2" s="2950"/>
      <c r="F2" s="2950"/>
      <c r="G2" s="2951"/>
    </row>
    <row r="3" spans="1:10" ht="16.5">
      <c r="A3" s="2953" t="s">
        <v>1357</v>
      </c>
      <c r="B3" s="2954">
        <f>项目基本情况!D3</f>
        <v>43978</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4327</v>
      </c>
      <c r="C5" s="2953">
        <f ca="1">ROUND(B5*10000/$B$1,0)</f>
        <v>30935</v>
      </c>
      <c r="D5" s="2953">
        <f ca="1">ROUND(B5*10000/$B$2,0)</f>
        <v>33768</v>
      </c>
      <c r="E5" s="2950"/>
      <c r="F5" s="2951"/>
      <c r="G5" s="2951"/>
    </row>
    <row r="6" spans="1:10" ht="16.5">
      <c r="A6" s="2953" t="s">
        <v>1351</v>
      </c>
      <c r="B6" s="2953">
        <f ca="1">SUM(G14:G23)</f>
        <v>4327</v>
      </c>
      <c r="C6" s="2953">
        <f ca="1">ROUND(B6*10000/$B$1,0)</f>
        <v>30935</v>
      </c>
      <c r="D6" s="2953">
        <f ca="1">ROUND(B6*10000/$B$2,0)</f>
        <v>33768</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1398.7300000000002</v>
      </c>
      <c r="C14" s="2958">
        <f>结果表!C118</f>
        <v>1281.4000000000001</v>
      </c>
      <c r="D14" s="2958">
        <f ca="1">结果表!H118</f>
        <v>4327</v>
      </c>
      <c r="E14" s="2956">
        <f ca="1">ROUND(D14*10000/B14,0)</f>
        <v>30935</v>
      </c>
      <c r="F14" s="2956">
        <f ca="1">ROUND(D14*10000/C14,0)</f>
        <v>33768</v>
      </c>
      <c r="G14" s="2958">
        <f ca="1">结果表!D122</f>
        <v>4327</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D33" sqref="D33"/>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3111</v>
      </c>
      <c r="H1" s="2413" t="str">
        <f>IF(G1="现房","——","估价对象范围")</f>
        <v>——</v>
      </c>
      <c r="I1" s="2414"/>
    </row>
    <row r="2" spans="1:12" ht="21.75" customHeight="1" thickBot="1">
      <c r="A2" s="3107" t="str">
        <f>项目基本情况!S2</f>
        <v>北京市房地产</v>
      </c>
      <c r="B2" s="3108"/>
      <c r="C2" s="3108"/>
      <c r="D2" s="3108"/>
      <c r="E2" s="3108"/>
      <c r="F2" s="3108"/>
      <c r="G2" s="3108"/>
      <c r="H2" s="3108"/>
      <c r="I2" s="3109"/>
    </row>
    <row r="3" spans="1:12" ht="12.75">
      <c r="A3" s="3111" t="s">
        <v>2118</v>
      </c>
      <c r="B3" s="3112"/>
      <c r="C3" s="3112"/>
      <c r="D3" s="3112"/>
      <c r="E3" s="3112"/>
      <c r="F3" s="3112"/>
      <c r="G3" s="3112"/>
      <c r="H3" s="3112"/>
      <c r="I3" s="3112"/>
    </row>
    <row r="4" spans="1:12" ht="14.25">
      <c r="A4" s="2417" t="s">
        <v>2119</v>
      </c>
      <c r="B4" s="2418" t="s">
        <v>2120</v>
      </c>
      <c r="C4" s="2419" t="s">
        <v>3109</v>
      </c>
      <c r="D4" s="2419" t="s">
        <v>3069</v>
      </c>
      <c r="E4" s="3104" t="s">
        <v>2121</v>
      </c>
      <c r="F4" s="3105"/>
      <c r="G4" s="3105"/>
      <c r="H4" s="3105"/>
      <c r="I4" s="3113"/>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7" t="s">
        <v>2122</v>
      </c>
      <c r="B5" s="3025">
        <v>25</v>
      </c>
      <c r="C5" s="3090"/>
      <c r="D5" s="3110"/>
      <c r="E5" s="140" t="s">
        <v>2123</v>
      </c>
      <c r="F5" s="2421"/>
      <c r="G5" s="2421"/>
      <c r="H5" s="2421"/>
      <c r="I5" s="1823"/>
    </row>
    <row r="6" spans="1:12" ht="12.75">
      <c r="A6" s="3087"/>
      <c r="B6" s="3025"/>
      <c r="C6" s="3091"/>
      <c r="D6" s="3110"/>
      <c r="E6" s="140" t="s">
        <v>2124</v>
      </c>
      <c r="F6" s="2421"/>
      <c r="G6" s="2421"/>
      <c r="H6" s="2421"/>
      <c r="I6" s="1823"/>
    </row>
    <row r="7" spans="1:12" ht="12.75">
      <c r="A7" s="3087"/>
      <c r="B7" s="3025"/>
      <c r="C7" s="3092"/>
      <c r="D7" s="3110"/>
      <c r="E7" s="140" t="s">
        <v>2125</v>
      </c>
      <c r="F7" s="2421"/>
      <c r="G7" s="2421"/>
      <c r="H7" s="2421"/>
      <c r="I7" s="1823"/>
    </row>
    <row r="8" spans="1:12" ht="12.75">
      <c r="A8" s="3087" t="s">
        <v>2126</v>
      </c>
      <c r="B8" s="3025">
        <v>15</v>
      </c>
      <c r="C8" s="3090"/>
      <c r="D8" s="3110"/>
      <c r="E8" s="140" t="s">
        <v>2127</v>
      </c>
      <c r="F8" s="2421"/>
      <c r="G8" s="2421"/>
      <c r="H8" s="2421"/>
      <c r="I8" s="1823"/>
    </row>
    <row r="9" spans="1:12" ht="12.75">
      <c r="A9" s="3087"/>
      <c r="B9" s="3025"/>
      <c r="C9" s="3092"/>
      <c r="D9" s="3110"/>
      <c r="E9" s="140" t="s">
        <v>2128</v>
      </c>
      <c r="F9" s="2421"/>
      <c r="G9" s="2421"/>
      <c r="H9" s="2421"/>
      <c r="I9" s="1823"/>
    </row>
    <row r="10" spans="1:12" ht="12.75">
      <c r="A10" s="3087" t="s">
        <v>2129</v>
      </c>
      <c r="B10" s="3025">
        <v>15</v>
      </c>
      <c r="C10" s="3090"/>
      <c r="D10" s="3110"/>
      <c r="E10" s="140" t="s">
        <v>2130</v>
      </c>
      <c r="F10" s="2421"/>
      <c r="G10" s="2421"/>
      <c r="H10" s="2421"/>
      <c r="I10" s="1823"/>
    </row>
    <row r="11" spans="1:12" ht="12.75">
      <c r="A11" s="3087"/>
      <c r="B11" s="3025"/>
      <c r="C11" s="3092"/>
      <c r="D11" s="3110"/>
      <c r="E11" s="140" t="s">
        <v>2131</v>
      </c>
      <c r="F11" s="2421"/>
      <c r="G11" s="2421"/>
      <c r="H11" s="2421"/>
      <c r="I11" s="1823"/>
    </row>
    <row r="12" spans="1:12" ht="12.75">
      <c r="A12" s="3087" t="s">
        <v>2132</v>
      </c>
      <c r="B12" s="3025">
        <v>15</v>
      </c>
      <c r="C12" s="3090"/>
      <c r="D12" s="3110"/>
      <c r="E12" s="140" t="s">
        <v>2133</v>
      </c>
      <c r="F12" s="2421"/>
      <c r="G12" s="2421"/>
      <c r="H12" s="2421"/>
      <c r="I12" s="1823"/>
    </row>
    <row r="13" spans="1:12" ht="12.75">
      <c r="A13" s="3087"/>
      <c r="B13" s="3025"/>
      <c r="C13" s="3092"/>
      <c r="D13" s="3110"/>
      <c r="E13" s="140" t="s">
        <v>2134</v>
      </c>
      <c r="F13" s="2421"/>
      <c r="G13" s="2421"/>
      <c r="H13" s="2421"/>
      <c r="I13" s="1823"/>
    </row>
    <row r="14" spans="1:12" ht="12.75">
      <c r="A14" s="3087" t="s">
        <v>2135</v>
      </c>
      <c r="B14" s="3025">
        <v>30</v>
      </c>
      <c r="C14" s="3090">
        <v>45</v>
      </c>
      <c r="D14" s="3110">
        <v>55</v>
      </c>
      <c r="E14" s="140" t="s">
        <v>2136</v>
      </c>
      <c r="F14" s="2421"/>
      <c r="G14" s="2421"/>
      <c r="H14" s="2421"/>
      <c r="I14" s="1823"/>
    </row>
    <row r="15" spans="1:12" ht="12.75">
      <c r="A15" s="3087"/>
      <c r="B15" s="3025"/>
      <c r="C15" s="3091"/>
      <c r="D15" s="3110"/>
      <c r="E15" s="140" t="s">
        <v>2137</v>
      </c>
      <c r="F15" s="2421"/>
      <c r="G15" s="2421"/>
      <c r="H15" s="2421"/>
      <c r="I15" s="1823"/>
    </row>
    <row r="16" spans="1:12" ht="12.75">
      <c r="A16" s="3087"/>
      <c r="B16" s="3025"/>
      <c r="C16" s="3092"/>
      <c r="D16" s="3110"/>
      <c r="E16" s="140" t="s">
        <v>2138</v>
      </c>
      <c r="F16" s="2421"/>
      <c r="G16" s="2421"/>
      <c r="H16" s="2421"/>
      <c r="I16" s="1823"/>
    </row>
    <row r="17" spans="1:35" ht="15">
      <c r="A17" s="2422" t="s">
        <v>2139</v>
      </c>
      <c r="B17" s="64"/>
      <c r="C17" s="141">
        <f>SUM(C5:C16)</f>
        <v>45</v>
      </c>
      <c r="D17" s="141">
        <f>SUM(D5:D16)</f>
        <v>55</v>
      </c>
      <c r="E17" s="138"/>
      <c r="F17" s="138"/>
      <c r="G17" s="138"/>
      <c r="H17" s="138"/>
      <c r="I17" s="138"/>
      <c r="K17" s="2420"/>
      <c r="L17" s="2423" t="s">
        <v>2140</v>
      </c>
      <c r="M17" s="2423" t="s">
        <v>2141</v>
      </c>
    </row>
    <row r="18" spans="1:35" ht="15.75" thickBot="1">
      <c r="A18" s="2424" t="s">
        <v>2142</v>
      </c>
      <c r="B18" s="2425"/>
      <c r="C18" s="142">
        <f>ROUND(C17/SUM(C17:D17),2)</f>
        <v>0.45</v>
      </c>
      <c r="D18" s="142">
        <f>1-C18</f>
        <v>0.55000000000000004</v>
      </c>
      <c r="E18" s="138"/>
      <c r="F18" s="138"/>
      <c r="G18" s="138"/>
      <c r="H18" s="138"/>
      <c r="I18" s="138"/>
      <c r="K18" s="2420" t="s">
        <v>2143</v>
      </c>
      <c r="L18" s="2420">
        <f>IF(C1="",'数据-汇总表'!E3,SUMIF(项目类型,C1,'数据-汇总表'!E17:E26)+SUMIF(项目类型,C1,'数据-汇总表'!I17:I26))</f>
        <v>1398.7300000000002</v>
      </c>
      <c r="M18" s="2420">
        <f>IF(C1="",'数据-汇总表'!E3,SUMIF(项目类型,C1,'数据-汇总表'!E17:E26))</f>
        <v>1398.7300000000002</v>
      </c>
    </row>
    <row r="19" spans="1:35" ht="15">
      <c r="A19" s="2426" t="s">
        <v>2144</v>
      </c>
      <c r="B19" s="2427" t="s">
        <v>2145</v>
      </c>
      <c r="C19" s="143">
        <f ca="1">SUMIF(INDIRECT("'"&amp;C4&amp;"'"&amp;"!A:A"),结果表!B19,INDIRECT("'"&amp;C4&amp;"'"&amp;"!B:B"))</f>
        <v>4967</v>
      </c>
      <c r="D19" s="144">
        <f ca="1">SUMIF(INDIRECT("'"&amp;D4&amp;"'"&amp;"!A:A"),结果表!B19,INDIRECT("'"&amp;D4&amp;"'"&amp;"!B:B"))</f>
        <v>3803</v>
      </c>
      <c r="E19" s="2426" t="s">
        <v>2146</v>
      </c>
      <c r="F19" s="2427" t="s">
        <v>2145</v>
      </c>
      <c r="G19" s="145">
        <f ca="1">ROUND(C19*$C$18+D19*$D$18,0)</f>
        <v>4327</v>
      </c>
      <c r="H19" s="2428" t="s">
        <v>2147</v>
      </c>
      <c r="I19" s="138"/>
      <c r="K19" s="2420" t="s">
        <v>2148</v>
      </c>
      <c r="L19" s="2420">
        <f>IF(C1="",'数据-汇总表'!D3,SUMIF(项目类型,C1,'数据-汇总表'!D17:D26)+SUMIF(项目类型,C1,'数据-汇总表'!H17:H27))</f>
        <v>1281.4000000000001</v>
      </c>
      <c r="M19" s="2420">
        <f>IF(C1="",'数据-汇总表'!D3,SUMIF(项目类型,C1,'数据-汇总表'!D17:D26))</f>
        <v>1281.4000000000001</v>
      </c>
    </row>
    <row r="20" spans="1:35" ht="15">
      <c r="A20" s="2429"/>
      <c r="B20" s="1247" t="s">
        <v>2149</v>
      </c>
      <c r="C20" s="146">
        <f ca="1">SUMIF(INDIRECT("'"&amp;C4&amp;"'"&amp;"!A:A"),结果表!B20,INDIRECT("'"&amp;C4&amp;"'"&amp;"!B:B"))</f>
        <v>35511</v>
      </c>
      <c r="D20" s="147">
        <f ca="1">SUMIF(INDIRECT("'"&amp;D4&amp;"'"&amp;"!A:A"),结果表!B20,INDIRECT("'"&amp;D4&amp;"'"&amp;"!B:B"))</f>
        <v>27188</v>
      </c>
      <c r="E20" s="2429"/>
      <c r="F20" s="1247" t="s">
        <v>2149</v>
      </c>
      <c r="G20" s="148">
        <f ca="1">ROUND(C20*$C$18+D20*$D$18,0)</f>
        <v>30933</v>
      </c>
      <c r="H20" s="980" t="s">
        <v>2150</v>
      </c>
      <c r="I20" s="138"/>
    </row>
    <row r="21" spans="1:35" ht="15" customHeight="1" thickBot="1">
      <c r="A21" s="1000"/>
      <c r="B21" s="2430" t="s">
        <v>2151</v>
      </c>
      <c r="C21" s="789">
        <f ca="1">ROUND(C19*10000/L19,0)</f>
        <v>38762</v>
      </c>
      <c r="D21" s="790">
        <f ca="1">ROUND(D19*10000/L19,0)</f>
        <v>29678</v>
      </c>
      <c r="E21" s="1000"/>
      <c r="F21" s="2430" t="s">
        <v>2151</v>
      </c>
      <c r="G21" s="149">
        <f ca="1">ROUND(G19*10000/L19,0)</f>
        <v>33768</v>
      </c>
      <c r="H21" s="2431" t="s">
        <v>2150</v>
      </c>
      <c r="I21" s="138"/>
    </row>
    <row r="22" spans="1:35" ht="15" thickBot="1">
      <c r="A22" s="2273" t="s">
        <v>2152</v>
      </c>
      <c r="B22" s="2432"/>
      <c r="C22" s="2433"/>
      <c r="D22" s="791">
        <f ca="1">IF(C19&lt;D19,D19/C19-1,C19/D19-1)</f>
        <v>0.30607415198527477</v>
      </c>
      <c r="E22" s="138"/>
      <c r="F22" s="138"/>
      <c r="G22" s="138"/>
      <c r="H22" s="138"/>
      <c r="I22" s="138"/>
    </row>
    <row r="23" spans="1:35" ht="13.5" thickBot="1">
      <c r="A23" s="2410"/>
      <c r="B23" s="2410"/>
      <c r="C23" s="2410"/>
      <c r="D23" s="2410"/>
      <c r="E23" s="138"/>
      <c r="F23" s="138"/>
      <c r="G23" s="138"/>
      <c r="H23" s="138"/>
      <c r="I23" s="138"/>
    </row>
    <row r="24" spans="1:35" ht="14.25">
      <c r="A24" s="3081" t="s">
        <v>2153</v>
      </c>
      <c r="B24" s="2427" t="s">
        <v>2145</v>
      </c>
      <c r="C24" s="145">
        <f>IF(B30=0,0,D30)</f>
        <v>0</v>
      </c>
      <c r="D24" s="2434"/>
      <c r="E24" s="138"/>
      <c r="F24" s="138"/>
      <c r="G24" s="138"/>
      <c r="H24" s="138"/>
      <c r="I24" s="138"/>
    </row>
    <row r="25" spans="1:35" ht="14.25">
      <c r="A25" s="3082"/>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4327</v>
      </c>
      <c r="D32" s="2441" t="s">
        <v>2160</v>
      </c>
      <c r="E32" s="138"/>
      <c r="F32" s="138"/>
      <c r="G32" s="138"/>
      <c r="H32" s="138"/>
      <c r="I32" s="138"/>
    </row>
    <row r="33" spans="1:15" ht="15">
      <c r="A33" s="957" t="s">
        <v>2161</v>
      </c>
      <c r="B33" s="2442"/>
      <c r="C33" s="2443" t="s">
        <v>3260</v>
      </c>
      <c r="D33" s="2444" t="s">
        <v>3261</v>
      </c>
      <c r="E33" s="2445" t="s">
        <v>2162</v>
      </c>
      <c r="F33" s="2446" t="str">
        <f>IF(D32="楼面单价","取值（单价）","取值（总价）")</f>
        <v>取值（总价）</v>
      </c>
      <c r="G33" s="138"/>
      <c r="H33" s="138"/>
      <c r="I33" s="138"/>
    </row>
    <row r="34" spans="1:15" ht="15">
      <c r="A34" s="2447"/>
      <c r="B34" s="2448" t="s">
        <v>2163</v>
      </c>
      <c r="C34" s="157">
        <f ca="1">IF(C33="自定义",F34,C32-C35)</f>
        <v>303</v>
      </c>
      <c r="D34" s="1055">
        <f ca="1">IF(C33="自定义",ROUND(C34/C32,3),IF(C33="收益比率",SUMIF(INDIRECT("'"&amp;D33&amp;"'"&amp;"!b:b"),"土地收益比率",INDIRECT("'"&amp;D33&amp;"'"&amp;"!c:c")),SUMIF(INDIRECT("'"&amp;D33&amp;"'"&amp;"!b:b"),"土地成本比率",INDIRECT("'"&amp;D33&amp;"'"&amp;"!c:c"))))</f>
        <v>6.9999999999999951E-2</v>
      </c>
      <c r="E34" s="2449" t="s">
        <v>2164</v>
      </c>
      <c r="F34" s="1736"/>
      <c r="G34" s="138"/>
      <c r="H34" s="138"/>
      <c r="I34" s="138"/>
    </row>
    <row r="35" spans="1:15" ht="15.75" thickBot="1">
      <c r="A35" s="2450"/>
      <c r="B35" s="2451" t="s">
        <v>2165</v>
      </c>
      <c r="C35" s="1441">
        <f ca="1">IF(C33="自定义",F35,ROUND(C32*D35,0))</f>
        <v>4024</v>
      </c>
      <c r="D35" s="1442">
        <f ca="1">IF(C33="自定义",ROUND(C35/C32,3),IF(C33="收益比率",SUMIF(INDIRECT("'"&amp;D33&amp;"'"&amp;"!b:b"),"建筑物收益比率",INDIRECT("'"&amp;D33&amp;"'"&amp;"!c:c")),SUMIF(INDIRECT("'"&amp;D33&amp;"'"&amp;"!b:b"),"建筑物成本比率",INDIRECT("'"&amp;D33&amp;"'"&amp;"!c:c"))))</f>
        <v>0.93</v>
      </c>
      <c r="E35" s="2452" t="s">
        <v>2166</v>
      </c>
      <c r="F35" s="163"/>
      <c r="G35" s="138"/>
      <c r="H35" s="138"/>
      <c r="I35" s="138"/>
    </row>
    <row r="36" spans="1:15" ht="15.75" thickBot="1">
      <c r="A36" s="3099" t="s">
        <v>2167</v>
      </c>
      <c r="B36" s="2453" t="s">
        <v>2168</v>
      </c>
      <c r="C36" s="154"/>
      <c r="D36" s="2454"/>
      <c r="E36" s="2455"/>
      <c r="F36" s="2456"/>
      <c r="G36" s="138"/>
      <c r="H36" s="138"/>
      <c r="I36" s="138"/>
    </row>
    <row r="37" spans="1:15" ht="15.75" thickBot="1">
      <c r="A37" s="3100"/>
      <c r="B37" s="2259" t="s">
        <v>2169</v>
      </c>
      <c r="C37" s="156"/>
      <c r="D37" s="1392"/>
      <c r="E37" s="1392"/>
      <c r="F37" s="2456"/>
      <c r="G37" s="138"/>
      <c r="H37" s="138"/>
      <c r="I37" s="138"/>
    </row>
    <row r="38" spans="1:15" ht="15.75" thickBot="1">
      <c r="A38" s="3101"/>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78" t="s">
        <v>2181</v>
      </c>
      <c r="B45" s="3079"/>
      <c r="C45" s="3080"/>
      <c r="D45" s="164">
        <f ca="1">ROUND(H101*F45,0)</f>
        <v>4327</v>
      </c>
      <c r="E45" s="165" t="s">
        <v>2182</v>
      </c>
      <c r="F45" s="166">
        <v>1</v>
      </c>
      <c r="G45" s="167" t="s">
        <v>2183</v>
      </c>
      <c r="H45" s="138"/>
      <c r="I45" s="138"/>
      <c r="J45" s="3138" t="s">
        <v>2184</v>
      </c>
      <c r="K45" s="3138"/>
      <c r="L45" s="3138"/>
      <c r="M45" s="3138"/>
      <c r="N45" s="3138"/>
      <c r="O45" s="3138"/>
    </row>
    <row r="46" spans="1:15" ht="14.25" customHeight="1">
      <c r="A46" s="3075" t="s">
        <v>2185</v>
      </c>
      <c r="B46" s="3076"/>
      <c r="C46" s="3076"/>
      <c r="D46" s="3076"/>
      <c r="E46" s="3076"/>
      <c r="F46" s="3076"/>
      <c r="G46" s="3077"/>
      <c r="H46" s="2472"/>
      <c r="I46" s="168"/>
      <c r="J46" s="1801">
        <v>1</v>
      </c>
      <c r="K46" s="3138" t="s">
        <v>2186</v>
      </c>
      <c r="L46" s="3138"/>
      <c r="M46" s="3158"/>
      <c r="N46" s="3158"/>
      <c r="O46" s="3158"/>
    </row>
    <row r="47" spans="1:15" ht="12" customHeight="1">
      <c r="A47" s="169" t="s">
        <v>2187</v>
      </c>
      <c r="B47" s="170"/>
      <c r="C47" s="171"/>
      <c r="D47" s="172" t="s">
        <v>2188</v>
      </c>
      <c r="E47" s="24" t="s">
        <v>2189</v>
      </c>
      <c r="F47" s="173" t="s">
        <v>2190</v>
      </c>
      <c r="G47" s="174" t="s">
        <v>2191</v>
      </c>
      <c r="H47" s="2472"/>
      <c r="I47" s="168"/>
      <c r="J47" s="1801">
        <v>2</v>
      </c>
      <c r="K47" s="3138" t="s">
        <v>2192</v>
      </c>
      <c r="L47" s="3138"/>
      <c r="M47" s="3159">
        <f>'数据-取费表'!B2</f>
        <v>43978</v>
      </c>
      <c r="N47" s="3159"/>
      <c r="O47" s="3159"/>
    </row>
    <row r="48" spans="1:15" ht="25.5">
      <c r="A48" s="3106" t="s">
        <v>2193</v>
      </c>
      <c r="B48" s="3089"/>
      <c r="C48" s="3089"/>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138" t="s">
        <v>2196</v>
      </c>
      <c r="L48" s="3138"/>
      <c r="M48" s="3160">
        <f ca="1">H101</f>
        <v>4327</v>
      </c>
      <c r="N48" s="3160"/>
      <c r="O48" s="3160"/>
    </row>
    <row r="49" spans="1:35" ht="25.5" customHeight="1">
      <c r="A49" s="176" t="s">
        <v>2197</v>
      </c>
      <c r="B49" s="3074" t="s">
        <v>2198</v>
      </c>
      <c r="C49" s="3074"/>
      <c r="D49" s="177">
        <v>0</v>
      </c>
      <c r="E49" s="23" t="s">
        <v>2199</v>
      </c>
      <c r="F49" s="28" t="s">
        <v>34</v>
      </c>
      <c r="G49" s="3144"/>
      <c r="H49" s="138"/>
      <c r="I49" s="2475"/>
      <c r="J49" s="1801">
        <v>4</v>
      </c>
      <c r="K49" s="3138" t="str">
        <f>IF(项目基本情况!E8="房地产抵押价值","房地产抵押价值","抵押担保权已注销时的房地产抵押价值")</f>
        <v>房地产抵押价值</v>
      </c>
      <c r="L49" s="3138"/>
      <c r="M49" s="3160">
        <f ca="1">IF(项目基本情况!E8="房地产抵押价值",H107,H109)</f>
        <v>4327</v>
      </c>
      <c r="N49" s="3160"/>
      <c r="O49" s="3160"/>
    </row>
    <row r="50" spans="1:35" ht="25.5" customHeight="1">
      <c r="A50" s="178"/>
      <c r="B50" s="3074" t="s">
        <v>2200</v>
      </c>
      <c r="C50" s="3074"/>
      <c r="D50" s="179"/>
      <c r="E50" s="31"/>
      <c r="F50" s="180"/>
      <c r="G50" s="3145"/>
      <c r="H50" s="138"/>
      <c r="I50" s="2475"/>
      <c r="J50" s="3138" t="s">
        <v>2201</v>
      </c>
      <c r="K50" s="3138"/>
      <c r="L50" s="3138"/>
      <c r="M50" s="3138"/>
      <c r="N50" s="3138"/>
      <c r="O50" s="3138"/>
    </row>
    <row r="51" spans="1:35" ht="12" customHeight="1">
      <c r="A51" s="181"/>
      <c r="B51" s="3074" t="s">
        <v>2202</v>
      </c>
      <c r="C51" s="3074"/>
      <c r="D51" s="182"/>
      <c r="E51" s="30"/>
      <c r="F51" s="180"/>
      <c r="G51" s="3146"/>
      <c r="H51" s="138"/>
      <c r="I51" s="2475"/>
      <c r="J51" s="2476" t="s">
        <v>2203</v>
      </c>
      <c r="K51" s="3138" t="s">
        <v>2204</v>
      </c>
      <c r="L51" s="3138"/>
      <c r="M51" s="2476" t="s">
        <v>2205</v>
      </c>
      <c r="N51" s="2476" t="s">
        <v>2206</v>
      </c>
      <c r="O51" s="2476" t="s">
        <v>2207</v>
      </c>
    </row>
    <row r="52" spans="1:35" ht="24" customHeight="1">
      <c r="A52" s="183" t="s">
        <v>2208</v>
      </c>
      <c r="B52" s="3074" t="s">
        <v>2209</v>
      </c>
      <c r="C52" s="3074"/>
      <c r="D52" s="182">
        <f ca="1">ROUND(D45*'数据-取费表'!B41/(1+'数据-取费表'!C42),0)</f>
        <v>231</v>
      </c>
      <c r="E52" s="11" t="s">
        <v>2210</v>
      </c>
      <c r="F52" s="184">
        <f>'数据-取费表'!B41</f>
        <v>5.6000000000000001E-2</v>
      </c>
      <c r="G52" s="2477"/>
      <c r="H52" s="138"/>
      <c r="I52" s="2475"/>
      <c r="J52" s="1801">
        <v>1</v>
      </c>
      <c r="K52" s="3139" t="s">
        <v>2211</v>
      </c>
      <c r="L52" s="3139"/>
      <c r="M52" s="1743">
        <f>D48</f>
        <v>0</v>
      </c>
      <c r="N52" s="1801" t="str">
        <f>E48</f>
        <v>销售额×税（费）率</v>
      </c>
      <c r="O52" s="1744" t="str">
        <f>F48</f>
        <v>免征</v>
      </c>
    </row>
    <row r="53" spans="1:35" ht="12" customHeight="1">
      <c r="A53" s="183" t="s">
        <v>2212</v>
      </c>
      <c r="B53" s="3097" t="s">
        <v>2213</v>
      </c>
      <c r="C53" s="3098"/>
      <c r="D53" s="182">
        <f ca="1">ROUND(D45*'数据-取费表'!B41/(1+'数据-取费表'!C42),0)</f>
        <v>231</v>
      </c>
      <c r="E53" s="11" t="s">
        <v>2210</v>
      </c>
      <c r="F53" s="184">
        <f>'数据-取费表'!B41</f>
        <v>5.6000000000000001E-2</v>
      </c>
      <c r="G53" s="2477"/>
      <c r="H53" s="138"/>
      <c r="I53" s="2475"/>
      <c r="J53" s="1801">
        <v>2</v>
      </c>
      <c r="K53" s="3139" t="s">
        <v>2214</v>
      </c>
      <c r="L53" s="3139"/>
      <c r="M53" s="1743">
        <f t="shared" ref="M53:O54" ca="1" si="0">D55</f>
        <v>2</v>
      </c>
      <c r="N53" s="1801" t="str">
        <f t="shared" si="0"/>
        <v>销售额×税（费）率</v>
      </c>
      <c r="O53" s="1744">
        <f t="shared" si="0"/>
        <v>5.0000000000000001E-4</v>
      </c>
    </row>
    <row r="54" spans="1:35" ht="12" customHeight="1">
      <c r="A54" s="183" t="s">
        <v>2215</v>
      </c>
      <c r="B54" s="3097" t="s">
        <v>2216</v>
      </c>
      <c r="C54" s="3098"/>
      <c r="D54" s="182">
        <f ca="1">C68</f>
        <v>231</v>
      </c>
      <c r="E54" s="30" t="s">
        <v>2217</v>
      </c>
      <c r="F54" s="184">
        <f>'数据-取费表'!B41</f>
        <v>5.6000000000000001E-2</v>
      </c>
      <c r="G54" s="2477"/>
      <c r="H54" s="2478"/>
      <c r="I54" s="2475"/>
      <c r="J54" s="1801">
        <v>3</v>
      </c>
      <c r="K54" s="3139" t="s">
        <v>2218</v>
      </c>
      <c r="L54" s="3139"/>
      <c r="M54" s="1743">
        <f t="shared" ca="1" si="0"/>
        <v>2449</v>
      </c>
      <c r="N54" s="1801" t="str">
        <f t="shared" si="0"/>
        <v>增值额×税（费）率</v>
      </c>
      <c r="O54" s="1745" t="str">
        <f t="shared" si="0"/>
        <v>——</v>
      </c>
    </row>
    <row r="55" spans="1:35" ht="24" customHeight="1">
      <c r="A55" s="3088" t="s">
        <v>2219</v>
      </c>
      <c r="B55" s="3089"/>
      <c r="C55" s="3089"/>
      <c r="D55" s="185">
        <f ca="1">IF(H55="个人住宅",0,ROUND(D45*I55,0))</f>
        <v>2</v>
      </c>
      <c r="E55" s="11" t="s">
        <v>2220</v>
      </c>
      <c r="F55" s="184">
        <f>IF(H55="正常",I55,"免征")</f>
        <v>5.0000000000000001E-4</v>
      </c>
      <c r="G55" s="2477"/>
      <c r="H55" s="2474" t="s">
        <v>2221</v>
      </c>
      <c r="I55" s="186">
        <f>'数据-取费表'!B49</f>
        <v>5.0000000000000001E-4</v>
      </c>
      <c r="J55" s="1801" t="str">
        <f>IF(H59="非个人房产","",4)</f>
        <v/>
      </c>
      <c r="K55" s="3139" t="str">
        <f>IF(H59="非个人房产","——","个人所得税")</f>
        <v>——</v>
      </c>
      <c r="L55" s="3139"/>
      <c r="M55" s="1746" t="str">
        <f>D59</f>
        <v>——</v>
      </c>
      <c r="N55" s="1799" t="str">
        <f>E59</f>
        <v>——</v>
      </c>
      <c r="O55" s="1747" t="str">
        <f>F59</f>
        <v>——</v>
      </c>
    </row>
    <row r="56" spans="1:35" ht="24.75">
      <c r="A56" s="3088" t="s">
        <v>2222</v>
      </c>
      <c r="B56" s="3089"/>
      <c r="C56" s="3089"/>
      <c r="D56" s="185">
        <f ca="1">IF(H56="个人住宅",D57,D58)</f>
        <v>2449</v>
      </c>
      <c r="E56" s="11" t="s">
        <v>2223</v>
      </c>
      <c r="F56" s="184" t="str">
        <f>IF(H56="正常",F58,"免征")</f>
        <v>——</v>
      </c>
      <c r="G56" s="2479" t="s">
        <v>2224</v>
      </c>
      <c r="H56" s="2480" t="s">
        <v>2221</v>
      </c>
      <c r="I56" s="2481"/>
      <c r="J56" s="1801" t="str">
        <f>IF(项目基本情况!K6="上海银行",IF(J55="",4,J55+1),"")</f>
        <v/>
      </c>
      <c r="K56" s="3162" t="str">
        <f>IF(项目基本情况!K6="上海银行","其他处置费用","")</f>
        <v/>
      </c>
      <c r="L56" s="3163"/>
      <c r="M56" s="1743" t="str">
        <f>IF(项目基本情况!K6="上海银行",M69,"")</f>
        <v/>
      </c>
      <c r="N56" s="3165" t="str">
        <f>IF(项目基本情况!K6="上海银行","包含处置中涉及的律师、诉讼、拍卖、评估等费用","")</f>
        <v/>
      </c>
      <c r="O56" s="3166"/>
    </row>
    <row r="57" spans="1:35" ht="12.75">
      <c r="A57" s="183" t="s">
        <v>2197</v>
      </c>
      <c r="B57" s="3104" t="s">
        <v>2225</v>
      </c>
      <c r="C57" s="3113"/>
      <c r="D57" s="187">
        <v>0</v>
      </c>
      <c r="E57" s="23" t="s">
        <v>2199</v>
      </c>
      <c r="F57" s="155"/>
      <c r="G57" s="2477"/>
      <c r="H57" s="2481"/>
      <c r="I57" s="2481"/>
      <c r="J57" s="3139">
        <f>IF(AND(J55="",J56=""),4,IF(项目基本情况!K6="上海银行",结果表!J56+1,结果表!J55+1))</f>
        <v>4</v>
      </c>
      <c r="K57" s="3139" t="s">
        <v>2226</v>
      </c>
      <c r="L57" s="2482" t="s">
        <v>2227</v>
      </c>
      <c r="M57" s="1748"/>
      <c r="N57" s="1749">
        <f ca="1">SUMIF(M52:M56,"&lt;9e307")</f>
        <v>2451</v>
      </c>
      <c r="O57" s="2483"/>
      <c r="P57" s="1742">
        <f ca="1">N57/M49</f>
        <v>0.5664432632308759</v>
      </c>
    </row>
    <row r="58" spans="1:35" ht="24.75">
      <c r="A58" s="183" t="s">
        <v>2208</v>
      </c>
      <c r="B58" s="3104" t="s">
        <v>2228</v>
      </c>
      <c r="C58" s="3105"/>
      <c r="D58" s="185">
        <f ca="1">IF(H58="转让取得",C81,C97)</f>
        <v>2449</v>
      </c>
      <c r="E58" s="11" t="s">
        <v>2223</v>
      </c>
      <c r="F58" s="24" t="s">
        <v>34</v>
      </c>
      <c r="G58" s="2477"/>
      <c r="H58" s="2480" t="s">
        <v>2229</v>
      </c>
      <c r="I58" s="2481"/>
      <c r="J58" s="3139"/>
      <c r="K58" s="3139"/>
      <c r="L58" s="2482" t="s">
        <v>2230</v>
      </c>
      <c r="M58" s="1750"/>
      <c r="N58" s="2484" t="str">
        <f ca="1">NUMBERSTRING(INT(N57*10000),2)&amp;"元整"</f>
        <v>贰仟肆佰伍拾壹万元整</v>
      </c>
      <c r="O58" s="2485"/>
    </row>
    <row r="59" spans="1:35" ht="24.75" thickBot="1">
      <c r="A59" s="3142" t="s">
        <v>2231</v>
      </c>
      <c r="B59" s="3143"/>
      <c r="C59" s="3143"/>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40">
        <f>J57+1</f>
        <v>5</v>
      </c>
      <c r="K59" s="3139" t="s">
        <v>2233</v>
      </c>
      <c r="L59" s="1801" t="s">
        <v>2227</v>
      </c>
      <c r="M59" s="1751"/>
      <c r="N59" s="1752">
        <f ca="1">M49-N57</f>
        <v>1876</v>
      </c>
      <c r="O59" s="2487"/>
    </row>
    <row r="60" spans="1:35" ht="12" customHeight="1">
      <c r="A60" s="2488"/>
      <c r="B60" s="2410"/>
      <c r="C60" s="2410"/>
      <c r="D60" s="2410"/>
      <c r="E60" s="2158"/>
      <c r="F60" s="2481"/>
      <c r="G60" s="2481"/>
      <c r="H60" s="2489"/>
      <c r="I60" s="138"/>
      <c r="J60" s="3141"/>
      <c r="K60" s="3139"/>
      <c r="L60" s="2482" t="s">
        <v>2230</v>
      </c>
      <c r="M60" s="1750"/>
      <c r="N60" s="2484" t="str">
        <f ca="1">NUMBERSTRING(INT(N59*10000),2)&amp;"元整"</f>
        <v>壹仟捌佰柒拾陆万元整</v>
      </c>
      <c r="O60" s="2485"/>
    </row>
    <row r="61" spans="1:35" ht="13.5" thickBot="1">
      <c r="A61" s="3086" t="s">
        <v>2234</v>
      </c>
      <c r="B61" s="3086"/>
      <c r="C61" s="3086"/>
      <c r="D61" s="3086"/>
      <c r="E61" s="3086"/>
      <c r="F61" s="2481"/>
      <c r="G61" s="2481"/>
      <c r="H61" s="2489"/>
      <c r="I61" s="138"/>
      <c r="J61" s="1801">
        <f>J59+1</f>
        <v>6</v>
      </c>
      <c r="K61" s="3139" t="s">
        <v>2235</v>
      </c>
      <c r="L61" s="3139"/>
      <c r="M61" s="1753"/>
      <c r="N61" s="1754">
        <f ca="1">ROUND(N59*10000/'数据-汇总表'!E3,0)</f>
        <v>13412</v>
      </c>
      <c r="O61" s="2490"/>
    </row>
    <row r="62" spans="1:35" ht="12.75">
      <c r="A62" s="3102" t="s">
        <v>2236</v>
      </c>
      <c r="B62" s="3103"/>
      <c r="C62" s="1793"/>
      <c r="D62" s="1793" t="s">
        <v>2237</v>
      </c>
      <c r="E62" s="192" t="s">
        <v>2238</v>
      </c>
      <c r="F62" s="2481"/>
      <c r="G62" s="2481"/>
      <c r="H62" s="2489"/>
      <c r="I62" s="138"/>
    </row>
    <row r="63" spans="1:35" ht="12.75">
      <c r="A63" s="203" t="s">
        <v>775</v>
      </c>
      <c r="B63" s="193" t="s">
        <v>2239</v>
      </c>
      <c r="C63" s="194">
        <f ca="1">ROUND((C64+C65)/(1+'数据-取费表'!C42),0)</f>
        <v>4121</v>
      </c>
      <c r="D63" s="195"/>
      <c r="E63" s="196"/>
      <c r="F63" s="2481"/>
      <c r="G63" s="2481"/>
      <c r="H63" s="2489"/>
      <c r="I63" s="138"/>
      <c r="J63" s="3164" t="s">
        <v>2240</v>
      </c>
      <c r="K63" s="2491" t="s">
        <v>2241</v>
      </c>
      <c r="L63" s="1741">
        <f ca="1">IF(M49&gt;10000,M49*0.5%,IF(AND(M49&gt;1000,M49&lt;=10000),M49*1%,IF(AND(M49&gt;100,M49&lt;=1000),M49*3%,IF(AND(M49&gt;10,M49&lt;=100),M49*5%,M49*8%))))</f>
        <v>43.27</v>
      </c>
      <c r="M63" s="24">
        <f ca="1">ROUND(L63,1)</f>
        <v>43.3</v>
      </c>
      <c r="Z63" s="2415"/>
      <c r="AI63" s="2416"/>
    </row>
    <row r="64" spans="1:35" ht="14.25" customHeight="1">
      <c r="A64" s="197" t="s">
        <v>770</v>
      </c>
      <c r="B64" s="198" t="s">
        <v>2242</v>
      </c>
      <c r="C64" s="199">
        <f ca="1">D45</f>
        <v>4327</v>
      </c>
      <c r="D64" s="200" t="s">
        <v>32</v>
      </c>
      <c r="E64" s="201"/>
      <c r="F64" s="2481"/>
      <c r="G64" s="2481"/>
      <c r="H64" s="2489"/>
      <c r="I64" s="138"/>
      <c r="J64" s="3164"/>
      <c r="K64" s="2491" t="s">
        <v>2243</v>
      </c>
      <c r="L64" s="1741">
        <f ca="1">IF(M49&gt;2000,M49*0.5%,IF(AND(M49&gt;1000,M49&lt;=2000),M49*0.6%,IF(AND(M49&gt;500,M49&lt;=1000),M49*0.7%,IF(AND(M49&gt;200,M49&lt;=500),M49*0.8%,IF(AND(M49&gt;100,M49&lt;=200),M49*0.9%,IF(AND(M49&gt;50,M49&lt;=100),M49*1%,IF(AND(M49&gt;20,M49&lt;=50),M49*1.5%,IF(AND(M49&gt;10,M49&lt;=20),M49*2%,IF(AND(M49&gt;1,M49&lt;=10),M49*2.5%)))))))))</f>
        <v>21.635000000000002</v>
      </c>
      <c r="M64" s="24">
        <f t="shared" ref="M64:M65" ca="1" si="1">ROUND(L64,1)</f>
        <v>21.6</v>
      </c>
      <c r="N64" s="138" t="s">
        <v>2244</v>
      </c>
      <c r="Z64" s="2415"/>
      <c r="AI64" s="2416"/>
    </row>
    <row r="65" spans="1:35" ht="14.25" customHeight="1">
      <c r="A65" s="197" t="s">
        <v>771</v>
      </c>
      <c r="B65" s="198" t="s">
        <v>2245</v>
      </c>
      <c r="C65" s="202"/>
      <c r="D65" s="200"/>
      <c r="E65" s="201"/>
      <c r="F65" s="2481"/>
      <c r="G65" s="2481"/>
      <c r="H65" s="2489"/>
      <c r="I65" s="138"/>
      <c r="J65" s="3164"/>
      <c r="K65" s="2491" t="s">
        <v>2246</v>
      </c>
      <c r="L65" s="1741">
        <f ca="1">IF(M49&gt;1000,M49*0.1%,IF(AND(M49&gt;500,M49&lt;=1000),M49*0.5%,IF(AND(M49&gt;50,M49&lt;=500),M49*1%,IF(AND(M49&gt;1,M49&lt;=50),M49*1.5%))))</f>
        <v>4.327</v>
      </c>
      <c r="M65" s="24">
        <f t="shared" ca="1" si="1"/>
        <v>4.3</v>
      </c>
      <c r="N65" s="138" t="s">
        <v>2244</v>
      </c>
      <c r="Z65" s="2415"/>
      <c r="AI65" s="2416"/>
    </row>
    <row r="66" spans="1:35" ht="14.25" customHeight="1">
      <c r="A66" s="203" t="s">
        <v>772</v>
      </c>
      <c r="B66" s="204" t="s">
        <v>2247</v>
      </c>
      <c r="C66" s="205"/>
      <c r="D66" s="206" t="s">
        <v>32</v>
      </c>
      <c r="E66" s="1765" t="s">
        <v>1366</v>
      </c>
      <c r="F66" s="2481"/>
      <c r="G66" s="2481"/>
      <c r="H66" s="2489"/>
      <c r="I66" s="138"/>
      <c r="J66" s="3164"/>
      <c r="K66" s="2491" t="s">
        <v>2248</v>
      </c>
      <c r="L66" s="1741">
        <f ca="1">M49*0.5%</f>
        <v>21.635000000000002</v>
      </c>
      <c r="M66" s="24">
        <f ca="1">IF(L66&gt;0.5,0.5,ROUND(L66,0))</f>
        <v>0.5</v>
      </c>
      <c r="N66" s="138" t="s">
        <v>2249</v>
      </c>
      <c r="Z66" s="2415"/>
      <c r="AI66" s="2416"/>
    </row>
    <row r="67" spans="1:35" ht="14.25" customHeight="1">
      <c r="A67" s="203" t="s">
        <v>773</v>
      </c>
      <c r="B67" s="204" t="s">
        <v>2250</v>
      </c>
      <c r="C67" s="207">
        <f ca="1">C63-C66</f>
        <v>4121</v>
      </c>
      <c r="D67" s="200" t="s">
        <v>32</v>
      </c>
      <c r="E67" s="201"/>
      <c r="F67" s="2481"/>
      <c r="G67" s="2481"/>
      <c r="H67" s="2489"/>
      <c r="I67" s="138"/>
      <c r="J67" s="3164"/>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231</v>
      </c>
      <c r="D68" s="211">
        <f>'数据-取费表'!B41</f>
        <v>5.6000000000000001E-2</v>
      </c>
      <c r="E68" s="212"/>
      <c r="F68" s="2481"/>
      <c r="G68" s="2481"/>
      <c r="H68" s="2489"/>
      <c r="I68" s="138"/>
      <c r="J68" s="3164"/>
      <c r="K68" s="2491" t="s">
        <v>2253</v>
      </c>
      <c r="L68" s="1741">
        <f ca="1">IF(M49&gt;10000,M49*0.5%,IF(AND(M49&gt;5000,M49&lt;=10000),M49*1%,IF(AND(M49&gt;1000,M49&lt;=5000),M49*2%,IF(AND(M49&gt;200,M49&lt;=1000),M49*3%,M49*5%))))</f>
        <v>86.54</v>
      </c>
      <c r="M68" s="24">
        <f ca="1">ROUND(L68,1)</f>
        <v>86.5</v>
      </c>
      <c r="Z68" s="2415"/>
      <c r="AI68" s="2416"/>
    </row>
    <row r="69" spans="1:35" s="2438" customFormat="1" ht="16.5" customHeight="1">
      <c r="A69" s="2492"/>
      <c r="B69" s="2493"/>
      <c r="C69" s="2494"/>
      <c r="D69" s="2495"/>
      <c r="E69" s="2496"/>
      <c r="F69" s="2158"/>
      <c r="G69" s="2158"/>
      <c r="H69" s="2157"/>
      <c r="I69" s="2410"/>
      <c r="J69" s="3164"/>
      <c r="K69" s="2491" t="s">
        <v>2254</v>
      </c>
      <c r="L69" s="2497"/>
      <c r="M69" s="24">
        <f ca="1">ROUND(SUM(M63:M68),0)</f>
        <v>159</v>
      </c>
      <c r="N69" s="1742">
        <f ca="1">M69/M49</f>
        <v>3.6746013404206149E-2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23" t="s">
        <v>2255</v>
      </c>
      <c r="B70" s="3124"/>
      <c r="C70" s="3124"/>
      <c r="D70" s="3124"/>
      <c r="E70" s="3124"/>
      <c r="F70" s="3124"/>
      <c r="G70" s="3124"/>
      <c r="H70" s="312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2" t="s">
        <v>2236</v>
      </c>
      <c r="B71" s="3103"/>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4121</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25</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97" t="s">
        <v>2264</v>
      </c>
      <c r="F76" s="3074"/>
      <c r="G76" s="3074"/>
      <c r="H76" s="312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25</v>
      </c>
      <c r="D78" s="226">
        <f>'数据-取费表'!B43</f>
        <v>6.000000000000001E-3</v>
      </c>
      <c r="E78" s="3083" t="s">
        <v>2269</v>
      </c>
      <c r="F78" s="3084"/>
      <c r="G78" s="3084"/>
      <c r="H78" s="309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4096</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163.84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2449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3" t="s">
        <v>2273</v>
      </c>
      <c r="B83" s="3124"/>
      <c r="C83" s="3124"/>
      <c r="D83" s="3124"/>
      <c r="E83" s="3124"/>
      <c r="F83" s="3124"/>
      <c r="G83" s="3124"/>
      <c r="H83" s="312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2" t="s">
        <v>2236</v>
      </c>
      <c r="B84" s="3103"/>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4121</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25</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3056</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167" t="s">
        <v>3058</v>
      </c>
      <c r="H90" s="3168"/>
      <c r="I90" s="2504"/>
      <c r="J90" s="2959" t="s">
        <v>3057</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83" t="s">
        <v>2282</v>
      </c>
      <c r="F91" s="3084"/>
      <c r="G91" s="3084"/>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83" t="s">
        <v>2286</v>
      </c>
      <c r="F92" s="3084"/>
      <c r="G92" s="3084"/>
      <c r="H92" s="309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25</v>
      </c>
      <c r="D93" s="226">
        <f>'数据-取费表'!B43</f>
        <v>6.000000000000001E-3</v>
      </c>
      <c r="E93" s="3083" t="s">
        <v>2269</v>
      </c>
      <c r="F93" s="3084"/>
      <c r="G93" s="3084"/>
      <c r="H93" s="309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94" t="s">
        <v>2290</v>
      </c>
      <c r="F94" s="3095"/>
      <c r="G94" s="3095"/>
      <c r="H94" s="309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4096</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163.84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2449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68" t="s">
        <v>2292</v>
      </c>
      <c r="B100" s="3069"/>
      <c r="C100" s="3069"/>
      <c r="D100" s="3085"/>
      <c r="E100" s="3069" t="s">
        <v>2293</v>
      </c>
      <c r="F100" s="3069"/>
      <c r="G100" s="3069"/>
      <c r="H100" s="3085"/>
      <c r="I100" s="138"/>
    </row>
    <row r="101" spans="1:35" ht="18.75" customHeight="1">
      <c r="A101" s="3147" t="s">
        <v>2294</v>
      </c>
      <c r="B101" s="3148"/>
      <c r="C101" s="736" t="str">
        <f>C4</f>
        <v>典型户型修正</v>
      </c>
      <c r="D101" s="737" t="str">
        <f>D4</f>
        <v>收益法 (元)</v>
      </c>
      <c r="E101" s="3161" t="s">
        <v>2295</v>
      </c>
      <c r="F101" s="3115"/>
      <c r="G101" s="2512" t="s">
        <v>2296</v>
      </c>
      <c r="H101" s="1045">
        <f ca="1">H118</f>
        <v>4327</v>
      </c>
      <c r="I101" s="138"/>
    </row>
    <row r="102" spans="1:35" ht="18.75" customHeight="1">
      <c r="A102" s="3117" t="s">
        <v>2297</v>
      </c>
      <c r="B102" s="2512" t="s">
        <v>2296</v>
      </c>
      <c r="C102" s="736">
        <f ca="1">C19</f>
        <v>4967</v>
      </c>
      <c r="D102" s="737">
        <f ca="1">D19</f>
        <v>3803</v>
      </c>
      <c r="E102" s="3161"/>
      <c r="F102" s="3115"/>
      <c r="G102" s="2512" t="s">
        <v>2298</v>
      </c>
      <c r="H102" s="371">
        <f ca="1">I118</f>
        <v>30935</v>
      </c>
      <c r="I102" s="138"/>
    </row>
    <row r="103" spans="1:35" ht="42.75" customHeight="1">
      <c r="A103" s="3117"/>
      <c r="B103" s="2512" t="s">
        <v>2298</v>
      </c>
      <c r="C103" s="738">
        <f ca="1">C20</f>
        <v>35511</v>
      </c>
      <c r="D103" s="739">
        <f ca="1">D20</f>
        <v>27188</v>
      </c>
      <c r="E103" s="3156" t="s">
        <v>2299</v>
      </c>
      <c r="F103" s="3157"/>
      <c r="G103" s="2513" t="s">
        <v>2300</v>
      </c>
      <c r="H103" s="1045">
        <f>IF(D36="正常操作",H104+H105+H106,H105+H106)</f>
        <v>0</v>
      </c>
      <c r="I103" s="138"/>
    </row>
    <row r="104" spans="1:35" ht="18.75" customHeight="1">
      <c r="A104" s="3117" t="s">
        <v>2301</v>
      </c>
      <c r="B104" s="2514" t="s">
        <v>2296</v>
      </c>
      <c r="C104" s="740">
        <f ca="1">H118</f>
        <v>4327</v>
      </c>
      <c r="D104" s="741"/>
      <c r="E104" s="2259" t="s">
        <v>2302</v>
      </c>
      <c r="F104" s="2250"/>
      <c r="G104" s="2513" t="s">
        <v>2300</v>
      </c>
      <c r="H104" s="1046">
        <f>IF(D36="同一抵押权人同一抵押物续贷",C36&amp;"（未扣减，详见特别提示）",C36)</f>
        <v>0</v>
      </c>
      <c r="I104" s="138"/>
    </row>
    <row r="105" spans="1:35" ht="18.75" customHeight="1" thickBot="1">
      <c r="A105" s="3118"/>
      <c r="B105" s="2515" t="s">
        <v>2298</v>
      </c>
      <c r="C105" s="742">
        <f ca="1">I118</f>
        <v>30935</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114" t="str">
        <f>IF(项目基本情况!E8="已注销","——","3.房地产抵押价值")</f>
        <v>3.房地产抵押价值</v>
      </c>
      <c r="F107" s="3115"/>
      <c r="G107" s="2512" t="s">
        <v>2296</v>
      </c>
      <c r="H107" s="1045">
        <f ca="1">IF(E107="——","——",H101-H103)</f>
        <v>4327</v>
      </c>
      <c r="I107" s="138"/>
    </row>
    <row r="108" spans="1:35" ht="18.75" customHeight="1">
      <c r="A108" s="138"/>
      <c r="B108" s="138"/>
      <c r="C108" s="138"/>
      <c r="D108" s="138"/>
      <c r="E108" s="3114"/>
      <c r="F108" s="3115"/>
      <c r="G108" s="2512" t="s">
        <v>2298</v>
      </c>
      <c r="H108" s="371">
        <f ca="1">ROUND(H107*10000/'数据-汇总表'!E3,0)</f>
        <v>30935</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12" t="s">
        <v>2296</v>
      </c>
      <c r="H109" s="348" t="str">
        <f>IF(E109="——","——",H101-H105-H106)</f>
        <v>——</v>
      </c>
      <c r="I109" s="138"/>
    </row>
    <row r="110" spans="1:35" ht="18.75" customHeight="1">
      <c r="A110" s="138"/>
      <c r="B110" s="138"/>
      <c r="C110" s="138"/>
      <c r="D110" s="138"/>
      <c r="E110" s="3114"/>
      <c r="F110" s="3115"/>
      <c r="G110" s="2512" t="s">
        <v>2298</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2" t="s">
        <v>2296</v>
      </c>
      <c r="H111" s="1045" t="str">
        <f>IF(E111="——","——",N59)</f>
        <v>——</v>
      </c>
      <c r="I111" s="138"/>
    </row>
    <row r="112" spans="1:35" ht="18.75" customHeight="1" thickBot="1">
      <c r="A112" s="138"/>
      <c r="B112" s="138"/>
      <c r="C112" s="138"/>
      <c r="D112" s="138"/>
      <c r="E112" s="3151"/>
      <c r="F112" s="3152"/>
      <c r="G112" s="2517" t="s">
        <v>2298</v>
      </c>
      <c r="H112" s="790" t="str">
        <f>IF(E111="——","——",N61)</f>
        <v>——</v>
      </c>
      <c r="I112" s="138"/>
    </row>
    <row r="113" spans="1:11" ht="18.75" customHeight="1">
      <c r="A113" s="138"/>
      <c r="B113" s="138"/>
      <c r="C113" s="138"/>
      <c r="D113" s="138"/>
      <c r="E113" s="3119" t="s">
        <v>2304</v>
      </c>
      <c r="F113" s="3119"/>
      <c r="G113" s="3119"/>
      <c r="H113" s="3119"/>
      <c r="I113" s="138"/>
    </row>
    <row r="114" spans="1:11" ht="3.75" customHeight="1">
      <c r="A114" s="2410"/>
      <c r="B114" s="2410"/>
      <c r="C114" s="2410"/>
      <c r="D114" s="2410"/>
      <c r="E114" s="2488"/>
      <c r="F114" s="2488"/>
      <c r="G114" s="2488"/>
      <c r="H114" s="2488"/>
      <c r="I114" s="2410"/>
    </row>
    <row r="115" spans="1:11" ht="18.75" customHeight="1">
      <c r="A115" s="3132" t="s">
        <v>2306</v>
      </c>
      <c r="B115" s="3133"/>
      <c r="C115" s="3133"/>
      <c r="D115" s="3133"/>
      <c r="E115" s="3133"/>
      <c r="F115" s="3133"/>
      <c r="G115" s="3133"/>
      <c r="H115" s="3133"/>
      <c r="I115" s="3134"/>
    </row>
    <row r="116" spans="1:11" ht="27" customHeight="1">
      <c r="A116" s="3025" t="s">
        <v>2307</v>
      </c>
      <c r="B116" s="3120" t="s">
        <v>2308</v>
      </c>
      <c r="C116" s="3120" t="s">
        <v>2309</v>
      </c>
      <c r="D116" s="3136" t="s">
        <v>2310</v>
      </c>
      <c r="E116" s="3137"/>
      <c r="F116" s="3128" t="s">
        <v>2311</v>
      </c>
      <c r="G116" s="3128"/>
      <c r="H116" s="3025" t="s">
        <v>2312</v>
      </c>
      <c r="I116" s="3025"/>
    </row>
    <row r="117" spans="1:11" ht="18.75" customHeight="1">
      <c r="A117" s="3025"/>
      <c r="B117" s="3121"/>
      <c r="C117" s="3121"/>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1398.7300000000002</v>
      </c>
      <c r="C118" s="1787">
        <f>M19</f>
        <v>1281.4000000000001</v>
      </c>
      <c r="D118" s="1787">
        <f ca="1">ROUND(IF(D32="总价",C34,E118*B118/10000),0)</f>
        <v>303</v>
      </c>
      <c r="E118" s="1787">
        <f ca="1">ROUND(IF(C33="自定义",IF(D32="楼面单价",C34,D118*10000/B118),I118-G118),0)</f>
        <v>2166</v>
      </c>
      <c r="F118" s="1787">
        <f ca="1">ROUND(IF(D32="总价",C35,G118*B118/10000),0)</f>
        <v>4024</v>
      </c>
      <c r="G118" s="1787">
        <f ca="1">ROUND(IF(D32="楼面单价",C35,F118*10000/B118),0)</f>
        <v>28769</v>
      </c>
      <c r="H118" s="1787">
        <f ca="1">ROUND(IF(D32="总价",C32,I118*B118/10000),0)</f>
        <v>4327</v>
      </c>
      <c r="I118" s="1787">
        <f ca="1">ROUND(IF(D32="楼面单价",C32,H118*10000/B118),0)</f>
        <v>30935</v>
      </c>
    </row>
    <row r="119" spans="1:11" ht="18.75" customHeight="1">
      <c r="A119" s="3025" t="s">
        <v>2316</v>
      </c>
      <c r="B119" s="3025"/>
      <c r="C119" s="3025"/>
      <c r="D119" s="3125" t="str">
        <f ca="1">NUMBERSTRING(INT(D118*10000),2)&amp;"元整"</f>
        <v>叁佰零叁万元整</v>
      </c>
      <c r="E119" s="3127"/>
      <c r="F119" s="3125" t="str">
        <f ca="1">NUMBERSTRING(INT(F118*10000),2)&amp;"元整"</f>
        <v>肆仟零贰拾肆万元整</v>
      </c>
      <c r="G119" s="3127"/>
      <c r="H119" s="3125" t="str">
        <f ca="1">NUMBERSTRING(INT(H118*10000),2)&amp;"元整"</f>
        <v>肆仟叁佰贰拾柒万元整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5" t="str">
        <f>IF(D120=0,"故，本次评估不存在"&amp;A120,"故，本次评估"&amp;A120&amp;"为人民币"&amp;D120&amp;"万元整。")</f>
        <v>故，本次评估不存在估价师知悉的法定优先受偿款</v>
      </c>
    </row>
    <row r="121" spans="1:11" ht="18.75" customHeight="1">
      <c r="A121" s="3129" t="s">
        <v>2316</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4327</v>
      </c>
      <c r="E122" s="3154"/>
      <c r="F122" s="3154"/>
      <c r="G122" s="3154"/>
      <c r="H122" s="3154"/>
      <c r="I122" s="3155"/>
    </row>
    <row r="123" spans="1:11" ht="18.75" customHeight="1">
      <c r="A123" s="3025" t="s">
        <v>2316</v>
      </c>
      <c r="B123" s="3025"/>
      <c r="C123" s="3025"/>
      <c r="D123" s="3125" t="str">
        <f ca="1">NUMBERSTRING(INT(D122*10000),2)&amp;"元整"</f>
        <v>肆仟叁佰贰拾柒万元整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2316</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2316</v>
      </c>
      <c r="B127" s="3025"/>
      <c r="C127" s="3025"/>
      <c r="D127" s="3125" t="e">
        <f>NUMBERSTRING(INT(D126*10000),2)&amp;"元整"</f>
        <v>#VALUE!</v>
      </c>
      <c r="E127" s="3126"/>
      <c r="F127" s="3126"/>
      <c r="G127" s="3126"/>
      <c r="H127" s="3126"/>
      <c r="I127" s="3127"/>
    </row>
    <row r="128" spans="1:11" ht="21.75" customHeight="1">
      <c r="A128" s="3135" t="s">
        <v>2317</v>
      </c>
      <c r="B128" s="3135"/>
      <c r="C128" s="3135"/>
      <c r="D128" s="3135"/>
      <c r="E128" s="3135"/>
      <c r="F128" s="3135"/>
      <c r="G128" s="3135"/>
      <c r="H128" s="3135"/>
      <c r="I128" s="3135"/>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585</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4182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4"/>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5"/>
      <c r="H9" s="1390"/>
      <c r="I9" s="2546" t="s">
        <v>2343</v>
      </c>
    </row>
    <row r="10" spans="1:9" s="258" customFormat="1" ht="13.5" customHeight="1">
      <c r="A10" s="950" t="s">
        <v>801</v>
      </c>
      <c r="B10" s="268" t="s">
        <v>2344</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28</v>
      </c>
      <c r="D19" s="1036">
        <f ca="1">D9+D10</f>
        <v>1398.7300000000002</v>
      </c>
      <c r="E19" s="255">
        <f>'数据-取费表'!B31</f>
        <v>200</v>
      </c>
      <c r="F19" s="275"/>
      <c r="G19" s="2544"/>
    </row>
    <row r="20" spans="1:7" s="258" customFormat="1" ht="13.5" customHeight="1">
      <c r="A20" s="299" t="s">
        <v>2357</v>
      </c>
      <c r="B20" s="254" t="s">
        <v>2358</v>
      </c>
      <c r="C20" s="276">
        <f ca="1">ROUND((C5+C19)*F20,0)</f>
        <v>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3</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3</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6</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438</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2390</v>
      </c>
    </row>
    <row r="35" spans="1:7" ht="13.5" customHeight="1">
      <c r="A35" s="951" t="s">
        <v>796</v>
      </c>
      <c r="B35" s="259" t="s">
        <v>2391</v>
      </c>
      <c r="C35" s="264">
        <f ca="1">ROUND(C34*F35,0)</f>
        <v>12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28</v>
      </c>
      <c r="D37" s="261">
        <f ca="1">D19</f>
        <v>1398.7300000000002</v>
      </c>
      <c r="E37" s="293">
        <f>'数据-取费表'!B35</f>
        <v>200</v>
      </c>
      <c r="F37" s="303"/>
      <c r="G37" s="305" t="s">
        <v>2396</v>
      </c>
    </row>
    <row r="38" spans="1:7" ht="13.5" customHeight="1">
      <c r="A38" s="951" t="s">
        <v>799</v>
      </c>
      <c r="B38" s="259" t="s">
        <v>2397</v>
      </c>
      <c r="C38" s="264">
        <f ca="1">ROUND(C34*F38,0)</f>
        <v>6</v>
      </c>
      <c r="D38" s="264"/>
      <c r="E38" s="264"/>
      <c r="F38" s="303">
        <f>'数据-取费表'!B36</f>
        <v>1.4999999999999999E-2</v>
      </c>
      <c r="G38" s="263" t="s">
        <v>2392</v>
      </c>
    </row>
    <row r="39" spans="1:7" s="258" customFormat="1" ht="13.5" customHeight="1">
      <c r="A39" s="299" t="s">
        <v>2398</v>
      </c>
      <c r="B39" s="254" t="s">
        <v>2399</v>
      </c>
      <c r="C39" s="276">
        <f ca="1">ROUND(C33*F20,0)</f>
        <v>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21</v>
      </c>
      <c r="D42" s="282"/>
      <c r="E42" s="282"/>
      <c r="F42" s="283"/>
      <c r="G42" s="3169" t="s">
        <v>2408</v>
      </c>
    </row>
    <row r="43" spans="1:7" ht="13.5" customHeight="1">
      <c r="A43" s="951" t="s">
        <v>792</v>
      </c>
      <c r="B43" s="259" t="s">
        <v>2409</v>
      </c>
      <c r="C43" s="282">
        <f ca="1">ROUND(IF('数据-取费表'!B22&lt;=1,C39*F22*'数据-取费表'!B21/2,C39*(POWER((1+F22),'数据-取费表'!B21/2)-1)),0)</f>
        <v>0</v>
      </c>
      <c r="D43" s="282"/>
      <c r="E43" s="282"/>
      <c r="F43" s="283"/>
      <c r="G43" s="3170"/>
    </row>
    <row r="44" spans="1:7" ht="13.5" customHeight="1">
      <c r="A44" s="951" t="s">
        <v>793</v>
      </c>
      <c r="B44" s="259" t="s">
        <v>2410</v>
      </c>
      <c r="C44" s="282">
        <f ca="1">ROUND(IF('数据-取费表'!B22&lt;=1,C40*F22*'数据-取费表'!B21/2,C40*(POWER((1+F22),'数据-取费表'!B21/2)-1)),4)</f>
        <v>1E-3</v>
      </c>
      <c r="D44" s="282"/>
      <c r="E44" s="282"/>
      <c r="F44" s="283"/>
      <c r="G44" s="3171"/>
    </row>
    <row r="45" spans="1:7" s="258" customFormat="1" ht="13.5" customHeight="1">
      <c r="A45" s="299" t="s">
        <v>2411</v>
      </c>
      <c r="B45" s="288" t="s">
        <v>2377</v>
      </c>
      <c r="C45" s="289">
        <f ca="1">C46</f>
        <v>89</v>
      </c>
      <c r="D45" s="279">
        <f ca="1">C47</f>
        <v>4.0000000000000001E-3</v>
      </c>
      <c r="E45" s="280" t="s">
        <v>2403</v>
      </c>
      <c r="F45" s="290"/>
      <c r="G45" s="291" t="s">
        <v>2412</v>
      </c>
    </row>
    <row r="46" spans="1:7" s="258" customFormat="1" ht="13.5" customHeight="1">
      <c r="A46" s="951" t="s">
        <v>791</v>
      </c>
      <c r="B46" s="292" t="s">
        <v>2413</v>
      </c>
      <c r="C46" s="293">
        <f ca="1">ROUND((C33+C39)*F27,0)</f>
        <v>89</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604</v>
      </c>
      <c r="D49" s="276"/>
      <c r="E49" s="276"/>
      <c r="F49" s="308"/>
      <c r="G49" s="278" t="s">
        <v>2418</v>
      </c>
    </row>
    <row r="50" spans="1:7" s="302" customFormat="1" ht="24">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544</v>
      </c>
      <c r="D51" s="276"/>
      <c r="E51" s="276"/>
      <c r="F51" s="308"/>
      <c r="G51" s="278" t="s">
        <v>2424</v>
      </c>
    </row>
    <row r="52" spans="1:7" s="252" customFormat="1" ht="16.5" thickBot="1">
      <c r="A52" s="309" t="s">
        <v>2425</v>
      </c>
      <c r="B52" s="310"/>
      <c r="C52" s="311">
        <f ca="1">C31+C51</f>
        <v>585</v>
      </c>
      <c r="D52" s="310"/>
      <c r="E52" s="310"/>
      <c r="F52" s="310"/>
      <c r="G52" s="312"/>
    </row>
    <row r="55" spans="1:7" ht="15">
      <c r="B55" s="314" t="s">
        <v>2426</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北京市房地产抵押价值预评估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624</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4461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279746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279746</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279746</v>
      </c>
      <c r="D19" s="1036">
        <f ca="1">D9+D10</f>
        <v>1398.7300000000002</v>
      </c>
      <c r="E19" s="255">
        <f>'数据-取费表'!B31</f>
        <v>200</v>
      </c>
      <c r="F19" s="275"/>
      <c r="G19" s="2544"/>
    </row>
    <row r="20" spans="1:7" s="258" customFormat="1" ht="13.5" customHeight="1">
      <c r="A20" s="299" t="s">
        <v>2438</v>
      </c>
      <c r="B20" s="254" t="s">
        <v>2439</v>
      </c>
      <c r="C20" s="276">
        <f ca="1">ROUND((C5+C19)*F20,0)</f>
        <v>11190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54946</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27207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27207</v>
      </c>
      <c r="D24" s="282"/>
      <c r="E24" s="282"/>
      <c r="F24" s="283"/>
      <c r="G24" s="284" t="s">
        <v>2450</v>
      </c>
    </row>
    <row r="25" spans="1:7" s="258" customFormat="1" ht="24">
      <c r="A25" s="951" t="s">
        <v>2340</v>
      </c>
      <c r="B25" s="259" t="s">
        <v>2451</v>
      </c>
      <c r="C25" s="1381">
        <f ca="1">ROUND(IF('数据-取费表'!B22&lt;=1,C20*F22*'数据-取费表'!B22/2,C20*(POWER((1+F22),'数据-取费表'!B22/2)-1)),0)</f>
        <v>532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114136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114136</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802608</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4372430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2391</v>
      </c>
      <c r="C35" s="264">
        <f ca="1">ROUND(C34*F35,0)</f>
        <v>117493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279746</v>
      </c>
      <c r="D37" s="261">
        <f ca="1">D19</f>
        <v>1398.7300000000002</v>
      </c>
      <c r="E37" s="293">
        <f>'数据-取费表'!B35</f>
        <v>200</v>
      </c>
      <c r="F37" s="303"/>
      <c r="G37" s="305"/>
    </row>
    <row r="38" spans="1:7" ht="13.5" customHeight="1">
      <c r="A38" s="951" t="s">
        <v>799</v>
      </c>
      <c r="B38" s="259" t="s">
        <v>2397</v>
      </c>
      <c r="C38" s="264">
        <f ca="1">ROUND(C34*F38,0)</f>
        <v>58747</v>
      </c>
      <c r="D38" s="264"/>
      <c r="E38" s="264"/>
      <c r="F38" s="303">
        <f>'数据-取费表'!B36</f>
        <v>1.4999999999999999E-2</v>
      </c>
      <c r="G38" s="263" t="s">
        <v>2392</v>
      </c>
    </row>
    <row r="39" spans="1:7" s="258" customFormat="1" ht="13.5" customHeight="1">
      <c r="A39" s="299" t="s">
        <v>2398</v>
      </c>
      <c r="B39" s="254" t="s">
        <v>2399</v>
      </c>
      <c r="C39" s="276">
        <f ca="1">ROUND(C33*F20,0)</f>
        <v>87449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211844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207690</v>
      </c>
      <c r="D42" s="282"/>
      <c r="E42" s="282"/>
      <c r="F42" s="283"/>
      <c r="G42" s="3169" t="s">
        <v>2455</v>
      </c>
    </row>
    <row r="43" spans="1:7" ht="13.5" customHeight="1">
      <c r="A43" s="951" t="s">
        <v>792</v>
      </c>
      <c r="B43" s="259" t="s">
        <v>2409</v>
      </c>
      <c r="C43" s="282">
        <f ca="1">ROUND(IF('数据-取费表'!B22&lt;=1,C39*F22*'数据-取费表'!B20/2,C39*(POWER((1+F22),'数据-取费表'!B20/2)-1)),0)</f>
        <v>4154</v>
      </c>
      <c r="D43" s="282"/>
      <c r="E43" s="282"/>
      <c r="F43" s="283"/>
      <c r="G43" s="3170"/>
    </row>
    <row r="44" spans="1:7" ht="13.5" customHeight="1">
      <c r="A44" s="951" t="s">
        <v>793</v>
      </c>
      <c r="B44" s="259" t="s">
        <v>2410</v>
      </c>
      <c r="C44" s="282">
        <f ca="1">ROUND(IF('数据-取费表'!B22&lt;=1,C40*F22*'数据-取费表'!B20/2,C40*(POWER((1+F22),'数据-取费表'!B20/2)-1)),4)</f>
        <v>1E-3</v>
      </c>
      <c r="D44" s="282"/>
      <c r="E44" s="282"/>
      <c r="F44" s="283"/>
      <c r="G44" s="3171"/>
    </row>
    <row r="45" spans="1:7" s="258" customFormat="1" ht="13.5" customHeight="1">
      <c r="A45" s="299" t="s">
        <v>2411</v>
      </c>
      <c r="B45" s="288" t="s">
        <v>2377</v>
      </c>
      <c r="C45" s="289">
        <f ca="1">C46</f>
        <v>891976</v>
      </c>
      <c r="D45" s="279">
        <f ca="1">C47</f>
        <v>4.0000000000000001E-3</v>
      </c>
      <c r="E45" s="280" t="s">
        <v>2403</v>
      </c>
      <c r="F45" s="290"/>
      <c r="G45" s="291" t="s">
        <v>2412</v>
      </c>
    </row>
    <row r="46" spans="1:7" s="258" customFormat="1" ht="13.5" customHeight="1">
      <c r="A46" s="951" t="s">
        <v>791</v>
      </c>
      <c r="B46" s="292" t="s">
        <v>2413</v>
      </c>
      <c r="C46" s="293">
        <f ca="1">ROUND((C33+C39)*F27,0)</f>
        <v>891976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6036345</v>
      </c>
      <c r="D49" s="276"/>
      <c r="E49" s="276"/>
      <c r="F49" s="308"/>
      <c r="G49" s="278" t="s">
        <v>2418</v>
      </c>
    </row>
    <row r="50" spans="1:7" s="302" customFormat="1">
      <c r="A50" s="299" t="s">
        <v>2419</v>
      </c>
      <c r="B50" s="254" t="s">
        <v>2420</v>
      </c>
      <c r="C50" s="276"/>
      <c r="D50" s="276"/>
      <c r="E50" s="276"/>
      <c r="F50" s="308">
        <f>IF('数据-取费表'!B24=0,'数据-取费表'!N16,1)</f>
        <v>0.9</v>
      </c>
      <c r="G50" s="291"/>
    </row>
    <row r="51" spans="1:7" ht="16.5" customHeight="1">
      <c r="A51" s="299" t="s">
        <v>2422</v>
      </c>
      <c r="B51" s="254" t="s">
        <v>2457</v>
      </c>
      <c r="C51" s="276">
        <f ca="1">ROUND(C49*F50,0)</f>
        <v>5432711</v>
      </c>
      <c r="D51" s="276"/>
      <c r="E51" s="276"/>
      <c r="F51" s="308"/>
      <c r="G51" s="278" t="s">
        <v>2424</v>
      </c>
    </row>
    <row r="52" spans="1:7" s="252" customFormat="1" ht="16.5" thickBot="1">
      <c r="A52" s="309" t="s">
        <v>2425</v>
      </c>
      <c r="B52" s="310"/>
      <c r="C52" s="311">
        <f ca="1">C31+C51</f>
        <v>6235319</v>
      </c>
      <c r="D52" s="310"/>
      <c r="E52" s="310"/>
      <c r="F52" s="310"/>
      <c r="G52" s="312"/>
    </row>
    <row r="55" spans="1:7" ht="15">
      <c r="B55" s="314" t="s">
        <v>2426</v>
      </c>
      <c r="C55" s="315"/>
    </row>
    <row r="56" spans="1:7">
      <c r="B56" s="317" t="s">
        <v>1507</v>
      </c>
      <c r="C56" s="319">
        <f ca="1">1-C57</f>
        <v>0.129</v>
      </c>
    </row>
    <row r="57" spans="1:7">
      <c r="B57" s="317" t="s">
        <v>1508</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-34</v>
      </c>
      <c r="C2" s="320" t="s">
        <v>2459</v>
      </c>
      <c r="D2" s="320"/>
      <c r="E2" s="320"/>
      <c r="F2" s="320"/>
      <c r="G2" s="320"/>
      <c r="H2" s="320"/>
      <c r="I2" s="320"/>
      <c r="J2" s="320"/>
      <c r="K2" s="320"/>
    </row>
    <row r="3" spans="1:33" ht="18" customHeight="1" thickBot="1">
      <c r="A3" s="247" t="s">
        <v>2328</v>
      </c>
      <c r="B3" s="248">
        <f ca="1">ROUND(B2*10000/IF(C1="",'数据-汇总表'!E3,INDIRECT("'数据-取费表'!K"&amp;$K$1)),0)</f>
        <v>-243</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1398.7300000000002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1398.7300000000002</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28</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2495</v>
      </c>
      <c r="C21" s="986">
        <f ca="1">C16+C17+C18</f>
        <v>28</v>
      </c>
      <c r="D21" s="987"/>
      <c r="E21" s="325"/>
      <c r="F21" s="325"/>
      <c r="G21" s="140" t="s">
        <v>2496</v>
      </c>
      <c r="H21" s="979"/>
      <c r="I21" s="979"/>
      <c r="J21" s="979"/>
      <c r="K21" s="980"/>
    </row>
    <row r="22" spans="1:33" s="975" customFormat="1" ht="13.5" customHeight="1">
      <c r="A22" s="961" t="s">
        <v>2468</v>
      </c>
      <c r="B22" s="985" t="s">
        <v>2497</v>
      </c>
      <c r="C22" s="986">
        <f ca="1">ROUND(C21*F22,0)</f>
        <v>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6</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-34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174" t="s">
        <v>1397</v>
      </c>
      <c r="C6" s="1296">
        <f ca="1">ROUND(F6*F8*F7*(1-F9)/10000,0)</f>
        <v>0</v>
      </c>
      <c r="D6" s="164" t="s">
        <v>3029</v>
      </c>
      <c r="E6" s="347" t="s">
        <v>1399</v>
      </c>
      <c r="F6" s="348">
        <f ca="1">INDIRECT("'数据-取费表'!u"&amp;$G$1)</f>
        <v>0</v>
      </c>
      <c r="G6" s="1843"/>
      <c r="H6" s="1291" t="s">
        <v>1031</v>
      </c>
      <c r="I6" s="3174" t="s">
        <v>1397</v>
      </c>
      <c r="J6" s="346">
        <f ca="1">ROUND(M6*M8*M7*(1-M9)/10000,0)</f>
        <v>0</v>
      </c>
      <c r="K6" s="164" t="s">
        <v>3028</v>
      </c>
      <c r="L6" s="347" t="s">
        <v>1399</v>
      </c>
      <c r="M6" s="348">
        <f ca="1">INDIRECT("'数据-取费表'!z"&amp;$G$1)</f>
        <v>0</v>
      </c>
    </row>
    <row r="7" spans="1:37" ht="18" customHeight="1">
      <c r="A7" s="1295"/>
      <c r="B7" s="3175"/>
      <c r="C7" s="1297"/>
      <c r="D7" s="352"/>
      <c r="E7" s="1298" t="s">
        <v>1400</v>
      </c>
      <c r="F7" s="348">
        <f ca="1">IF(INDIRECT("'数据-取费表'!ah"&amp;$G$1)="",INDIRECT("'数据-取费表'!k"&amp;$G$1),INDIRECT("'数据-取费表'!ah"&amp;$G$1))</f>
        <v>0</v>
      </c>
      <c r="G7" s="1843"/>
      <c r="H7" s="349"/>
      <c r="I7" s="3175"/>
      <c r="J7" s="351"/>
      <c r="K7" s="352"/>
      <c r="L7" s="347" t="s">
        <v>1400</v>
      </c>
      <c r="M7" s="348">
        <f ca="1">F7</f>
        <v>0</v>
      </c>
    </row>
    <row r="8" spans="1:37" ht="18" customHeight="1">
      <c r="A8" s="349"/>
      <c r="B8" s="3175"/>
      <c r="C8" s="351"/>
      <c r="D8" s="352"/>
      <c r="E8" s="347" t="s">
        <v>1401</v>
      </c>
      <c r="F8" s="348">
        <f ca="1">INDIRECT("'数据-取费表'!ai"&amp;$G$1)</f>
        <v>0</v>
      </c>
      <c r="G8" s="1843"/>
      <c r="H8" s="349"/>
      <c r="I8" s="3175"/>
      <c r="J8" s="351"/>
      <c r="K8" s="352"/>
      <c r="L8" s="347" t="s">
        <v>1401</v>
      </c>
      <c r="M8" s="348">
        <f ca="1">INDIRECT("'数据-取费表'!ai"&amp;$G$1)</f>
        <v>0</v>
      </c>
    </row>
    <row r="9" spans="1:37" ht="18" customHeight="1">
      <c r="A9" s="349"/>
      <c r="B9" s="3176"/>
      <c r="C9" s="351"/>
      <c r="D9" s="352"/>
      <c r="E9" s="347" t="s">
        <v>1402</v>
      </c>
      <c r="F9" s="357">
        <f ca="1">INDIRECT("'数据-取费表'!w"&amp;$G$1)</f>
        <v>0</v>
      </c>
      <c r="G9" s="1843"/>
      <c r="H9" s="349"/>
      <c r="I9" s="317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172" t="s">
        <v>1542</v>
      </c>
      <c r="L53" s="3173"/>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47" sqref="A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30.8</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3803</v>
      </c>
      <c r="C2" s="1837" t="s">
        <v>1585</v>
      </c>
      <c r="D2" s="1929">
        <f ca="1">C40+J29+L46</f>
        <v>38028508</v>
      </c>
      <c r="E2" s="1838" t="s">
        <v>1586</v>
      </c>
      <c r="F2" s="1839"/>
      <c r="G2" s="1840"/>
      <c r="H2" s="1832"/>
      <c r="I2" s="1832"/>
      <c r="J2" s="1832"/>
      <c r="K2" s="1833"/>
      <c r="L2" s="1832"/>
      <c r="M2" s="1832"/>
    </row>
    <row r="3" spans="1:37" ht="18" customHeight="1" thickBot="1">
      <c r="A3" s="1841" t="s">
        <v>1587</v>
      </c>
      <c r="B3" s="1842">
        <f ca="1">IF(ISERROR(D2/F43),0,ROUND(D2/F43,0))</f>
        <v>27188</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2627437</v>
      </c>
      <c r="D5" s="1814" t="s">
        <v>1595</v>
      </c>
      <c r="E5" s="1293"/>
      <c r="F5" s="1294"/>
      <c r="G5" s="1843"/>
      <c r="H5" s="344">
        <v>1</v>
      </c>
      <c r="I5" s="345" t="s">
        <v>1594</v>
      </c>
      <c r="J5" s="1292">
        <f ca="1">J6+J10+J12</f>
        <v>2668331</v>
      </c>
      <c r="K5" s="1814" t="s">
        <v>1595</v>
      </c>
      <c r="L5" s="1293"/>
      <c r="M5" s="1294"/>
    </row>
    <row r="6" spans="1:37" ht="18" customHeight="1">
      <c r="A6" s="1291" t="s">
        <v>1031</v>
      </c>
      <c r="B6" s="3174" t="s">
        <v>1397</v>
      </c>
      <c r="C6" s="1296">
        <f ca="1">ROUND(F6*F8*F7*(1-F9),0)</f>
        <v>2624157</v>
      </c>
      <c r="D6" s="164" t="s">
        <v>3026</v>
      </c>
      <c r="E6" s="347" t="s">
        <v>1399</v>
      </c>
      <c r="F6" s="348">
        <f ca="1">INDIRECT("'数据-取费表'!u"&amp;$G$1)</f>
        <v>5.14</v>
      </c>
      <c r="G6" s="1843"/>
      <c r="H6" s="1291" t="s">
        <v>1031</v>
      </c>
      <c r="I6" s="3174" t="s">
        <v>1397</v>
      </c>
      <c r="J6" s="346">
        <f ca="1">ROUND(M6*M8*M7*(1-M9),0)</f>
        <v>2665000</v>
      </c>
      <c r="K6" s="1826" t="s">
        <v>3027</v>
      </c>
      <c r="L6" s="347" t="s">
        <v>1399</v>
      </c>
      <c r="M6" s="348">
        <f ca="1">INDIRECT("'数据-取费表'!z"&amp;$G$1)</f>
        <v>5.8</v>
      </c>
    </row>
    <row r="7" spans="1:37" ht="18" customHeight="1">
      <c r="A7" s="1295"/>
      <c r="B7" s="3175"/>
      <c r="C7" s="1297"/>
      <c r="D7" s="352"/>
      <c r="E7" s="1298" t="s">
        <v>1400</v>
      </c>
      <c r="F7" s="348">
        <f ca="1">IF(INDIRECT("'数据-取费表'!ah"&amp;$G$1)="",INDIRECT("'数据-取费表'!k"&amp;$G$1),INDIRECT("'数据-取费表'!ah"&amp;$G$1))</f>
        <v>1398.7300000000002</v>
      </c>
      <c r="G7" s="1843"/>
      <c r="H7" s="349"/>
      <c r="I7" s="3175"/>
      <c r="J7" s="351"/>
      <c r="K7" s="352"/>
      <c r="L7" s="347" t="s">
        <v>1400</v>
      </c>
      <c r="M7" s="348">
        <f ca="1">F7</f>
        <v>1398.7300000000002</v>
      </c>
    </row>
    <row r="8" spans="1:37" ht="18" customHeight="1">
      <c r="A8" s="349"/>
      <c r="B8" s="3175"/>
      <c r="C8" s="351"/>
      <c r="D8" s="352"/>
      <c r="E8" s="347" t="s">
        <v>1401</v>
      </c>
      <c r="F8" s="348">
        <f ca="1">INDIRECT("'数据-取费表'!ai"&amp;$G$1)</f>
        <v>365</v>
      </c>
      <c r="G8" s="1843"/>
      <c r="H8" s="349"/>
      <c r="I8" s="3175"/>
      <c r="J8" s="351"/>
      <c r="K8" s="352"/>
      <c r="L8" s="347" t="s">
        <v>1401</v>
      </c>
      <c r="M8" s="348">
        <f ca="1">INDIRECT("'数据-取费表'!ai"&amp;$G$1)</f>
        <v>365</v>
      </c>
    </row>
    <row r="9" spans="1:37" ht="18" customHeight="1">
      <c r="A9" s="349"/>
      <c r="B9" s="3176"/>
      <c r="C9" s="351"/>
      <c r="D9" s="352"/>
      <c r="E9" s="347" t="s">
        <v>1402</v>
      </c>
      <c r="F9" s="357">
        <f ca="1">INDIRECT("'数据-取费表'!w"&amp;$G$1)</f>
        <v>0</v>
      </c>
      <c r="G9" s="1843"/>
      <c r="H9" s="349"/>
      <c r="I9" s="3176"/>
      <c r="J9" s="351"/>
      <c r="K9" s="352"/>
      <c r="L9" s="358" t="s">
        <v>1402</v>
      </c>
      <c r="M9" s="359">
        <f ca="1">INDIRECT("'数据-取费表'!ab"&amp;$G$1)</f>
        <v>0.1</v>
      </c>
    </row>
    <row r="10" spans="1:37" ht="18" customHeight="1">
      <c r="A10" s="1291" t="s">
        <v>1035</v>
      </c>
      <c r="B10" s="1815" t="s">
        <v>1403</v>
      </c>
      <c r="C10" s="361">
        <f ca="1">ROUND(IF(F10="押一",C6/12*F11,IF(F10="押二",C6/12*2*F11,IF(F10="押三",C6/12*3*F11,C11*F11))),0)</f>
        <v>3280</v>
      </c>
      <c r="D10" s="1816" t="s">
        <v>3037</v>
      </c>
      <c r="E10" s="358" t="s">
        <v>1404</v>
      </c>
      <c r="F10" s="1366" t="s">
        <v>3070</v>
      </c>
      <c r="G10" s="1843"/>
      <c r="H10" s="1291" t="s">
        <v>1035</v>
      </c>
      <c r="I10" s="1815" t="s">
        <v>1403</v>
      </c>
      <c r="J10" s="346">
        <f ca="1">ROUND(IF(M10="押一",J6/12*M11,IF(M10="押二",J6/12*2*M11,IF(M10="押三",J6/12*3*M11,J11*M11))),0)</f>
        <v>3331</v>
      </c>
      <c r="K10" s="1827" t="s">
        <v>3039</v>
      </c>
      <c r="L10" s="358" t="s">
        <v>1404</v>
      </c>
      <c r="M10" s="1366" t="s">
        <v>3070</v>
      </c>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5432711</v>
      </c>
      <c r="D13" s="1331" t="s">
        <v>1409</v>
      </c>
      <c r="E13" s="1331" t="s">
        <v>1410</v>
      </c>
      <c r="F13" s="1332">
        <f ca="1">INDIRECT("'数据-取费表'!y"&amp;$G$1)</f>
        <v>0.9</v>
      </c>
      <c r="G13" s="1843"/>
      <c r="H13" s="1329">
        <v>2</v>
      </c>
      <c r="I13" s="1330" t="s">
        <v>1408</v>
      </c>
      <c r="J13" s="1290">
        <f ca="1">ROUND(J14*J15,0)</f>
        <v>4949803</v>
      </c>
      <c r="K13" s="1337" t="s">
        <v>1409</v>
      </c>
      <c r="L13" s="1844"/>
      <c r="M13" s="1845"/>
    </row>
    <row r="14" spans="1:37" ht="18" customHeight="1">
      <c r="A14" s="1201" t="s">
        <v>1030</v>
      </c>
      <c r="B14" s="347" t="s">
        <v>1411</v>
      </c>
      <c r="C14" s="363">
        <f ca="1">ROUND(INDIRECT("'数据-取费表'!l"&amp;$G$1)*F43+'数据-取费表'!L14*INDIRECT("'数据-取费表'!S"&amp;$G$1),0)</f>
        <v>3916444</v>
      </c>
      <c r="D14" s="1792" t="s">
        <v>1412</v>
      </c>
      <c r="E14" s="1786"/>
      <c r="F14" s="364"/>
      <c r="G14" s="1843"/>
      <c r="H14" s="1201" t="s">
        <v>1031</v>
      </c>
      <c r="I14" s="347" t="s">
        <v>1413</v>
      </c>
      <c r="J14" s="24">
        <f ca="1">C29</f>
        <v>6036345</v>
      </c>
      <c r="K14" s="15"/>
      <c r="L14" s="979"/>
      <c r="M14" s="980"/>
    </row>
    <row r="15" spans="1:37" s="1850" customFormat="1" ht="18" customHeight="1" thickBot="1">
      <c r="A15" s="1201" t="s">
        <v>1032</v>
      </c>
      <c r="B15" s="347" t="s">
        <v>1414</v>
      </c>
      <c r="C15" s="24">
        <f ca="1">ROUND(C14*F15,0)</f>
        <v>117493</v>
      </c>
      <c r="D15" s="365" t="s">
        <v>1415</v>
      </c>
      <c r="E15" s="365" t="s">
        <v>1416</v>
      </c>
      <c r="F15" s="366">
        <f>'数据-取费表'!B33</f>
        <v>0.03</v>
      </c>
      <c r="G15" s="1846"/>
      <c r="H15" s="1339" t="s">
        <v>1035</v>
      </c>
      <c r="I15" s="1340" t="s">
        <v>1410</v>
      </c>
      <c r="J15" s="1349">
        <f ca="1">INDIRECT("'数据-取费表'!ad"&amp;$G$1)</f>
        <v>0.82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601885</v>
      </c>
      <c r="K16" s="1337" t="s">
        <v>1419</v>
      </c>
      <c r="L16" s="1338"/>
      <c r="M16" s="1294"/>
    </row>
    <row r="17" spans="1:37" s="1850" customFormat="1" ht="18" customHeight="1">
      <c r="A17" s="1201" t="s">
        <v>1384</v>
      </c>
      <c r="B17" s="347" t="s">
        <v>1420</v>
      </c>
      <c r="C17" s="24">
        <f ca="1">ROUND(F17*(F43+INDIRECT("'数据-取费表'!S"&amp;$G$1)),0)</f>
        <v>279746</v>
      </c>
      <c r="D17" s="347" t="s">
        <v>1421</v>
      </c>
      <c r="E17" s="347" t="s">
        <v>1422</v>
      </c>
      <c r="F17" s="26">
        <f>'数据-取费表'!B35</f>
        <v>200</v>
      </c>
      <c r="G17" s="1846"/>
      <c r="H17" s="1201" t="s">
        <v>1031</v>
      </c>
      <c r="I17" s="347" t="s">
        <v>1423</v>
      </c>
      <c r="J17" s="24">
        <f ca="1">ROUND(IF(项目基本情况!B11="自然人",J6*M17/(1+'数据-取费表'!C42),J18+J19+J20),0)</f>
        <v>450548</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58747</v>
      </c>
      <c r="D18" s="347" t="s">
        <v>1415</v>
      </c>
      <c r="E18" s="347" t="s">
        <v>1416</v>
      </c>
      <c r="F18" s="367">
        <f>'数据-取费表'!B36</f>
        <v>1.4999999999999999E-2</v>
      </c>
      <c r="G18" s="1846"/>
      <c r="H18" s="1201" t="s">
        <v>1030</v>
      </c>
      <c r="I18" s="347" t="s">
        <v>1427</v>
      </c>
      <c r="J18" s="24">
        <f ca="1">ROUND(J6*M18/(1+'数据-取费表'!C42),0)</f>
        <v>142133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4372430</v>
      </c>
      <c r="D19" s="140" t="s">
        <v>1430</v>
      </c>
      <c r="E19" s="1810"/>
      <c r="F19" s="26"/>
      <c r="G19" s="1843"/>
      <c r="H19" s="1201" t="s">
        <v>1032</v>
      </c>
      <c r="I19" s="347" t="s">
        <v>1431</v>
      </c>
      <c r="J19" s="24">
        <f ca="1">IF(K19="按租金收入计税",ROUND(J6*M19/(1+'数据-取费表'!C42),0),ROUND(C29*M19*0.7,0))</f>
        <v>304571</v>
      </c>
      <c r="K19" s="1820" t="s">
        <v>3071</v>
      </c>
      <c r="L19" s="347" t="s">
        <v>1416</v>
      </c>
      <c r="M19" s="367">
        <f>IF(K19="按租金收入计税",'数据-取费表'!B51,'数据-取费表'!B50)</f>
        <v>0.12</v>
      </c>
    </row>
    <row r="20" spans="1:37" s="1850" customFormat="1" ht="18" customHeight="1">
      <c r="A20" s="1201" t="s">
        <v>1035</v>
      </c>
      <c r="B20" s="347" t="s">
        <v>1433</v>
      </c>
      <c r="C20" s="24">
        <f ca="1">ROUND(C19*F20,0)</f>
        <v>87449</v>
      </c>
      <c r="D20" s="369" t="s">
        <v>1434</v>
      </c>
      <c r="E20" s="347" t="s">
        <v>1416</v>
      </c>
      <c r="F20" s="367">
        <f>'数据-取费表'!B37</f>
        <v>0.02</v>
      </c>
      <c r="G20" s="1846"/>
      <c r="H20" s="1201" t="s">
        <v>1383</v>
      </c>
      <c r="I20" s="164" t="s">
        <v>1435</v>
      </c>
      <c r="J20" s="25">
        <f ca="1">ROUND(M20*M21,0)</f>
        <v>3844</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1281.4000000000001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90545</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211844</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7425</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53367</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2066446</v>
      </c>
      <c r="K25" s="1345" t="s">
        <v>1458</v>
      </c>
      <c r="L25" s="1346"/>
      <c r="M25" s="1347"/>
    </row>
    <row r="26" spans="1:37" ht="18" customHeight="1">
      <c r="A26" s="1201" t="s">
        <v>1030</v>
      </c>
      <c r="B26" s="347" t="s">
        <v>1459</v>
      </c>
      <c r="C26" s="24">
        <f ca="1">ROUND((C19+C20)*F26,0)</f>
        <v>891976</v>
      </c>
      <c r="D26" s="369" t="s">
        <v>1460</v>
      </c>
      <c r="E26" s="358" t="s">
        <v>1461</v>
      </c>
      <c r="F26" s="357">
        <f ca="1">INDIRECT("'数据-取费表'!q"&amp;$G$1)</f>
        <v>0.2</v>
      </c>
      <c r="G26" s="1843"/>
      <c r="H26" s="344" t="s">
        <v>1028</v>
      </c>
      <c r="I26" s="345" t="s">
        <v>1462</v>
      </c>
      <c r="J26" s="346">
        <f ca="1">IF(J5&lt;&gt;0,ROUND(J25*(1-((1+M28)/(1+M26))^M27)/(M26-M28),0),0)</f>
        <v>38136217</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25.8</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0.03</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6036345</v>
      </c>
      <c r="D29" s="1342"/>
      <c r="E29" s="1340"/>
      <c r="F29" s="1343"/>
      <c r="G29" s="1846"/>
      <c r="H29" s="380" t="s">
        <v>1029</v>
      </c>
      <c r="I29" s="381" t="s">
        <v>1473</v>
      </c>
      <c r="J29" s="382">
        <f ca="1">ROUND(J26/(1+F40)^F41,0)</f>
        <v>29179330</v>
      </c>
      <c r="K29" s="383" t="s">
        <v>1474</v>
      </c>
      <c r="L29" s="384"/>
      <c r="M29" s="385">
        <f ca="1">INDIRECT("'数据-取费表'!k"&amp;$G$1)</f>
        <v>1398.7300000000002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594946</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443703</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139955</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299904</v>
      </c>
      <c r="D33" s="1820" t="s">
        <v>3071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f>
        <v>3844</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1281.4000000000001</v>
      </c>
      <c r="G35" s="1843"/>
      <c r="H35" s="745"/>
      <c r="I35" s="1852"/>
      <c r="J35" s="1853"/>
      <c r="K35" s="1854"/>
      <c r="L35" s="1851"/>
      <c r="M35" s="1851"/>
    </row>
    <row r="36" spans="1:18" ht="18" customHeight="1">
      <c r="A36" s="1352" t="s">
        <v>1035</v>
      </c>
      <c r="B36" s="347" t="s">
        <v>1443</v>
      </c>
      <c r="C36" s="24">
        <f ca="1">ROUND(C29*F36,0)</f>
        <v>90545</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8149</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52548.7</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2032491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8679315</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6205</v>
      </c>
      <c r="D43" s="383" t="s">
        <v>1482</v>
      </c>
      <c r="E43" s="384" t="s">
        <v>1483</v>
      </c>
      <c r="F43" s="385">
        <f ca="1">INDIRECT("'数据-取费表'!k"&amp;$G$1)</f>
        <v>1398.7300000000002</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-755667</v>
      </c>
      <c r="D45" s="1931" t="s">
        <v>1598</v>
      </c>
      <c r="E45" s="1858"/>
      <c r="F45" s="1858"/>
      <c r="O45" s="1861" t="s">
        <v>1513</v>
      </c>
      <c r="P45" s="1831"/>
      <c r="Q45" s="1831"/>
      <c r="R45" s="1831"/>
    </row>
    <row r="46" spans="1:18" s="1834" customFormat="1" ht="13.5" thickBot="1">
      <c r="A46" s="1862" t="s">
        <v>1514</v>
      </c>
      <c r="C46" s="1863">
        <f ca="1">ROUND(C45/10000,0)</f>
        <v>-76</v>
      </c>
      <c r="D46" s="1864" t="str">
        <f>C2</f>
        <v>万元</v>
      </c>
      <c r="I46" s="1865" t="s">
        <v>1515</v>
      </c>
      <c r="J46" s="1866"/>
      <c r="K46" s="1867"/>
      <c r="L46" s="1868">
        <f ca="1">IF(M47="住宅",0,IF(L48&gt;J51,L60,J60))</f>
        <v>169863</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3072</v>
      </c>
      <c r="K47" s="1874" t="s">
        <v>1521</v>
      </c>
      <c r="L47" s="1875">
        <f ca="1">INDIRECT("'数据-取费表'!d"&amp;$G$1)</f>
        <v>40</v>
      </c>
      <c r="M47" s="1830" t="str">
        <f>IF(ISNUMBER(FIND("住宅",C1)),"住宅","非住宅")</f>
        <v>非住宅</v>
      </c>
      <c r="O47" s="1876" t="s">
        <v>1036</v>
      </c>
      <c r="P47" s="1877" t="s">
        <v>1522</v>
      </c>
      <c r="Q47" s="1878">
        <f ca="1">C40+J29</f>
        <v>37858645</v>
      </c>
      <c r="R47" s="1878" t="s">
        <v>1523</v>
      </c>
    </row>
    <row r="48" spans="1:18" s="1834" customFormat="1" ht="28.5" thickBot="1">
      <c r="A48" s="1360" t="s">
        <v>1131</v>
      </c>
      <c r="B48" s="345" t="s">
        <v>1395</v>
      </c>
      <c r="C48" s="1809">
        <f ca="1">C49+C53+C55</f>
        <v>2300286</v>
      </c>
      <c r="D48" s="1362"/>
      <c r="E48" s="1363"/>
      <c r="F48" s="1181"/>
      <c r="G48" s="792"/>
      <c r="H48" s="793"/>
      <c r="I48" s="1879" t="s">
        <v>1524</v>
      </c>
      <c r="J48" s="1880" t="s">
        <v>3073</v>
      </c>
      <c r="K48" s="1881" t="s">
        <v>1525</v>
      </c>
      <c r="L48" s="1882">
        <f ca="1">INDIRECT("'数据-取费表'!f"&amp;$G$1)</f>
        <v>30.8</v>
      </c>
      <c r="O48" s="1876" t="s">
        <v>1037</v>
      </c>
      <c r="P48" s="1877" t="s">
        <v>1526</v>
      </c>
      <c r="Q48" s="1878">
        <f ca="1">J60</f>
        <v>169863</v>
      </c>
      <c r="R48" s="1878" t="s">
        <v>1527</v>
      </c>
    </row>
    <row r="49" spans="1:18" s="1834" customFormat="1" ht="13.5" thickBot="1">
      <c r="A49" s="1194" t="s">
        <v>1132</v>
      </c>
      <c r="B49" s="1821" t="s">
        <v>1484</v>
      </c>
      <c r="C49" s="1364">
        <f ca="1">ROUND(F49*F51*F50*(1-F52),0)</f>
        <v>2297414</v>
      </c>
      <c r="D49" s="1276" t="s">
        <v>1398</v>
      </c>
      <c r="E49" s="1822" t="s">
        <v>1485</v>
      </c>
      <c r="F49" s="1281">
        <v>5</v>
      </c>
      <c r="G49" s="1883"/>
      <c r="H49" s="793"/>
      <c r="I49" s="1879" t="s">
        <v>1528</v>
      </c>
      <c r="J49" s="1884">
        <v>2014</v>
      </c>
      <c r="K49" s="1881" t="s">
        <v>1529</v>
      </c>
      <c r="L49" s="1885"/>
      <c r="O49" s="1886" t="s">
        <v>1038</v>
      </c>
      <c r="P49" s="1877" t="s">
        <v>1530</v>
      </c>
      <c r="Q49" s="1878">
        <f ca="1">C29</f>
        <v>6036345</v>
      </c>
      <c r="R49" s="1878" t="s">
        <v>1523</v>
      </c>
    </row>
    <row r="50" spans="1:18" s="1834" customFormat="1" ht="13.5" thickBot="1">
      <c r="A50" s="1195"/>
      <c r="B50" s="1198"/>
      <c r="C50" s="1199"/>
      <c r="D50" s="1172"/>
      <c r="E50" s="1277" t="s">
        <v>1400</v>
      </c>
      <c r="F50" s="1278">
        <f ca="1">F7</f>
        <v>1398.7300000000002</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365</v>
      </c>
      <c r="I51" s="1890" t="s">
        <v>1534</v>
      </c>
      <c r="J51" s="1891">
        <f>IF(J49="",J50,J49+J50-YEAR('数据-取费表'!B2))</f>
        <v>54</v>
      </c>
      <c r="K51" s="1892" t="s">
        <v>1535</v>
      </c>
      <c r="L51" s="1893">
        <f ca="1">ROUND(-PV(INDIRECT("'数据-取费表'!h"&amp;$G$1),J51,(C39-C13*C76),0),0)</f>
        <v>29160470</v>
      </c>
      <c r="M51" s="1894"/>
      <c r="O51" s="1886" t="s">
        <v>1040</v>
      </c>
      <c r="P51" s="1877" t="s">
        <v>1536</v>
      </c>
      <c r="Q51" s="1889">
        <f>J52</f>
        <v>0.09</v>
      </c>
      <c r="R51" s="1878"/>
    </row>
    <row r="52" spans="1:18" s="1834" customFormat="1" ht="13.5" thickBot="1">
      <c r="A52" s="1196"/>
      <c r="B52" s="1198"/>
      <c r="C52" s="1199"/>
      <c r="D52" s="1172"/>
      <c r="E52" s="1200" t="s">
        <v>1402</v>
      </c>
      <c r="F52" s="1275">
        <v>0.1</v>
      </c>
      <c r="I52" s="1895" t="s">
        <v>1537</v>
      </c>
      <c r="J52" s="1896">
        <v>0.09</v>
      </c>
      <c r="K52" s="1895" t="s">
        <v>1538</v>
      </c>
      <c r="L52" s="1896"/>
      <c r="O52" s="1886" t="s">
        <v>1041</v>
      </c>
      <c r="P52" s="1877" t="s">
        <v>1539</v>
      </c>
      <c r="Q52" s="1878">
        <f ca="1">J53</f>
        <v>30.8</v>
      </c>
      <c r="R52" s="1878" t="s">
        <v>1540</v>
      </c>
    </row>
    <row r="53" spans="1:18" s="1834" customFormat="1" ht="30.75" customHeight="1" thickBot="1">
      <c r="A53" s="1361" t="s">
        <v>1133</v>
      </c>
      <c r="B53" s="369" t="s">
        <v>1403</v>
      </c>
      <c r="C53" s="361">
        <f ca="1">ROUND(IF(F53="押一",C49/12*F11,IF(F53="押二",C49/12*2*F11,IF(F53="押三",C49/12*3*F11,C54*F11))),0)</f>
        <v>2872</v>
      </c>
      <c r="D53" s="1816" t="s">
        <v>3040</v>
      </c>
      <c r="E53" s="358" t="s">
        <v>1404</v>
      </c>
      <c r="F53" s="1366" t="s">
        <v>3070</v>
      </c>
      <c r="I53" s="1897" t="s">
        <v>1541</v>
      </c>
      <c r="J53" s="2944">
        <f ca="1">IF(M47="住宅",IF(D1="——",MAX(J51,L48),MAX(J51,L48-'数据-取费表'!B24)),IF(D1="——",MIN(J51,L48),MIN(J51,L48-'数据-取费表'!B24)))</f>
        <v>30.8</v>
      </c>
      <c r="K53" s="3172" t="s">
        <v>1542</v>
      </c>
      <c r="L53" s="3173"/>
      <c r="O53" s="1876" t="s">
        <v>1042</v>
      </c>
      <c r="P53" s="1877" t="s">
        <v>1543</v>
      </c>
      <c r="Q53" s="1878">
        <f ca="1">Q47+Q48</f>
        <v>38028508</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0.38700000000000001</v>
      </c>
      <c r="K55" s="1903" t="s">
        <v>1546</v>
      </c>
      <c r="L55" s="1904" t="s">
        <v>3075</v>
      </c>
      <c r="O55" s="1869" t="s">
        <v>1516</v>
      </c>
      <c r="P55" s="1870" t="s">
        <v>1517</v>
      </c>
      <c r="Q55" s="1871" t="s">
        <v>1518</v>
      </c>
      <c r="R55" s="1871" t="s">
        <v>1519</v>
      </c>
    </row>
    <row r="56" spans="1:18" s="1834" customFormat="1" ht="36" customHeight="1" thickTop="1" thickBot="1">
      <c r="A56" s="1176">
        <v>2</v>
      </c>
      <c r="B56" s="1177" t="s">
        <v>1408</v>
      </c>
      <c r="C56" s="276">
        <f ca="1">C13</f>
        <v>5432711</v>
      </c>
      <c r="D56" s="1905"/>
      <c r="E56" s="1906"/>
      <c r="F56" s="1898"/>
      <c r="I56" s="1907" t="s">
        <v>1548</v>
      </c>
      <c r="J56" s="1908" t="s">
        <v>3074</v>
      </c>
      <c r="K56" s="1879" t="s">
        <v>1549</v>
      </c>
      <c r="L56" s="1882" t="str">
        <f ca="1">IF(L48&lt;J51,"——",L48-J51)</f>
        <v>——</v>
      </c>
      <c r="O56" s="1876" t="s">
        <v>1036</v>
      </c>
      <c r="P56" s="1877" t="s">
        <v>1522</v>
      </c>
      <c r="Q56" s="1878">
        <f ca="1">C40+J29</f>
        <v>37858645</v>
      </c>
      <c r="R56" s="1878" t="s">
        <v>1523</v>
      </c>
    </row>
    <row r="57" spans="1:18" s="1834" customFormat="1" ht="24.75" thickBot="1">
      <c r="A57" s="1909"/>
      <c r="B57" s="1169" t="s">
        <v>1472</v>
      </c>
      <c r="C57" s="282">
        <f ca="1">C29</f>
        <v>6036345</v>
      </c>
      <c r="D57" s="1910"/>
      <c r="E57" s="1911"/>
      <c r="F57" s="1912"/>
      <c r="I57" s="1913" t="s">
        <v>1550</v>
      </c>
      <c r="J57" s="1914">
        <f ca="1">IF(OR(M47="住宅",J51&lt;L48,J56="是"),"——",J51-L48)</f>
        <v>23.2</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547260</v>
      </c>
      <c r="D58" s="1179" t="s">
        <v>1419</v>
      </c>
      <c r="E58" s="1180"/>
      <c r="F58" s="1181"/>
      <c r="I58" s="1913" t="s">
        <v>1554</v>
      </c>
      <c r="J58" s="1915">
        <f ca="1">IF(J55&lt;0.4,0.4,J55)</f>
        <v>0.4</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402560</v>
      </c>
      <c r="D59" s="1182" t="s">
        <v>1424</v>
      </c>
      <c r="E59" s="1183" t="s">
        <v>1425</v>
      </c>
      <c r="F59" s="368" t="str">
        <f ca="1">IF(项目基本情况!B11="企业","",IF(INDIRECT("'数据-取费表'!c"&amp;$G$1)="住宅",5%,IF(F49*F50*F51/12/(1+'数据-取费表'!C42)&gt;20000,12%,7%)))</f>
        <v/>
      </c>
      <c r="I59" s="1913" t="s">
        <v>1557</v>
      </c>
      <c r="J59" s="1914">
        <f ca="1">IF(OR(M47="住宅",J51&lt;L48,J56="是"),"——",ROUND(C29*J58,0))</f>
        <v>2414538</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122682</v>
      </c>
      <c r="D60" s="1183" t="s">
        <v>1428</v>
      </c>
      <c r="E60" s="1169" t="s">
        <v>1416</v>
      </c>
      <c r="F60" s="377">
        <f t="shared" ref="F60:F66" si="0">F32</f>
        <v>5.6000000000000001E-2</v>
      </c>
      <c r="I60" s="1916" t="s">
        <v>1559</v>
      </c>
      <c r="J60" s="1917">
        <f ca="1">IF(OR(M47="住宅",J51&lt;L48,J56="是"),"0",ROUND(J59/(1+J52)^J53,0))</f>
        <v>169863</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276034</v>
      </c>
      <c r="D61" s="1820" t="s">
        <v>3071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IF(项目基本情况!B11="自然人","——",ROUND(F62*F63,0))</f>
        <v>3844</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37858645</v>
      </c>
      <c r="R62" s="1878" t="s">
        <v>1043</v>
      </c>
    </row>
    <row r="63" spans="1:18" s="1834" customFormat="1" ht="13.5" thickBot="1">
      <c r="A63" s="372"/>
      <c r="B63" s="1175"/>
      <c r="C63" s="29"/>
      <c r="D63" s="1185"/>
      <c r="E63" s="1169" t="s">
        <v>1493</v>
      </c>
      <c r="F63" s="348">
        <f t="shared" ca="1" si="0"/>
        <v>1281.4000000000001</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90545</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8149</v>
      </c>
      <c r="D65" s="1183" t="s">
        <v>1448</v>
      </c>
      <c r="E65" s="1169" t="s">
        <v>1449</v>
      </c>
      <c r="F65" s="376">
        <f t="shared" ca="1" si="0"/>
        <v>1.5E-3</v>
      </c>
      <c r="I65" s="1920" t="s">
        <v>1573</v>
      </c>
      <c r="J65" s="1921">
        <v>40</v>
      </c>
      <c r="K65" s="1921">
        <v>30</v>
      </c>
      <c r="L65" s="1921">
        <v>50</v>
      </c>
      <c r="M65" s="1923">
        <v>0.02</v>
      </c>
      <c r="O65" s="1876" t="s">
        <v>1036</v>
      </c>
      <c r="P65" s="1877" t="s">
        <v>1574</v>
      </c>
      <c r="Q65" s="1878">
        <f ca="1">C40+J29</f>
        <v>37858645</v>
      </c>
      <c r="R65" s="1878" t="s">
        <v>1523</v>
      </c>
    </row>
    <row r="66" spans="1:18" s="1834" customFormat="1" ht="16.5" thickBot="1">
      <c r="A66" s="1201" t="s">
        <v>1498</v>
      </c>
      <c r="B66" s="1169" t="s">
        <v>1433</v>
      </c>
      <c r="C66" s="24">
        <f ca="1">ROUND(C48*F66,0)</f>
        <v>46006</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1753026</v>
      </c>
      <c r="D67" s="1182" t="s">
        <v>1458</v>
      </c>
      <c r="E67" s="1187"/>
      <c r="F67" s="1188"/>
      <c r="O67" s="1886" t="s">
        <v>1038</v>
      </c>
      <c r="P67" s="1877" t="s">
        <v>1556</v>
      </c>
      <c r="Q67" s="1924">
        <f ca="1">L51</f>
        <v>29160470</v>
      </c>
      <c r="R67" s="1878" t="s">
        <v>1576</v>
      </c>
    </row>
    <row r="68" spans="1:18" s="1834" customFormat="1" ht="16.5" thickBot="1">
      <c r="A68" s="1166" t="s">
        <v>1028</v>
      </c>
      <c r="B68" s="1167" t="s">
        <v>1479</v>
      </c>
      <c r="C68" s="346">
        <f ca="1">ROUND(C67*(1-((1+F70)/(1+F68))^F69)/(F68-F70),0)</f>
        <v>7923648</v>
      </c>
      <c r="D68" s="1184" t="s">
        <v>1463</v>
      </c>
      <c r="E68" s="1169" t="s">
        <v>1464</v>
      </c>
      <c r="F68" s="357">
        <f ca="1">F40</f>
        <v>5.5E-2</v>
      </c>
      <c r="O68" s="1886" t="s">
        <v>1039</v>
      </c>
      <c r="P68" s="1925" t="s">
        <v>1577</v>
      </c>
      <c r="Q68" s="1878">
        <f ca="1">ROUND(Q69-Q70*Q71,0)</f>
        <v>1570711</v>
      </c>
      <c r="R68" s="1878" t="s">
        <v>1047</v>
      </c>
    </row>
    <row r="69" spans="1:18" s="1834" customFormat="1" ht="13.5" thickBot="1">
      <c r="A69" s="1170"/>
      <c r="B69" s="1171"/>
      <c r="C69" s="351"/>
      <c r="D69" s="1189" t="s">
        <v>1467</v>
      </c>
      <c r="E69" s="1169" t="s">
        <v>1468</v>
      </c>
      <c r="F69" s="379">
        <f ca="1">F41</f>
        <v>5</v>
      </c>
      <c r="O69" s="1886" t="s">
        <v>1044</v>
      </c>
      <c r="P69" s="1925" t="s">
        <v>1578</v>
      </c>
      <c r="Q69" s="1878">
        <f ca="1">C39</f>
        <v>2032491</v>
      </c>
      <c r="R69" s="1878" t="s">
        <v>1523</v>
      </c>
    </row>
    <row r="70" spans="1:18" s="1834" customFormat="1" ht="13.5" thickBot="1">
      <c r="A70" s="1173"/>
      <c r="B70" s="1174"/>
      <c r="C70" s="355"/>
      <c r="D70" s="1185"/>
      <c r="E70" s="1169" t="s">
        <v>1471</v>
      </c>
      <c r="F70" s="1275">
        <v>0.03</v>
      </c>
      <c r="O70" s="1886" t="s">
        <v>1045</v>
      </c>
      <c r="P70" s="1925" t="s">
        <v>1579</v>
      </c>
      <c r="Q70" s="1878">
        <f ca="1">C13</f>
        <v>5432711</v>
      </c>
      <c r="R70" s="1878" t="s">
        <v>1523</v>
      </c>
    </row>
    <row r="71" spans="1:18" s="1834" customFormat="1" ht="13.5" thickBot="1">
      <c r="A71" s="1190" t="s">
        <v>1029</v>
      </c>
      <c r="B71" s="1191" t="s">
        <v>1481</v>
      </c>
      <c r="C71" s="382">
        <f ca="1">ROUND(C68/F71,0)</f>
        <v>5665</v>
      </c>
      <c r="D71" s="1192" t="s">
        <v>1482</v>
      </c>
      <c r="E71" s="1193" t="s">
        <v>1483</v>
      </c>
      <c r="F71" s="385">
        <f ca="1">F43</f>
        <v>1398.7300000000002</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461780</v>
      </c>
      <c r="D75" s="1834"/>
      <c r="E75" s="1834"/>
      <c r="F75" s="1834"/>
      <c r="K75" s="1860"/>
      <c r="L75" s="1834"/>
      <c r="O75" s="1876" t="s">
        <v>1042</v>
      </c>
      <c r="P75" s="1877" t="s">
        <v>1543</v>
      </c>
      <c r="Q75" s="1878">
        <f ca="1">Q65+Q66</f>
        <v>37858645</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0.77300000000000002</v>
      </c>
    </row>
    <row r="80" spans="1:18">
      <c r="B80" s="386" t="s">
        <v>1505</v>
      </c>
      <c r="C80" s="318">
        <f ca="1">ROUND(C75/C39,3)</f>
        <v>0.22700000000000001</v>
      </c>
    </row>
    <row r="81" spans="2:3">
      <c r="B81" s="314" t="s">
        <v>1506</v>
      </c>
      <c r="C81" s="282"/>
    </row>
    <row r="82" spans="2:3">
      <c r="B82" s="317" t="s">
        <v>1507</v>
      </c>
      <c r="C82" s="319">
        <f ca="1">1-C83</f>
        <v>0.374</v>
      </c>
    </row>
    <row r="83" spans="2:3">
      <c r="B83" s="317" t="s">
        <v>1508</v>
      </c>
      <c r="C83" s="318">
        <f ca="1">ROUND(C13/C40,3)</f>
        <v>0.626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3803</v>
      </c>
      <c r="C2" s="2560" t="s">
        <v>2518</v>
      </c>
      <c r="D2" s="2561" t="s">
        <v>2519</v>
      </c>
      <c r="E2" s="2562">
        <f>SUM(E6:E13)</f>
        <v>1398.7300000000002</v>
      </c>
    </row>
    <row r="3" spans="1:6" ht="15.75">
      <c r="A3" s="2558" t="s">
        <v>1389</v>
      </c>
      <c r="B3" s="2559">
        <f ca="1">ROUND(B2*10000/E2,0)</f>
        <v>27189</v>
      </c>
      <c r="C3" s="2560" t="s">
        <v>2526</v>
      </c>
      <c r="D3" s="2563"/>
      <c r="E3" s="2564"/>
    </row>
    <row r="4" spans="1:6" ht="15.75">
      <c r="A4" s="2565"/>
      <c r="B4" s="2563"/>
      <c r="C4" s="2563"/>
      <c r="D4" s="2563"/>
      <c r="E4" s="2564"/>
    </row>
    <row r="5" spans="1:6" ht="15">
      <c r="A5" s="2566" t="s">
        <v>2520</v>
      </c>
      <c r="B5" s="3177" t="s">
        <v>2521</v>
      </c>
      <c r="C5" s="3177"/>
      <c r="D5" s="2567"/>
      <c r="E5" s="2568" t="s">
        <v>2522</v>
      </c>
      <c r="F5" s="2569" t="s">
        <v>2523</v>
      </c>
    </row>
    <row r="6" spans="1:6">
      <c r="A6" s="2570" t="str">
        <f>'数据-取费表'!AN6</f>
        <v>收益法 (元)</v>
      </c>
      <c r="B6" s="2569">
        <f ca="1">IF(F6="是",'数据-取费表'!AO6,0)</f>
        <v>3803</v>
      </c>
      <c r="C6" s="2560" t="s">
        <v>2518</v>
      </c>
      <c r="D6" s="2563"/>
      <c r="E6" s="2571">
        <f>IF(OR(A6=0,F6="否"),0,'数据-取费表'!K6+'数据-取费表'!S6)</f>
        <v>1398.7300000000002</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1072</v>
      </c>
      <c r="B1" s="3195"/>
      <c r="C1" s="3196"/>
      <c r="D1" s="3197">
        <f>SUM(I10,I15,I20,I21,I23)</f>
        <v>0</v>
      </c>
      <c r="E1" s="3197"/>
      <c r="F1" s="3197"/>
      <c r="G1" s="3197"/>
      <c r="H1" s="3197"/>
      <c r="I1" s="3198"/>
    </row>
    <row r="2" spans="1:9">
      <c r="A2" s="3184" t="s">
        <v>1073</v>
      </c>
      <c r="B2" s="3185" t="s">
        <v>1074</v>
      </c>
      <c r="C2" s="3185"/>
      <c r="D2" s="1301" t="s">
        <v>1075</v>
      </c>
      <c r="E2" s="1301" t="s">
        <v>1076</v>
      </c>
      <c r="F2" s="1301" t="s">
        <v>1077</v>
      </c>
      <c r="G2" s="1301" t="s">
        <v>1078</v>
      </c>
      <c r="H2" s="1301" t="s">
        <v>1079</v>
      </c>
      <c r="I2" s="1302" t="s">
        <v>1080</v>
      </c>
    </row>
    <row r="3" spans="1:9">
      <c r="A3" s="3184"/>
      <c r="B3" s="3185" t="s">
        <v>1081</v>
      </c>
      <c r="C3" s="3185"/>
      <c r="D3" s="1303"/>
      <c r="E3" s="1301"/>
      <c r="F3" s="1304"/>
      <c r="G3" s="1304"/>
      <c r="H3" s="1305"/>
      <c r="I3" s="1306">
        <f>ROUND(D3*E3*F3*G3*H3/10000,0)</f>
        <v>0</v>
      </c>
    </row>
    <row r="4" spans="1:9">
      <c r="A4" s="3184"/>
      <c r="B4" s="3185" t="s">
        <v>1082</v>
      </c>
      <c r="C4" s="3185"/>
      <c r="D4" s="1303"/>
      <c r="E4" s="1301"/>
      <c r="F4" s="1304"/>
      <c r="G4" s="1304"/>
      <c r="H4" s="1305"/>
      <c r="I4" s="1306">
        <f t="shared" ref="I4:I9" si="0">ROUND(D4*E4*F4*G4*H4/10000,0)</f>
        <v>0</v>
      </c>
    </row>
    <row r="5" spans="1:9">
      <c r="A5" s="3184"/>
      <c r="B5" s="3185" t="s">
        <v>1083</v>
      </c>
      <c r="C5" s="3185"/>
      <c r="D5" s="1303"/>
      <c r="E5" s="1301"/>
      <c r="F5" s="1304"/>
      <c r="G5" s="1304"/>
      <c r="H5" s="1305"/>
      <c r="I5" s="1306">
        <f t="shared" si="0"/>
        <v>0</v>
      </c>
    </row>
    <row r="6" spans="1:9">
      <c r="A6" s="3184"/>
      <c r="B6" s="3185" t="s">
        <v>1084</v>
      </c>
      <c r="C6" s="3185"/>
      <c r="D6" s="1303"/>
      <c r="E6" s="1301"/>
      <c r="F6" s="1304"/>
      <c r="G6" s="1304"/>
      <c r="H6" s="1305"/>
      <c r="I6" s="1306">
        <f t="shared" si="0"/>
        <v>0</v>
      </c>
    </row>
    <row r="7" spans="1:9">
      <c r="A7" s="3184"/>
      <c r="B7" s="3185" t="s">
        <v>1085</v>
      </c>
      <c r="C7" s="3185"/>
      <c r="D7" s="1303"/>
      <c r="E7" s="1301"/>
      <c r="F7" s="1304"/>
      <c r="G7" s="1304"/>
      <c r="H7" s="1305"/>
      <c r="I7" s="1306">
        <f t="shared" si="0"/>
        <v>0</v>
      </c>
    </row>
    <row r="8" spans="1:9">
      <c r="A8" s="3184"/>
      <c r="B8" s="3185" t="s">
        <v>1086</v>
      </c>
      <c r="C8" s="3185"/>
      <c r="D8" s="1303"/>
      <c r="E8" s="1301"/>
      <c r="F8" s="1304"/>
      <c r="G8" s="1304"/>
      <c r="H8" s="1305"/>
      <c r="I8" s="1306">
        <f t="shared" si="0"/>
        <v>0</v>
      </c>
    </row>
    <row r="9" spans="1:9">
      <c r="A9" s="3184"/>
      <c r="B9" s="3185" t="s">
        <v>1087</v>
      </c>
      <c r="C9" s="3185"/>
      <c r="D9" s="1303"/>
      <c r="E9" s="1301"/>
      <c r="F9" s="1304"/>
      <c r="G9" s="1304"/>
      <c r="H9" s="1305"/>
      <c r="I9" s="1306">
        <f t="shared" si="0"/>
        <v>0</v>
      </c>
    </row>
    <row r="10" spans="1:9">
      <c r="A10" s="3184"/>
      <c r="B10" s="3186" t="s">
        <v>1088</v>
      </c>
      <c r="C10" s="3186"/>
      <c r="D10" s="1307"/>
      <c r="E10" s="1307" t="e">
        <f>ROUND(D1*10000/D10/H9,0)</f>
        <v>#DIV/0!</v>
      </c>
      <c r="F10" s="1308"/>
      <c r="G10" s="1308"/>
      <c r="H10" s="1309"/>
      <c r="I10" s="1310">
        <f>SUM(I3:I9)</f>
        <v>0</v>
      </c>
    </row>
    <row r="11" spans="1:9" ht="14.25">
      <c r="A11" s="3184" t="s">
        <v>1089</v>
      </c>
      <c r="B11" s="3185" t="s">
        <v>1090</v>
      </c>
      <c r="C11" s="3185"/>
      <c r="D11" s="1303" t="s">
        <v>1091</v>
      </c>
      <c r="E11" s="1303" t="s">
        <v>1092</v>
      </c>
      <c r="F11" s="1304" t="s">
        <v>1093</v>
      </c>
      <c r="G11" s="1304" t="s">
        <v>1079</v>
      </c>
      <c r="H11" s="1311" t="s">
        <v>1094</v>
      </c>
      <c r="I11" s="1302" t="s">
        <v>1080</v>
      </c>
    </row>
    <row r="12" spans="1:9">
      <c r="A12" s="3184"/>
      <c r="B12" s="3185" t="s">
        <v>1095</v>
      </c>
      <c r="C12" s="3185"/>
      <c r="D12" s="1303"/>
      <c r="E12" s="1303"/>
      <c r="F12" s="1304"/>
      <c r="G12" s="1305"/>
      <c r="H12" s="1312"/>
      <c r="I12" s="1302">
        <f>ROUND(D12*E12*F12*G12/10000,0)</f>
        <v>0</v>
      </c>
    </row>
    <row r="13" spans="1:9">
      <c r="A13" s="3184"/>
      <c r="B13" s="3185" t="s">
        <v>1096</v>
      </c>
      <c r="C13" s="3185"/>
      <c r="D13" s="1303"/>
      <c r="E13" s="1303"/>
      <c r="F13" s="1304"/>
      <c r="G13" s="1305"/>
      <c r="H13" s="1312"/>
      <c r="I13" s="1302">
        <f>ROUND(D13*E13*F13*G13/10000,0)</f>
        <v>0</v>
      </c>
    </row>
    <row r="14" spans="1:9">
      <c r="A14" s="3184"/>
      <c r="B14" s="3185" t="s">
        <v>1097</v>
      </c>
      <c r="C14" s="3185"/>
      <c r="D14" s="1303"/>
      <c r="E14" s="1303"/>
      <c r="F14" s="1304"/>
      <c r="G14" s="1305"/>
      <c r="H14" s="1312"/>
      <c r="I14" s="1302">
        <f>ROUND(D14*E14*F14*G14/10000,0)</f>
        <v>0</v>
      </c>
    </row>
    <row r="15" spans="1:9">
      <c r="A15" s="3184"/>
      <c r="B15" s="3186" t="s">
        <v>1088</v>
      </c>
      <c r="C15" s="3186"/>
      <c r="D15" s="1307"/>
      <c r="E15" s="1307">
        <f>SUM(E12:E14)</f>
        <v>0</v>
      </c>
      <c r="F15" s="1308"/>
      <c r="G15" s="1305"/>
      <c r="H15" s="1312"/>
      <c r="I15" s="1313">
        <f>SUM(I12:I14)</f>
        <v>0</v>
      </c>
    </row>
    <row r="16" spans="1:9" ht="24">
      <c r="A16" s="3184" t="s">
        <v>1098</v>
      </c>
      <c r="B16" s="3185" t="s">
        <v>1099</v>
      </c>
      <c r="C16" s="3185"/>
      <c r="D16" s="1303" t="s">
        <v>1075</v>
      </c>
      <c r="E16" s="1314" t="s">
        <v>1100</v>
      </c>
      <c r="F16" s="1304" t="s">
        <v>1101</v>
      </c>
      <c r="G16" s="1305" t="s">
        <v>1079</v>
      </c>
      <c r="H16" s="1311" t="s">
        <v>1094</v>
      </c>
      <c r="I16" s="1302" t="s">
        <v>1080</v>
      </c>
    </row>
    <row r="17" spans="1:9" ht="14.25">
      <c r="A17" s="3184"/>
      <c r="B17" s="3185" t="s">
        <v>1102</v>
      </c>
      <c r="C17" s="3185"/>
      <c r="D17" s="1303"/>
      <c r="E17" s="1303"/>
      <c r="F17" s="1304"/>
      <c r="G17" s="1305"/>
      <c r="H17" s="1315"/>
      <c r="I17" s="1316">
        <f>ROUND(D17*E17*F17*G17/10000,0)</f>
        <v>0</v>
      </c>
    </row>
    <row r="18" spans="1:9" ht="14.25">
      <c r="A18" s="3184"/>
      <c r="B18" s="3185" t="s">
        <v>1103</v>
      </c>
      <c r="C18" s="3185"/>
      <c r="D18" s="1303"/>
      <c r="E18" s="1303"/>
      <c r="F18" s="1304"/>
      <c r="G18" s="1305"/>
      <c r="H18" s="1315"/>
      <c r="I18" s="1316">
        <f>ROUND(D18*E18*F18*G18/10000,0)</f>
        <v>0</v>
      </c>
    </row>
    <row r="19" spans="1:9" ht="14.25">
      <c r="A19" s="3184"/>
      <c r="B19" s="3185" t="s">
        <v>1104</v>
      </c>
      <c r="C19" s="3185"/>
      <c r="D19" s="1303"/>
      <c r="E19" s="1303"/>
      <c r="F19" s="1304"/>
      <c r="G19" s="1305"/>
      <c r="H19" s="1315"/>
      <c r="I19" s="1316">
        <f>ROUND(D19*E19*F19*G19/10000,0)</f>
        <v>0</v>
      </c>
    </row>
    <row r="20" spans="1:9">
      <c r="A20" s="3184"/>
      <c r="B20" s="3186" t="s">
        <v>1088</v>
      </c>
      <c r="C20" s="3186"/>
      <c r="D20" s="1307">
        <f>SUM(D17:D19)</f>
        <v>0</v>
      </c>
      <c r="E20" s="1307"/>
      <c r="F20" s="1308"/>
      <c r="G20" s="1305"/>
      <c r="H20" s="1312"/>
      <c r="I20" s="1313">
        <f>SUM(I17:I19)</f>
        <v>0</v>
      </c>
    </row>
    <row r="21" spans="1:9">
      <c r="A21" s="3184" t="s">
        <v>1105</v>
      </c>
      <c r="B21" s="3187"/>
      <c r="C21" s="3187"/>
      <c r="D21" s="3187"/>
      <c r="E21" s="3187"/>
      <c r="F21" s="3187"/>
      <c r="G21" s="3187"/>
      <c r="H21" s="1757">
        <v>0.1</v>
      </c>
      <c r="I21" s="1310">
        <f>ROUND(I10*H21,0)</f>
        <v>0</v>
      </c>
    </row>
    <row r="22" spans="1:9" ht="14.25">
      <c r="A22" s="3188" t="s">
        <v>1106</v>
      </c>
      <c r="B22" s="3189"/>
      <c r="C22" s="3190"/>
      <c r="D22" s="1317" t="s">
        <v>1107</v>
      </c>
      <c r="E22" s="1317" t="s">
        <v>1108</v>
      </c>
      <c r="F22" s="1318" t="s">
        <v>1109</v>
      </c>
      <c r="G22" s="1318" t="s">
        <v>1110</v>
      </c>
      <c r="H22" s="1311" t="s">
        <v>1111</v>
      </c>
      <c r="I22" s="1302" t="s">
        <v>1112</v>
      </c>
    </row>
    <row r="23" spans="1:9" ht="14.25" thickBot="1">
      <c r="A23" s="3191"/>
      <c r="B23" s="3192"/>
      <c r="C23" s="3193"/>
      <c r="D23" s="1319"/>
      <c r="E23" s="1319"/>
      <c r="F23" s="1319"/>
      <c r="G23" s="1320"/>
      <c r="H23" s="1321"/>
      <c r="I23" s="1322">
        <f>ROUND(E23*D23*F23*(1-G23)/10000,0)</f>
        <v>0</v>
      </c>
    </row>
    <row r="26" spans="1:9">
      <c r="A26" s="1323" t="s">
        <v>1113</v>
      </c>
      <c r="B26" s="1323"/>
      <c r="C26" s="1323"/>
      <c r="D26" s="1323"/>
      <c r="E26" s="3181">
        <f>C27-C30-C31-C32</f>
        <v>0</v>
      </c>
      <c r="F26" s="3181"/>
      <c r="G26" s="3181"/>
      <c r="H26" s="1737" t="s">
        <v>1335</v>
      </c>
    </row>
    <row r="27" spans="1:9">
      <c r="A27" s="1324">
        <v>1</v>
      </c>
      <c r="B27" s="1325" t="s">
        <v>1114</v>
      </c>
      <c r="C27" s="1325">
        <f>C28+C29</f>
        <v>0</v>
      </c>
      <c r="D27" s="1325"/>
      <c r="E27" s="3182"/>
      <c r="F27" s="3182"/>
      <c r="G27" s="3182"/>
    </row>
    <row r="28" spans="1:9">
      <c r="A28" s="1326" t="s">
        <v>1115</v>
      </c>
      <c r="B28" s="1325" t="s">
        <v>1116</v>
      </c>
      <c r="C28" s="1325"/>
      <c r="D28" s="1325"/>
      <c r="E28" s="3182"/>
      <c r="F28" s="3182"/>
      <c r="G28" s="318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3"/>
      <c r="F32" s="3183"/>
      <c r="G32" s="3183"/>
    </row>
    <row r="33" spans="1:7" hidden="1">
      <c r="A33" s="3178" t="s">
        <v>1125</v>
      </c>
      <c r="B33" s="3179"/>
      <c r="C33" s="3179"/>
      <c r="D33" s="3180"/>
      <c r="E33" s="3181"/>
      <c r="F33" s="3181"/>
      <c r="G33" s="3181"/>
    </row>
    <row r="34" spans="1:7" hidden="1">
      <c r="A34" s="1328">
        <v>1</v>
      </c>
      <c r="B34" s="1325" t="s">
        <v>1126</v>
      </c>
      <c r="C34" s="1325"/>
      <c r="D34" s="1325"/>
      <c r="E34" s="3182"/>
      <c r="F34" s="3182"/>
      <c r="G34" s="3182"/>
    </row>
    <row r="35" spans="1:7" hidden="1">
      <c r="A35" s="1328">
        <v>2</v>
      </c>
      <c r="B35" s="1325" t="s">
        <v>1127</v>
      </c>
      <c r="C35" s="1325"/>
      <c r="D35" s="1325"/>
      <c r="E35" s="3182"/>
      <c r="F35" s="3182"/>
      <c r="G35" s="3182"/>
    </row>
    <row r="36" spans="1:7" hidden="1">
      <c r="A36" s="1328">
        <v>3</v>
      </c>
      <c r="B36" s="1325" t="s">
        <v>1128</v>
      </c>
      <c r="C36" s="1325"/>
      <c r="D36" s="1325"/>
      <c r="E36" s="3182"/>
      <c r="F36" s="3182"/>
      <c r="G36" s="3182"/>
    </row>
    <row r="37" spans="1:7" hidden="1">
      <c r="A37" s="1328">
        <v>4</v>
      </c>
      <c r="B37" s="1325" t="s">
        <v>1129</v>
      </c>
      <c r="C37" s="1325"/>
      <c r="D37" s="1325"/>
      <c r="E37" s="3182"/>
      <c r="F37" s="3182"/>
      <c r="G37" s="3182"/>
    </row>
    <row r="38" spans="1:7" hidden="1">
      <c r="A38" s="3178" t="s">
        <v>1130</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1398.7300000000002</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17" t="s">
        <v>2535</v>
      </c>
      <c r="D4" s="3218"/>
      <c r="E4" s="3219" t="s">
        <v>2536</v>
      </c>
      <c r="F4" s="3220"/>
      <c r="G4" s="3217" t="s">
        <v>2537</v>
      </c>
      <c r="H4" s="3218"/>
      <c r="I4" s="3217" t="s">
        <v>2538</v>
      </c>
      <c r="J4" s="3218"/>
      <c r="K4" s="2590" t="s">
        <v>2539</v>
      </c>
      <c r="L4" s="1130"/>
      <c r="M4" s="1131"/>
      <c r="N4" s="1131"/>
      <c r="O4" s="1131"/>
      <c r="P4" s="3221" t="s">
        <v>2540</v>
      </c>
      <c r="Q4" s="3222"/>
      <c r="R4" s="3227" t="s">
        <v>2536</v>
      </c>
      <c r="S4" s="3228"/>
      <c r="T4" s="3227" t="s">
        <v>2537</v>
      </c>
      <c r="U4" s="3228"/>
      <c r="V4" s="3233" t="s">
        <v>2538</v>
      </c>
      <c r="W4" s="3233"/>
      <c r="X4" s="1805"/>
      <c r="Y4" s="3227" t="s">
        <v>2540</v>
      </c>
      <c r="Z4" s="3228"/>
      <c r="AA4" s="3214" t="s">
        <v>2536</v>
      </c>
      <c r="AB4" s="3214" t="s">
        <v>2537</v>
      </c>
      <c r="AC4" s="3214" t="s">
        <v>2538</v>
      </c>
    </row>
    <row r="5" spans="1:29" ht="15">
      <c r="A5" s="404"/>
      <c r="B5" s="405"/>
      <c r="C5" s="3236" t="s">
        <v>2541</v>
      </c>
      <c r="D5" s="3237"/>
      <c r="E5" s="3243" t="s">
        <v>2542</v>
      </c>
      <c r="F5" s="3244"/>
      <c r="G5" s="3236" t="s">
        <v>2543</v>
      </c>
      <c r="H5" s="3237"/>
      <c r="I5" s="3236" t="s">
        <v>2544</v>
      </c>
      <c r="J5" s="3237"/>
      <c r="K5" s="2591"/>
      <c r="L5" s="1130"/>
      <c r="M5" s="1131"/>
      <c r="N5" s="1131"/>
      <c r="O5" s="1131"/>
      <c r="P5" s="3223"/>
      <c r="Q5" s="3224"/>
      <c r="R5" s="3229"/>
      <c r="S5" s="3230"/>
      <c r="T5" s="3229"/>
      <c r="U5" s="3230"/>
      <c r="V5" s="3233"/>
      <c r="W5" s="3233"/>
      <c r="X5" s="1805"/>
      <c r="Y5" s="3229"/>
      <c r="Z5" s="3230"/>
      <c r="AA5" s="3215"/>
      <c r="AB5" s="3215"/>
      <c r="AC5" s="3215"/>
    </row>
    <row r="6" spans="1:29" ht="15.75" thickBot="1">
      <c r="A6" s="406"/>
      <c r="B6" s="407"/>
      <c r="C6" s="3234" t="s">
        <v>2545</v>
      </c>
      <c r="D6" s="3235"/>
      <c r="E6" s="3241" t="s">
        <v>2545</v>
      </c>
      <c r="F6" s="3242"/>
      <c r="G6" s="3234" t="s">
        <v>2545</v>
      </c>
      <c r="H6" s="3235"/>
      <c r="I6" s="3234" t="s">
        <v>2545</v>
      </c>
      <c r="J6" s="3235"/>
      <c r="K6" s="2591" t="s">
        <v>2546</v>
      </c>
      <c r="L6" s="1130"/>
      <c r="M6" s="1131"/>
      <c r="N6" s="1131"/>
      <c r="O6" s="1131"/>
      <c r="P6" s="3225"/>
      <c r="Q6" s="3226"/>
      <c r="R6" s="3229"/>
      <c r="S6" s="3230"/>
      <c r="T6" s="3231"/>
      <c r="U6" s="3232"/>
      <c r="V6" s="3233"/>
      <c r="W6" s="3233"/>
      <c r="X6" s="1805"/>
      <c r="Y6" s="3231"/>
      <c r="Z6" s="3232"/>
      <c r="AA6" s="3216"/>
      <c r="AB6" s="3216"/>
      <c r="AC6" s="3216"/>
    </row>
    <row r="7" spans="1:29" s="117" customFormat="1" ht="15.75" thickBot="1">
      <c r="A7" s="408" t="s">
        <v>2547</v>
      </c>
      <c r="B7" s="409"/>
      <c r="C7" s="410">
        <f>'数据-取费表'!B2</f>
        <v>43978</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38" t="s">
        <v>2548</v>
      </c>
      <c r="Q7" s="3240"/>
      <c r="R7" s="770" t="s">
        <v>23</v>
      </c>
      <c r="S7" s="771">
        <f t="shared" ref="S7:S15" si="0">F7</f>
        <v>0</v>
      </c>
      <c r="T7" s="770" t="s">
        <v>23</v>
      </c>
      <c r="U7" s="771">
        <f t="shared" ref="U7:U15" si="1">H7</f>
        <v>0</v>
      </c>
      <c r="V7" s="770" t="s">
        <v>23</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38" t="s">
        <v>2551</v>
      </c>
      <c r="Q8" s="3239"/>
      <c r="R8" s="770" t="s">
        <v>23</v>
      </c>
      <c r="S8" s="771">
        <f t="shared" si="0"/>
        <v>0</v>
      </c>
      <c r="T8" s="770" t="s">
        <v>23</v>
      </c>
      <c r="U8" s="771">
        <f t="shared" si="1"/>
        <v>0</v>
      </c>
      <c r="V8" s="770" t="s">
        <v>23</v>
      </c>
      <c r="W8" s="771">
        <f t="shared" si="2"/>
        <v>0</v>
      </c>
      <c r="X8" s="772"/>
      <c r="Y8" s="3238" t="s">
        <v>2551</v>
      </c>
      <c r="Z8" s="323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13"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3"/>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3"/>
      <c r="Q11" s="1787"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13"/>
      <c r="Q12" s="1787">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13"/>
      <c r="Q13" s="1787">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13"/>
      <c r="Q14" s="1787">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1" t="s">
        <v>2559</v>
      </c>
      <c r="Q15" s="1802" t="str">
        <f t="shared" si="6"/>
        <v>居住社区成熟度</v>
      </c>
      <c r="R15" s="774" t="s">
        <v>21</v>
      </c>
      <c r="S15" s="775">
        <f t="shared" si="0"/>
        <v>100</v>
      </c>
      <c r="T15" s="774" t="s">
        <v>21</v>
      </c>
      <c r="U15" s="775">
        <f t="shared" si="1"/>
        <v>100</v>
      </c>
      <c r="V15" s="774" t="s">
        <v>21</v>
      </c>
      <c r="W15" s="775">
        <f t="shared" si="2"/>
        <v>100</v>
      </c>
      <c r="X15" s="1805"/>
      <c r="Y15" s="3204"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12"/>
      <c r="Q16" s="1802"/>
      <c r="R16" s="774"/>
      <c r="S16" s="775"/>
      <c r="T16" s="774"/>
      <c r="U16" s="775"/>
      <c r="V16" s="774"/>
      <c r="W16" s="775"/>
      <c r="X16" s="1805"/>
      <c r="Y16" s="3205"/>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2"/>
      <c r="Q17" s="1802" t="str">
        <f>B17</f>
        <v>交通便捷度</v>
      </c>
      <c r="R17" s="774" t="s">
        <v>21</v>
      </c>
      <c r="S17" s="775">
        <f>F17</f>
        <v>100</v>
      </c>
      <c r="T17" s="774" t="s">
        <v>21</v>
      </c>
      <c r="U17" s="775">
        <f>H17</f>
        <v>100</v>
      </c>
      <c r="V17" s="774" t="s">
        <v>21</v>
      </c>
      <c r="W17" s="775">
        <f>J17</f>
        <v>100</v>
      </c>
      <c r="X17" s="1805"/>
      <c r="Y17" s="3205"/>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12"/>
      <c r="Q18" s="1802"/>
      <c r="R18" s="774"/>
      <c r="S18" s="775"/>
      <c r="T18" s="774"/>
      <c r="U18" s="775"/>
      <c r="V18" s="774"/>
      <c r="W18" s="775"/>
      <c r="X18" s="1805"/>
      <c r="Y18" s="3205"/>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2"/>
      <c r="Q19" s="1802" t="str">
        <f>B19</f>
        <v>公共配套设施</v>
      </c>
      <c r="R19" s="774" t="s">
        <v>21</v>
      </c>
      <c r="S19" s="775">
        <f>F19</f>
        <v>100</v>
      </c>
      <c r="T19" s="774" t="s">
        <v>21</v>
      </c>
      <c r="U19" s="775">
        <f>H19</f>
        <v>100</v>
      </c>
      <c r="V19" s="774" t="s">
        <v>21</v>
      </c>
      <c r="W19" s="775">
        <f>J19</f>
        <v>100</v>
      </c>
      <c r="X19" s="1805"/>
      <c r="Y19" s="3205"/>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12"/>
      <c r="Q20" s="1802"/>
      <c r="R20" s="774"/>
      <c r="S20" s="775"/>
      <c r="T20" s="774"/>
      <c r="U20" s="775"/>
      <c r="V20" s="774"/>
      <c r="W20" s="775"/>
      <c r="X20" s="1805"/>
      <c r="Y20" s="3205"/>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2"/>
      <c r="Q21" s="1802" t="str">
        <f>B21</f>
        <v>基础设施水平</v>
      </c>
      <c r="R21" s="774" t="s">
        <v>17</v>
      </c>
      <c r="S21" s="775">
        <f>F21</f>
        <v>100</v>
      </c>
      <c r="T21" s="774" t="s">
        <v>17</v>
      </c>
      <c r="U21" s="775">
        <f>H21</f>
        <v>100</v>
      </c>
      <c r="V21" s="774" t="s">
        <v>17</v>
      </c>
      <c r="W21" s="775">
        <f>J21</f>
        <v>100</v>
      </c>
      <c r="X21" s="1805"/>
      <c r="Y21" s="3205"/>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12"/>
      <c r="Q22" s="1802"/>
      <c r="R22" s="774"/>
      <c r="S22" s="775"/>
      <c r="T22" s="774"/>
      <c r="U22" s="775"/>
      <c r="V22" s="774"/>
      <c r="W22" s="775"/>
      <c r="X22" s="1805"/>
      <c r="Y22" s="3205"/>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2"/>
      <c r="Q23" s="1802" t="str">
        <f>B23</f>
        <v>自然及人文环境</v>
      </c>
      <c r="R23" s="774" t="s">
        <v>21</v>
      </c>
      <c r="S23" s="775">
        <f>F23</f>
        <v>100</v>
      </c>
      <c r="T23" s="774" t="s">
        <v>21</v>
      </c>
      <c r="U23" s="775">
        <f>H23</f>
        <v>100</v>
      </c>
      <c r="V23" s="774" t="s">
        <v>21</v>
      </c>
      <c r="W23" s="775">
        <f>J23</f>
        <v>100</v>
      </c>
      <c r="X23" s="1805"/>
      <c r="Y23" s="3205"/>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12"/>
      <c r="Q24" s="1802"/>
      <c r="R24" s="774"/>
      <c r="S24" s="775"/>
      <c r="T24" s="774"/>
      <c r="U24" s="775"/>
      <c r="V24" s="774"/>
      <c r="W24" s="775"/>
      <c r="X24" s="1805"/>
      <c r="Y24" s="3205"/>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1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05"/>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12"/>
      <c r="Q26" s="1802" t="str">
        <f t="shared" si="11"/>
        <v>朝向</v>
      </c>
      <c r="R26" s="774" t="s">
        <v>21</v>
      </c>
      <c r="S26" s="775">
        <f t="shared" si="12"/>
        <v>100</v>
      </c>
      <c r="T26" s="774" t="s">
        <v>21</v>
      </c>
      <c r="U26" s="775">
        <f t="shared" si="13"/>
        <v>100</v>
      </c>
      <c r="V26" s="774" t="s">
        <v>21</v>
      </c>
      <c r="W26" s="775">
        <f t="shared" si="14"/>
        <v>100</v>
      </c>
      <c r="X26" s="1805"/>
      <c r="Y26" s="320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12"/>
      <c r="Q27" s="1787">
        <f t="shared" si="11"/>
        <v>111</v>
      </c>
      <c r="R27" s="770" t="s">
        <v>21</v>
      </c>
      <c r="S27" s="771">
        <f t="shared" si="12"/>
        <v>100</v>
      </c>
      <c r="T27" s="770" t="s">
        <v>21</v>
      </c>
      <c r="U27" s="771">
        <f t="shared" si="13"/>
        <v>100</v>
      </c>
      <c r="V27" s="770" t="s">
        <v>21</v>
      </c>
      <c r="W27" s="771">
        <f t="shared" si="14"/>
        <v>100</v>
      </c>
      <c r="X27" s="772"/>
      <c r="Y27" s="320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12"/>
      <c r="Q28" s="1802">
        <f t="shared" si="11"/>
        <v>111</v>
      </c>
      <c r="R28" s="774" t="s">
        <v>21</v>
      </c>
      <c r="S28" s="775">
        <f t="shared" si="12"/>
        <v>100</v>
      </c>
      <c r="T28" s="774" t="s">
        <v>21</v>
      </c>
      <c r="U28" s="775">
        <f t="shared" si="13"/>
        <v>100</v>
      </c>
      <c r="V28" s="774" t="s">
        <v>21</v>
      </c>
      <c r="W28" s="775">
        <f t="shared" si="14"/>
        <v>100</v>
      </c>
      <c r="X28" s="1805"/>
      <c r="Y28" s="320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12"/>
      <c r="Q29" s="1802">
        <f t="shared" si="11"/>
        <v>111</v>
      </c>
      <c r="R29" s="774" t="s">
        <v>21</v>
      </c>
      <c r="S29" s="775">
        <f t="shared" si="12"/>
        <v>100</v>
      </c>
      <c r="T29" s="774" t="s">
        <v>21</v>
      </c>
      <c r="U29" s="775">
        <f t="shared" si="13"/>
        <v>100</v>
      </c>
      <c r="V29" s="774" t="s">
        <v>21</v>
      </c>
      <c r="W29" s="775">
        <f t="shared" si="14"/>
        <v>100</v>
      </c>
      <c r="X29" s="1805"/>
      <c r="Y29" s="320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12"/>
      <c r="Q30" s="1802">
        <f t="shared" si="11"/>
        <v>111</v>
      </c>
      <c r="R30" s="774" t="s">
        <v>21</v>
      </c>
      <c r="S30" s="775">
        <f t="shared" si="12"/>
        <v>100</v>
      </c>
      <c r="T30" s="774" t="s">
        <v>21</v>
      </c>
      <c r="U30" s="775">
        <f t="shared" si="13"/>
        <v>100</v>
      </c>
      <c r="V30" s="774" t="s">
        <v>21</v>
      </c>
      <c r="W30" s="775">
        <f t="shared" si="14"/>
        <v>100</v>
      </c>
      <c r="X30" s="1805"/>
      <c r="Y30" s="320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12"/>
      <c r="Q31" s="1802">
        <f t="shared" si="11"/>
        <v>111</v>
      </c>
      <c r="R31" s="774" t="s">
        <v>21</v>
      </c>
      <c r="S31" s="775">
        <f t="shared" si="12"/>
        <v>100</v>
      </c>
      <c r="T31" s="774" t="s">
        <v>21</v>
      </c>
      <c r="U31" s="775">
        <f t="shared" si="13"/>
        <v>100</v>
      </c>
      <c r="V31" s="774" t="s">
        <v>21</v>
      </c>
      <c r="W31" s="775">
        <f t="shared" si="14"/>
        <v>100</v>
      </c>
      <c r="X31" s="1805"/>
      <c r="Y31" s="3205"/>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06" t="s">
        <v>2564</v>
      </c>
      <c r="Q32" s="1802" t="str">
        <f t="shared" si="11"/>
        <v>建筑类型</v>
      </c>
      <c r="R32" s="774" t="s">
        <v>21</v>
      </c>
      <c r="S32" s="775">
        <f t="shared" si="12"/>
        <v>100</v>
      </c>
      <c r="T32" s="774" t="s">
        <v>21</v>
      </c>
      <c r="U32" s="775">
        <f t="shared" si="13"/>
        <v>100</v>
      </c>
      <c r="V32" s="774" t="s">
        <v>21</v>
      </c>
      <c r="W32" s="775">
        <f t="shared" si="14"/>
        <v>100</v>
      </c>
      <c r="X32" s="1805"/>
      <c r="Y32" s="3209"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07"/>
      <c r="Q34" s="1802" t="str">
        <f t="shared" si="11"/>
        <v>建筑结构</v>
      </c>
      <c r="R34" s="774" t="s">
        <v>21</v>
      </c>
      <c r="S34" s="775">
        <f t="shared" si="12"/>
        <v>100</v>
      </c>
      <c r="T34" s="774" t="s">
        <v>21</v>
      </c>
      <c r="U34" s="775">
        <f t="shared" si="13"/>
        <v>100</v>
      </c>
      <c r="V34" s="774" t="s">
        <v>21</v>
      </c>
      <c r="W34" s="775">
        <f t="shared" si="14"/>
        <v>100</v>
      </c>
      <c r="X34" s="1805"/>
      <c r="Y34" s="3209"/>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07"/>
      <c r="Q35" s="1802" t="str">
        <f t="shared" si="11"/>
        <v>建筑品质</v>
      </c>
      <c r="R35" s="774" t="s">
        <v>21</v>
      </c>
      <c r="S35" s="775">
        <f t="shared" si="12"/>
        <v>100</v>
      </c>
      <c r="T35" s="774" t="s">
        <v>21</v>
      </c>
      <c r="U35" s="775">
        <f t="shared" si="13"/>
        <v>100</v>
      </c>
      <c r="V35" s="774" t="s">
        <v>21</v>
      </c>
      <c r="W35" s="775">
        <f t="shared" si="14"/>
        <v>100</v>
      </c>
      <c r="X35" s="1805"/>
      <c r="Y35" s="3209"/>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07"/>
      <c r="Q36" s="1802" t="str">
        <f t="shared" si="11"/>
        <v>公共部分装修</v>
      </c>
      <c r="R36" s="774" t="s">
        <v>21</v>
      </c>
      <c r="S36" s="775">
        <f t="shared" si="12"/>
        <v>100</v>
      </c>
      <c r="T36" s="774" t="s">
        <v>21</v>
      </c>
      <c r="U36" s="775">
        <f t="shared" si="13"/>
        <v>100</v>
      </c>
      <c r="V36" s="774" t="s">
        <v>21</v>
      </c>
      <c r="W36" s="775">
        <f t="shared" si="14"/>
        <v>100</v>
      </c>
      <c r="X36" s="1805"/>
      <c r="Y36" s="3209"/>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7"/>
      <c r="Q37" s="1787"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07" t="s">
        <v>2564</v>
      </c>
      <c r="Q38" s="1802" t="str">
        <f t="shared" si="11"/>
        <v>物业管理</v>
      </c>
      <c r="R38" s="774" t="s">
        <v>21</v>
      </c>
      <c r="S38" s="775">
        <f t="shared" si="12"/>
        <v>100</v>
      </c>
      <c r="T38" s="774" t="s">
        <v>21</v>
      </c>
      <c r="U38" s="775">
        <f t="shared" si="13"/>
        <v>100</v>
      </c>
      <c r="V38" s="774" t="s">
        <v>21</v>
      </c>
      <c r="W38" s="775">
        <f t="shared" si="14"/>
        <v>100</v>
      </c>
      <c r="X38" s="1805"/>
      <c r="Y38" s="3209"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07"/>
      <c r="Q39" s="1802" t="str">
        <f t="shared" si="11"/>
        <v>市政基础设施</v>
      </c>
      <c r="R39" s="774" t="s">
        <v>21</v>
      </c>
      <c r="S39" s="775">
        <f t="shared" si="12"/>
        <v>100</v>
      </c>
      <c r="T39" s="774" t="s">
        <v>21</v>
      </c>
      <c r="U39" s="775">
        <f t="shared" si="13"/>
        <v>100</v>
      </c>
      <c r="V39" s="774" t="s">
        <v>21</v>
      </c>
      <c r="W39" s="775">
        <f t="shared" si="14"/>
        <v>100</v>
      </c>
      <c r="X39" s="1805"/>
      <c r="Y39" s="3209"/>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07"/>
      <c r="Q40" s="1802" t="str">
        <f t="shared" si="11"/>
        <v>房型</v>
      </c>
      <c r="R40" s="774" t="s">
        <v>21</v>
      </c>
      <c r="S40" s="775">
        <f t="shared" si="12"/>
        <v>100</v>
      </c>
      <c r="T40" s="774" t="s">
        <v>21</v>
      </c>
      <c r="U40" s="775">
        <f t="shared" si="13"/>
        <v>100</v>
      </c>
      <c r="V40" s="774" t="s">
        <v>21</v>
      </c>
      <c r="W40" s="775">
        <f t="shared" si="14"/>
        <v>100</v>
      </c>
      <c r="X40" s="1805"/>
      <c r="Y40" s="3209"/>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07"/>
      <c r="Q42" s="1802" t="str">
        <f t="shared" si="11"/>
        <v>内部装修</v>
      </c>
      <c r="R42" s="774" t="s">
        <v>21</v>
      </c>
      <c r="S42" s="775">
        <f t="shared" si="12"/>
        <v>100</v>
      </c>
      <c r="T42" s="774" t="s">
        <v>21</v>
      </c>
      <c r="U42" s="775">
        <f t="shared" si="13"/>
        <v>100</v>
      </c>
      <c r="V42" s="774" t="s">
        <v>21</v>
      </c>
      <c r="W42" s="775">
        <f t="shared" si="14"/>
        <v>100</v>
      </c>
      <c r="X42" s="1805"/>
      <c r="Y42" s="3209"/>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07"/>
      <c r="Q43" s="1802" t="str">
        <f t="shared" si="11"/>
        <v>内部装修维护情况</v>
      </c>
      <c r="R43" s="774" t="s">
        <v>21</v>
      </c>
      <c r="S43" s="775">
        <f t="shared" si="12"/>
        <v>100</v>
      </c>
      <c r="T43" s="774" t="s">
        <v>21</v>
      </c>
      <c r="U43" s="775">
        <f t="shared" si="13"/>
        <v>100</v>
      </c>
      <c r="V43" s="774" t="s">
        <v>21</v>
      </c>
      <c r="W43" s="775">
        <f t="shared" si="14"/>
        <v>100</v>
      </c>
      <c r="X43" s="1805"/>
      <c r="Y43" s="320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07"/>
      <c r="Q44" s="1787">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07"/>
      <c r="Q45" s="1802">
        <f t="shared" si="11"/>
        <v>111</v>
      </c>
      <c r="R45" s="774" t="s">
        <v>21</v>
      </c>
      <c r="S45" s="775">
        <f t="shared" si="12"/>
        <v>100</v>
      </c>
      <c r="T45" s="774" t="s">
        <v>21</v>
      </c>
      <c r="U45" s="775">
        <f t="shared" si="13"/>
        <v>100</v>
      </c>
      <c r="V45" s="774" t="s">
        <v>21</v>
      </c>
      <c r="W45" s="775">
        <f t="shared" si="14"/>
        <v>100</v>
      </c>
      <c r="X45" s="1805"/>
      <c r="Y45" s="3209"/>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08"/>
      <c r="Q46" s="1802">
        <f t="shared" si="11"/>
        <v>111</v>
      </c>
      <c r="R46" s="774" t="s">
        <v>20</v>
      </c>
      <c r="S46" s="775">
        <f t="shared" si="12"/>
        <v>100</v>
      </c>
      <c r="T46" s="774" t="s">
        <v>20</v>
      </c>
      <c r="U46" s="775">
        <f t="shared" si="13"/>
        <v>100</v>
      </c>
      <c r="V46" s="774" t="s">
        <v>20</v>
      </c>
      <c r="W46" s="775">
        <f t="shared" si="14"/>
        <v>100</v>
      </c>
      <c r="X46" s="1805"/>
      <c r="Y46" s="3210"/>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70" zoomScaleNormal="70" workbookViewId="0">
      <selection activeCell="M23" sqref="M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t="s">
        <v>1372</v>
      </c>
      <c r="E1" s="2651"/>
      <c r="F1" s="2578" t="s">
        <v>3076</v>
      </c>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f>IF(C2="——",ROUND(C49*D3/10000,0),ROUND(C49*D3/10000,0)-D2)</f>
        <v>4884</v>
      </c>
      <c r="C2" s="2580" t="s">
        <v>70</v>
      </c>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f>IF(C2="——",C49,ROUND(B2*10000/D3,0))</f>
        <v>34919</v>
      </c>
      <c r="C3" s="400" t="s">
        <v>2643</v>
      </c>
      <c r="D3" s="399">
        <f>IF(D1="",'数据-汇总表'!E3,SUMIF('数据-汇总表'!$C19:$C33,D1,'数据-汇总表'!$E19:$E33))</f>
        <v>1398.7300000000002</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33" t="s">
        <v>2647</v>
      </c>
      <c r="AC4" s="3214" t="s">
        <v>2648</v>
      </c>
    </row>
    <row r="5" spans="1:29" ht="15">
      <c r="A5" s="404"/>
      <c r="B5" s="405"/>
      <c r="C5" s="3236" t="s">
        <v>2541</v>
      </c>
      <c r="D5" s="3237"/>
      <c r="E5" s="3246" t="s">
        <v>3085</v>
      </c>
      <c r="F5" s="3244"/>
      <c r="G5" s="3245" t="s">
        <v>3086</v>
      </c>
      <c r="H5" s="3237"/>
      <c r="I5" s="3245" t="s">
        <v>3087</v>
      </c>
      <c r="J5" s="3237"/>
      <c r="K5" s="610"/>
      <c r="L5" s="1130"/>
      <c r="M5" s="1131"/>
      <c r="N5" s="1131"/>
      <c r="O5" s="1131"/>
      <c r="P5" s="3223"/>
      <c r="Q5" s="3224"/>
      <c r="R5" s="3229"/>
      <c r="S5" s="3230"/>
      <c r="T5" s="3229"/>
      <c r="U5" s="3230"/>
      <c r="V5" s="3233"/>
      <c r="W5" s="3233"/>
      <c r="X5" s="1805"/>
      <c r="Y5" s="3229"/>
      <c r="Z5" s="3230"/>
      <c r="AA5" s="3215"/>
      <c r="AB5" s="3233"/>
      <c r="AC5" s="3215"/>
    </row>
    <row r="6" spans="1:29" ht="15.75" thickBot="1">
      <c r="A6" s="406"/>
      <c r="B6" s="407"/>
      <c r="C6" s="3234" t="s">
        <v>2545</v>
      </c>
      <c r="D6" s="3235"/>
      <c r="E6" s="3241" t="s">
        <v>2545</v>
      </c>
      <c r="F6" s="3242"/>
      <c r="G6" s="3234" t="s">
        <v>2545</v>
      </c>
      <c r="H6" s="3235"/>
      <c r="I6" s="3234" t="s">
        <v>2545</v>
      </c>
      <c r="J6" s="3235"/>
      <c r="K6" s="610" t="s">
        <v>2546</v>
      </c>
      <c r="L6" s="1130"/>
      <c r="M6" s="1131"/>
      <c r="N6" s="1131"/>
      <c r="O6" s="1131"/>
      <c r="P6" s="3225"/>
      <c r="Q6" s="3226"/>
      <c r="R6" s="3229"/>
      <c r="S6" s="3230"/>
      <c r="T6" s="3231"/>
      <c r="U6" s="3232"/>
      <c r="V6" s="3233"/>
      <c r="W6" s="3233"/>
      <c r="X6" s="1805"/>
      <c r="Y6" s="3231"/>
      <c r="Z6" s="3232"/>
      <c r="AA6" s="3216"/>
      <c r="AB6" s="3233"/>
      <c r="AC6" s="3216"/>
    </row>
    <row r="7" spans="1:29" s="117" customFormat="1" ht="15.75" thickBot="1">
      <c r="A7" s="408" t="s">
        <v>2547</v>
      </c>
      <c r="B7" s="409"/>
      <c r="C7" s="410">
        <f>'数据-取费表'!B2</f>
        <v>43978</v>
      </c>
      <c r="D7" s="411">
        <v>100</v>
      </c>
      <c r="E7" s="412">
        <v>43952</v>
      </c>
      <c r="F7" s="413">
        <f>SUMIF(58:58,YEAR(E7)&amp;"-"&amp;MONTH(E7),59:59)</f>
        <v>100</v>
      </c>
      <c r="G7" s="412">
        <v>43952</v>
      </c>
      <c r="H7" s="411">
        <f>SUMIF(58:58,YEAR(G7)&amp;"-"&amp;MONTH(G7),59:59)</f>
        <v>100</v>
      </c>
      <c r="I7" s="412">
        <v>43952</v>
      </c>
      <c r="J7" s="411">
        <f>SUMIF(58:58,YEAR(I7)&amp;"-"&amp;MONTH(I7),59:59)</f>
        <v>100</v>
      </c>
      <c r="K7" s="611"/>
      <c r="L7" s="1132"/>
      <c r="M7" s="1133"/>
      <c r="N7" s="1133"/>
      <c r="O7" s="1133"/>
      <c r="P7" s="3238" t="s">
        <v>2548</v>
      </c>
      <c r="Q7" s="3240"/>
      <c r="R7" s="770" t="s">
        <v>17</v>
      </c>
      <c r="S7" s="771">
        <f t="shared" ref="S7:S15" si="0">F7</f>
        <v>100</v>
      </c>
      <c r="T7" s="770" t="s">
        <v>17</v>
      </c>
      <c r="U7" s="771">
        <f t="shared" ref="U7:U15" si="1">H7</f>
        <v>100</v>
      </c>
      <c r="V7" s="770" t="s">
        <v>17</v>
      </c>
      <c r="W7" s="771">
        <f t="shared" ref="W7:W15" si="2">J7</f>
        <v>100</v>
      </c>
      <c r="X7" s="772"/>
      <c r="Y7" s="3238" t="s">
        <v>2548</v>
      </c>
      <c r="Z7" s="3239"/>
      <c r="AA7" s="773">
        <f>D7/F7</f>
        <v>1</v>
      </c>
      <c r="AB7" s="773">
        <f>D7/H7</f>
        <v>1</v>
      </c>
      <c r="AC7" s="773">
        <f>D7/J7</f>
        <v>1</v>
      </c>
    </row>
    <row r="8" spans="1:29" s="117" customFormat="1" ht="15.75" thickBot="1">
      <c r="A8" s="408" t="s">
        <v>2549</v>
      </c>
      <c r="B8" s="409"/>
      <c r="C8" s="414" t="s">
        <v>2651</v>
      </c>
      <c r="D8" s="411">
        <v>100</v>
      </c>
      <c r="E8" s="2963" t="s">
        <v>3077</v>
      </c>
      <c r="F8" s="413">
        <f>SUMIF(61:61,E8,62:62)-SUMIF(61:61,C8,62:62)+100</f>
        <v>100</v>
      </c>
      <c r="G8" s="2963" t="s">
        <v>3077</v>
      </c>
      <c r="H8" s="411">
        <f>SUMIF(61:61,G8,62:62)-SUMIF(61:61,C8,62:62)+100</f>
        <v>100</v>
      </c>
      <c r="I8" s="2963" t="s">
        <v>3077</v>
      </c>
      <c r="J8" s="411">
        <f>SUMIF(61:61,I8,62:62)-SUMIF(61:61,C8,62:62)+100</f>
        <v>100</v>
      </c>
      <c r="K8" s="611"/>
      <c r="L8" s="1132"/>
      <c r="M8" s="1133"/>
      <c r="N8" s="1133"/>
      <c r="O8" s="1133"/>
      <c r="P8" s="3238" t="s">
        <v>2551</v>
      </c>
      <c r="Q8" s="3239"/>
      <c r="R8" s="770" t="s">
        <v>17</v>
      </c>
      <c r="S8" s="771">
        <f t="shared" si="0"/>
        <v>100</v>
      </c>
      <c r="T8" s="770" t="s">
        <v>17</v>
      </c>
      <c r="U8" s="771">
        <f t="shared" si="1"/>
        <v>100</v>
      </c>
      <c r="V8" s="770" t="s">
        <v>17</v>
      </c>
      <c r="W8" s="771">
        <f t="shared" si="2"/>
        <v>100</v>
      </c>
      <c r="X8" s="772"/>
      <c r="Y8" s="3238" t="s">
        <v>2551</v>
      </c>
      <c r="Z8" s="3239"/>
      <c r="AA8" s="773">
        <f t="shared" ref="AA8:AA46" si="3">D8/F8</f>
        <v>1</v>
      </c>
      <c r="AB8" s="773">
        <f t="shared" ref="AB8:AB46" si="4">D8/H8</f>
        <v>1</v>
      </c>
      <c r="AC8" s="773">
        <f t="shared" ref="AC8:AC46" si="5">D8/J8</f>
        <v>1</v>
      </c>
    </row>
    <row r="9" spans="1:29" s="117" customFormat="1">
      <c r="A9" s="415" t="s">
        <v>2552</v>
      </c>
      <c r="B9" s="71" t="s">
        <v>2553</v>
      </c>
      <c r="C9" s="2964" t="s">
        <v>3078</v>
      </c>
      <c r="D9" s="135">
        <v>100</v>
      </c>
      <c r="E9" s="2965" t="s">
        <v>3078</v>
      </c>
      <c r="F9" s="418">
        <f>SUMIF(63:63,E9,64:64)-SUMIF(63:63,C9,64:64)+100</f>
        <v>100</v>
      </c>
      <c r="G9" s="2965" t="s">
        <v>3078</v>
      </c>
      <c r="H9" s="135">
        <f>SUMIF(63:63,G9,64:64)-SUMIF(63:63,C9,64:64)+100</f>
        <v>100</v>
      </c>
      <c r="I9" s="2965" t="s">
        <v>3078</v>
      </c>
      <c r="J9" s="135">
        <f>SUMIF(63:63,I9,64:64)-SUMIF(63:63,C9,64:64)+100</f>
        <v>100</v>
      </c>
      <c r="K9" s="611"/>
      <c r="L9" s="1132"/>
      <c r="M9" s="1133"/>
      <c r="N9" s="1133"/>
      <c r="O9" s="1133"/>
      <c r="P9" s="3213"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t="s">
        <v>3079</v>
      </c>
      <c r="D10" s="136">
        <v>100</v>
      </c>
      <c r="E10" s="424" t="s">
        <v>3079</v>
      </c>
      <c r="F10" s="425">
        <f>SUMIF(65:65,E10,66:66)-SUMIF(65:65,C10,66:66)+100</f>
        <v>100</v>
      </c>
      <c r="G10" s="423" t="s">
        <v>3079</v>
      </c>
      <c r="H10" s="136">
        <f>SUMIF(65:65,G10,66:66)-SUMIF(65:65,C10,66:66)+100</f>
        <v>100</v>
      </c>
      <c r="I10" s="423" t="s">
        <v>3079</v>
      </c>
      <c r="J10" s="136">
        <f>SUMIF(65:65,I10,66:66)-SUMIF(65:65,C10,66:66)+100</f>
        <v>100</v>
      </c>
      <c r="K10" s="612"/>
      <c r="L10" s="1135"/>
      <c r="M10" s="1136"/>
      <c r="N10" s="1136"/>
      <c r="O10" s="1136"/>
      <c r="P10" s="3213"/>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3"/>
      <c r="Q11" s="1787"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773">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3"/>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8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11" t="s">
        <v>2559</v>
      </c>
      <c r="Q15" s="1802" t="str">
        <f t="shared" si="6"/>
        <v>商业繁华度</v>
      </c>
      <c r="R15" s="774" t="s">
        <v>17</v>
      </c>
      <c r="S15" s="775">
        <f t="shared" si="0"/>
        <v>102</v>
      </c>
      <c r="T15" s="774" t="s">
        <v>17</v>
      </c>
      <c r="U15" s="775">
        <f t="shared" si="1"/>
        <v>102</v>
      </c>
      <c r="V15" s="774" t="s">
        <v>17</v>
      </c>
      <c r="W15" s="775">
        <f t="shared" si="2"/>
        <v>102</v>
      </c>
      <c r="X15" s="1805"/>
      <c r="Y15" s="3204" t="s">
        <v>2559</v>
      </c>
      <c r="Z15" s="1806" t="str">
        <f t="shared" si="7"/>
        <v>商业繁华度</v>
      </c>
      <c r="AA15" s="1803">
        <f t="shared" si="3"/>
        <v>0.98039215686274506</v>
      </c>
      <c r="AB15" s="1803">
        <f t="shared" si="4"/>
        <v>0.98039215686274506</v>
      </c>
      <c r="AC15" s="1803">
        <f t="shared" si="5"/>
        <v>0.98039215686274506</v>
      </c>
    </row>
    <row r="16" spans="1:29" ht="15">
      <c r="A16" s="428"/>
      <c r="B16" s="446"/>
      <c r="C16" s="2969" t="s">
        <v>3088</v>
      </c>
      <c r="D16" s="448"/>
      <c r="E16" s="2969" t="s">
        <v>3089</v>
      </c>
      <c r="F16" s="449"/>
      <c r="G16" s="2969" t="s">
        <v>3089</v>
      </c>
      <c r="H16" s="450"/>
      <c r="I16" s="2969" t="s">
        <v>3089</v>
      </c>
      <c r="J16" s="448"/>
      <c r="K16" s="615"/>
      <c r="L16" s="1140"/>
      <c r="M16" s="1131"/>
      <c r="N16" s="1131"/>
      <c r="O16" s="1131"/>
      <c r="P16" s="3212"/>
      <c r="Q16" s="1802"/>
      <c r="R16" s="774"/>
      <c r="S16" s="775"/>
      <c r="T16" s="774"/>
      <c r="U16" s="775"/>
      <c r="V16" s="774"/>
      <c r="W16" s="775"/>
      <c r="X16" s="1805"/>
      <c r="Y16" s="3205"/>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12"/>
      <c r="Q17" s="1802" t="str">
        <f>B17</f>
        <v>交通便捷度</v>
      </c>
      <c r="R17" s="774" t="s">
        <v>17</v>
      </c>
      <c r="S17" s="775">
        <f>F17</f>
        <v>100</v>
      </c>
      <c r="T17" s="774" t="s">
        <v>17</v>
      </c>
      <c r="U17" s="775">
        <f>H17</f>
        <v>100</v>
      </c>
      <c r="V17" s="774" t="s">
        <v>17</v>
      </c>
      <c r="W17" s="775">
        <f>J17</f>
        <v>100</v>
      </c>
      <c r="X17" s="1805"/>
      <c r="Y17" s="3205"/>
      <c r="Z17" s="1806" t="str">
        <f>Q17</f>
        <v>交通便捷度</v>
      </c>
      <c r="AA17" s="1803">
        <f t="shared" si="3"/>
        <v>1</v>
      </c>
      <c r="AB17" s="1803">
        <f t="shared" si="4"/>
        <v>1</v>
      </c>
      <c r="AC17" s="1803">
        <f t="shared" si="5"/>
        <v>1</v>
      </c>
    </row>
    <row r="18" spans="1:29" ht="15">
      <c r="A18" s="428"/>
      <c r="B18" s="456"/>
      <c r="C18" s="2970" t="s">
        <v>3089</v>
      </c>
      <c r="D18" s="450"/>
      <c r="E18" s="2975" t="s">
        <v>3089</v>
      </c>
      <c r="F18" s="453"/>
      <c r="G18" s="2978" t="s">
        <v>3089</v>
      </c>
      <c r="H18" s="448"/>
      <c r="I18" s="2975" t="s">
        <v>3089</v>
      </c>
      <c r="J18" s="448"/>
      <c r="K18" s="615"/>
      <c r="L18" s="1140"/>
      <c r="M18" s="1131"/>
      <c r="N18" s="1131"/>
      <c r="O18" s="1131"/>
      <c r="P18" s="3212"/>
      <c r="Q18" s="1802"/>
      <c r="R18" s="774"/>
      <c r="S18" s="775"/>
      <c r="T18" s="774"/>
      <c r="U18" s="775"/>
      <c r="V18" s="774"/>
      <c r="W18" s="775"/>
      <c r="X18" s="1805"/>
      <c r="Y18" s="3205"/>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12"/>
      <c r="Q19" s="1802" t="str">
        <f>B19</f>
        <v>公共配套设施</v>
      </c>
      <c r="R19" s="774" t="s">
        <v>17</v>
      </c>
      <c r="S19" s="775">
        <f>F19</f>
        <v>100</v>
      </c>
      <c r="T19" s="774" t="s">
        <v>17</v>
      </c>
      <c r="U19" s="775">
        <f>H19</f>
        <v>100</v>
      </c>
      <c r="V19" s="774" t="s">
        <v>17</v>
      </c>
      <c r="W19" s="775">
        <f>J19</f>
        <v>100</v>
      </c>
      <c r="X19" s="1805"/>
      <c r="Y19" s="3205"/>
      <c r="Z19" s="1806" t="str">
        <f>Q19</f>
        <v>公共配套设施</v>
      </c>
      <c r="AA19" s="1803">
        <f t="shared" si="3"/>
        <v>1</v>
      </c>
      <c r="AB19" s="1803">
        <f t="shared" si="4"/>
        <v>1</v>
      </c>
      <c r="AC19" s="1803">
        <f t="shared" si="5"/>
        <v>1</v>
      </c>
    </row>
    <row r="20" spans="1:29" ht="15">
      <c r="A20" s="428"/>
      <c r="B20" s="456"/>
      <c r="C20" s="2969" t="s">
        <v>3089</v>
      </c>
      <c r="D20" s="448"/>
      <c r="E20" s="2976" t="s">
        <v>3089</v>
      </c>
      <c r="F20" s="449"/>
      <c r="G20" s="2977" t="s">
        <v>3089</v>
      </c>
      <c r="H20" s="448"/>
      <c r="I20" s="2976" t="s">
        <v>3089</v>
      </c>
      <c r="J20" s="448"/>
      <c r="K20" s="615"/>
      <c r="L20" s="1140"/>
      <c r="M20" s="1131"/>
      <c r="N20" s="1131"/>
      <c r="O20" s="1131"/>
      <c r="P20" s="3212"/>
      <c r="Q20" s="1802"/>
      <c r="R20" s="774"/>
      <c r="S20" s="775"/>
      <c r="T20" s="774"/>
      <c r="U20" s="775"/>
      <c r="V20" s="774"/>
      <c r="W20" s="775"/>
      <c r="X20" s="1805"/>
      <c r="Y20" s="3205"/>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12"/>
      <c r="Q21" s="1802" t="str">
        <f>B21</f>
        <v>基础设施水平</v>
      </c>
      <c r="R21" s="774" t="s">
        <v>17</v>
      </c>
      <c r="S21" s="775">
        <f>F21</f>
        <v>100</v>
      </c>
      <c r="T21" s="774" t="s">
        <v>17</v>
      </c>
      <c r="U21" s="775">
        <f>H21</f>
        <v>100</v>
      </c>
      <c r="V21" s="774" t="s">
        <v>17</v>
      </c>
      <c r="W21" s="775">
        <f>J21</f>
        <v>100</v>
      </c>
      <c r="X21" s="1805"/>
      <c r="Y21" s="3205"/>
      <c r="Z21" s="1806" t="str">
        <f>Q21</f>
        <v>基础设施水平</v>
      </c>
      <c r="AA21" s="1803">
        <f t="shared" ref="AA21" si="8">D21/F21</f>
        <v>1</v>
      </c>
      <c r="AB21" s="1803">
        <f t="shared" ref="AB21" si="9">D21/H21</f>
        <v>1</v>
      </c>
      <c r="AC21" s="1803">
        <f t="shared" ref="AC21" si="10">D21/J21</f>
        <v>1</v>
      </c>
    </row>
    <row r="22" spans="1:29" ht="15">
      <c r="A22" s="428"/>
      <c r="B22" s="1384"/>
      <c r="C22" s="2970" t="s">
        <v>3090</v>
      </c>
      <c r="D22" s="448"/>
      <c r="E22" s="2969" t="s">
        <v>3090</v>
      </c>
      <c r="F22" s="449"/>
      <c r="G22" s="2969" t="s">
        <v>3090</v>
      </c>
      <c r="H22" s="448"/>
      <c r="I22" s="2969" t="s">
        <v>3090</v>
      </c>
      <c r="J22" s="448"/>
      <c r="K22" s="1383"/>
      <c r="L22" s="1140"/>
      <c r="M22" s="1131"/>
      <c r="N22" s="1131"/>
      <c r="O22" s="1131"/>
      <c r="P22" s="3212"/>
      <c r="Q22" s="1802"/>
      <c r="R22" s="774"/>
      <c r="S22" s="775"/>
      <c r="T22" s="774"/>
      <c r="U22" s="775"/>
      <c r="V22" s="774"/>
      <c r="W22" s="775"/>
      <c r="X22" s="1805"/>
      <c r="Y22" s="3205"/>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12"/>
      <c r="Q23" s="1802" t="str">
        <f>B23</f>
        <v>自然及人文环境</v>
      </c>
      <c r="R23" s="774" t="s">
        <v>17</v>
      </c>
      <c r="S23" s="775">
        <f>F23</f>
        <v>100</v>
      </c>
      <c r="T23" s="774" t="s">
        <v>17</v>
      </c>
      <c r="U23" s="775">
        <f>H23</f>
        <v>100</v>
      </c>
      <c r="V23" s="774" t="s">
        <v>17</v>
      </c>
      <c r="W23" s="775">
        <f>J23</f>
        <v>100</v>
      </c>
      <c r="X23" s="1805"/>
      <c r="Y23" s="3205"/>
      <c r="Z23" s="1806" t="str">
        <f>Q23</f>
        <v>自然及人文环境</v>
      </c>
      <c r="AA23" s="1803">
        <f t="shared" si="3"/>
        <v>1</v>
      </c>
      <c r="AB23" s="1803">
        <f t="shared" si="4"/>
        <v>1</v>
      </c>
      <c r="AC23" s="1803">
        <f t="shared" si="5"/>
        <v>1</v>
      </c>
    </row>
    <row r="24" spans="1:29" ht="15">
      <c r="A24" s="428"/>
      <c r="B24" s="456"/>
      <c r="C24" s="2969" t="s">
        <v>3089</v>
      </c>
      <c r="D24" s="448"/>
      <c r="E24" s="2976" t="s">
        <v>3102</v>
      </c>
      <c r="F24" s="449"/>
      <c r="G24" s="2977" t="s">
        <v>3102</v>
      </c>
      <c r="H24" s="448"/>
      <c r="I24" s="2976" t="s">
        <v>3089</v>
      </c>
      <c r="J24" s="448"/>
      <c r="K24" s="615"/>
      <c r="L24" s="1140"/>
      <c r="M24" s="1131"/>
      <c r="N24" s="1131"/>
      <c r="O24" s="1131"/>
      <c r="P24" s="3212"/>
      <c r="Q24" s="1802"/>
      <c r="R24" s="774"/>
      <c r="S24" s="775"/>
      <c r="T24" s="774"/>
      <c r="U24" s="775"/>
      <c r="V24" s="774"/>
      <c r="W24" s="775"/>
      <c r="X24" s="1805"/>
      <c r="Y24" s="3205"/>
      <c r="Z24" s="1806"/>
      <c r="AA24" s="1803">
        <v>1</v>
      </c>
      <c r="AB24" s="1803">
        <v>1</v>
      </c>
      <c r="AC24" s="1803">
        <v>1</v>
      </c>
    </row>
    <row r="25" spans="1:29" ht="15">
      <c r="A25" s="428"/>
      <c r="B25" s="422" t="s">
        <v>2655</v>
      </c>
      <c r="C25" s="2971" t="s">
        <v>3091</v>
      </c>
      <c r="D25" s="435">
        <v>100</v>
      </c>
      <c r="E25" s="2971" t="s">
        <v>3103</v>
      </c>
      <c r="F25" s="461">
        <f>SUMIF(86:86,E25,87:87)-SUMIF(86:86,C25,87:87)+100</f>
        <v>100</v>
      </c>
      <c r="G25" s="2971" t="s">
        <v>3091</v>
      </c>
      <c r="H25" s="435">
        <f>SUMIF(86:86,G25,87:87)-SUMIF(86:86,C25,87:87)+100</f>
        <v>100</v>
      </c>
      <c r="I25" s="2971" t="s">
        <v>3103</v>
      </c>
      <c r="J25" s="435">
        <f>SUMIF(86:86,I25,87:87)-SUMIF(86:86,C25,87:87)+100</f>
        <v>100</v>
      </c>
      <c r="K25" s="612">
        <v>2</v>
      </c>
      <c r="L25" s="1140"/>
      <c r="M25" s="1131"/>
      <c r="N25" s="1131"/>
      <c r="O25" s="1131"/>
      <c r="P25" s="3212"/>
      <c r="Q25" s="1802" t="str">
        <f t="shared" ref="Q25:Q46" si="11">B25</f>
        <v>临街状况</v>
      </c>
      <c r="R25" s="774" t="s">
        <v>17</v>
      </c>
      <c r="S25" s="775">
        <f>F25</f>
        <v>100</v>
      </c>
      <c r="T25" s="774" t="s">
        <v>17</v>
      </c>
      <c r="U25" s="775">
        <f>H25</f>
        <v>100</v>
      </c>
      <c r="V25" s="774" t="s">
        <v>17</v>
      </c>
      <c r="W25" s="775">
        <f>J25</f>
        <v>100</v>
      </c>
      <c r="X25" s="1805"/>
      <c r="Y25" s="3205"/>
      <c r="Z25" s="1806" t="str">
        <f>Q25</f>
        <v>临街状况</v>
      </c>
      <c r="AA25" s="1803">
        <f t="shared" si="3"/>
        <v>1</v>
      </c>
      <c r="AB25" s="1803">
        <f t="shared" si="4"/>
        <v>1</v>
      </c>
      <c r="AC25" s="1803">
        <f t="shared" si="5"/>
        <v>1</v>
      </c>
    </row>
    <row r="26" spans="1:29" ht="15" hidden="1">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2"/>
      <c r="Q26" s="1802" t="str">
        <f t="shared" si="11"/>
        <v>平面位置/可视性</v>
      </c>
      <c r="R26" s="774" t="s">
        <v>17</v>
      </c>
      <c r="S26" s="775">
        <f>F26</f>
        <v>100</v>
      </c>
      <c r="T26" s="774" t="s">
        <v>17</v>
      </c>
      <c r="U26" s="775">
        <f>H26</f>
        <v>100</v>
      </c>
      <c r="V26" s="774" t="s">
        <v>17</v>
      </c>
      <c r="W26" s="775">
        <f>J26</f>
        <v>100</v>
      </c>
      <c r="X26" s="1805"/>
      <c r="Y26" s="3205"/>
      <c r="Z26" s="1806" t="str">
        <f>Q26</f>
        <v>平面位置/可视性</v>
      </c>
      <c r="AA26" s="1803">
        <f t="shared" si="3"/>
        <v>1</v>
      </c>
      <c r="AB26" s="1803">
        <f t="shared" si="4"/>
        <v>1</v>
      </c>
      <c r="AC26" s="1803">
        <f t="shared" si="5"/>
        <v>1</v>
      </c>
    </row>
    <row r="27" spans="1:29" s="117" customFormat="1" ht="15" hidden="1">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12"/>
      <c r="Q27" s="1787" t="str">
        <f t="shared" si="11"/>
        <v>人流量</v>
      </c>
      <c r="R27" s="770" t="s">
        <v>17</v>
      </c>
      <c r="S27" s="771">
        <f>F27</f>
        <v>100</v>
      </c>
      <c r="T27" s="770" t="s">
        <v>17</v>
      </c>
      <c r="U27" s="771">
        <f>H27</f>
        <v>100</v>
      </c>
      <c r="V27" s="770" t="s">
        <v>17</v>
      </c>
      <c r="W27" s="771">
        <f>J27</f>
        <v>100</v>
      </c>
      <c r="X27" s="772"/>
      <c r="Y27" s="3205"/>
      <c r="Z27" s="55" t="str">
        <f>Q27</f>
        <v>人流量</v>
      </c>
      <c r="AA27" s="1803">
        <f>D27/F27</f>
        <v>1</v>
      </c>
      <c r="AB27" s="1803">
        <f>D27/H27</f>
        <v>1</v>
      </c>
      <c r="AC27" s="1803">
        <f>D27/J27</f>
        <v>1</v>
      </c>
    </row>
    <row r="28" spans="1:29" ht="15.75" thickBot="1">
      <c r="A28" s="428"/>
      <c r="B28" s="422" t="s">
        <v>2658</v>
      </c>
      <c r="C28" s="616" t="s">
        <v>3092</v>
      </c>
      <c r="D28" s="435">
        <v>100</v>
      </c>
      <c r="E28" s="616" t="s">
        <v>3104</v>
      </c>
      <c r="F28" s="461">
        <f>SUMIF(92:92,E28,93:93)-SUMIF(92:92,C28,93:93)+100</f>
        <v>110</v>
      </c>
      <c r="G28" s="616" t="s">
        <v>3105</v>
      </c>
      <c r="H28" s="435">
        <f>SUMIF(92:92,G28,93:93)-SUMIF(92:92,C28,93:93)+100</f>
        <v>100</v>
      </c>
      <c r="I28" s="616" t="s">
        <v>3104</v>
      </c>
      <c r="J28" s="435">
        <f>SUMIF(92:92,I28,93:93)-SUMIF(92:92,C28,93:93)+100</f>
        <v>110</v>
      </c>
      <c r="K28" s="613"/>
      <c r="L28" s="1140"/>
      <c r="M28" s="1131"/>
      <c r="N28" s="1131"/>
      <c r="O28" s="1131"/>
      <c r="P28" s="3212"/>
      <c r="Q28" s="1802" t="str">
        <f t="shared" si="11"/>
        <v>楼层</v>
      </c>
      <c r="R28" s="774" t="s">
        <v>17</v>
      </c>
      <c r="S28" s="775">
        <f t="shared" ref="S28:S46" si="12">F28</f>
        <v>110</v>
      </c>
      <c r="T28" s="774" t="s">
        <v>17</v>
      </c>
      <c r="U28" s="775">
        <f t="shared" ref="U28:U46" si="13">H28</f>
        <v>100</v>
      </c>
      <c r="V28" s="774" t="s">
        <v>17</v>
      </c>
      <c r="W28" s="775">
        <f t="shared" ref="W28:W46" si="14">J28</f>
        <v>110</v>
      </c>
      <c r="X28" s="1805"/>
      <c r="Y28" s="3205"/>
      <c r="Z28" s="1806" t="str">
        <f t="shared" ref="Z28:Z46" si="15">Q28</f>
        <v>楼层</v>
      </c>
      <c r="AA28" s="1803">
        <f t="shared" si="3"/>
        <v>0.90909090909090906</v>
      </c>
      <c r="AB28" s="1803">
        <f t="shared" si="4"/>
        <v>1</v>
      </c>
      <c r="AC28" s="1803">
        <f t="shared" si="5"/>
        <v>0.90909090909090906</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2"/>
      <c r="Q29" s="1802">
        <f t="shared" si="11"/>
        <v>111</v>
      </c>
      <c r="R29" s="774" t="s">
        <v>17</v>
      </c>
      <c r="S29" s="775">
        <f t="shared" si="12"/>
        <v>100</v>
      </c>
      <c r="T29" s="774" t="s">
        <v>17</v>
      </c>
      <c r="U29" s="775">
        <f t="shared" si="13"/>
        <v>100</v>
      </c>
      <c r="V29" s="774" t="s">
        <v>17</v>
      </c>
      <c r="W29" s="775">
        <f t="shared" si="14"/>
        <v>100</v>
      </c>
      <c r="X29" s="1805"/>
      <c r="Y29" s="3205"/>
      <c r="Z29" s="1806">
        <f t="shared" si="15"/>
        <v>111</v>
      </c>
      <c r="AA29" s="1803">
        <f t="shared" si="3"/>
        <v>1</v>
      </c>
      <c r="AB29" s="1803">
        <f t="shared" si="4"/>
        <v>1</v>
      </c>
      <c r="AC29" s="1803">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2"/>
      <c r="Q30" s="1802">
        <f t="shared" si="11"/>
        <v>111</v>
      </c>
      <c r="R30" s="774" t="s">
        <v>17</v>
      </c>
      <c r="S30" s="775">
        <f t="shared" si="12"/>
        <v>100</v>
      </c>
      <c r="T30" s="774" t="s">
        <v>17</v>
      </c>
      <c r="U30" s="775">
        <f t="shared" si="13"/>
        <v>100</v>
      </c>
      <c r="V30" s="774" t="s">
        <v>17</v>
      </c>
      <c r="W30" s="775">
        <f t="shared" si="14"/>
        <v>100</v>
      </c>
      <c r="X30" s="1805"/>
      <c r="Y30" s="3205"/>
      <c r="Z30" s="1806">
        <f t="shared" si="15"/>
        <v>111</v>
      </c>
      <c r="AA30" s="1803">
        <f t="shared" si="3"/>
        <v>1</v>
      </c>
      <c r="AB30" s="1803">
        <f t="shared" si="4"/>
        <v>1</v>
      </c>
      <c r="AC30" s="1803">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2"/>
      <c r="Q31" s="1802">
        <f t="shared" si="11"/>
        <v>111</v>
      </c>
      <c r="R31" s="774" t="s">
        <v>17</v>
      </c>
      <c r="S31" s="775">
        <f t="shared" si="12"/>
        <v>100</v>
      </c>
      <c r="T31" s="774" t="s">
        <v>17</v>
      </c>
      <c r="U31" s="775">
        <f t="shared" si="13"/>
        <v>100</v>
      </c>
      <c r="V31" s="774" t="s">
        <v>17</v>
      </c>
      <c r="W31" s="775">
        <f t="shared" si="14"/>
        <v>100</v>
      </c>
      <c r="X31" s="1805"/>
      <c r="Y31" s="3205"/>
      <c r="Z31" s="1806">
        <f t="shared" si="15"/>
        <v>111</v>
      </c>
      <c r="AA31" s="1803">
        <f t="shared" si="3"/>
        <v>1</v>
      </c>
      <c r="AB31" s="1803">
        <f t="shared" si="4"/>
        <v>1</v>
      </c>
      <c r="AC31" s="1803">
        <f t="shared" si="5"/>
        <v>1</v>
      </c>
    </row>
    <row r="32" spans="1:29" ht="15">
      <c r="A32" s="440" t="s">
        <v>2562</v>
      </c>
      <c r="B32" s="71" t="s">
        <v>2659</v>
      </c>
      <c r="C32" s="2972" t="s">
        <v>3093</v>
      </c>
      <c r="D32" s="467">
        <v>100</v>
      </c>
      <c r="E32" s="2972" t="s">
        <v>3098</v>
      </c>
      <c r="F32" s="461">
        <f>SUMIF(100:100,E32,101:101)-SUMIF(100:100,C32,101:101)+100</f>
        <v>98</v>
      </c>
      <c r="G32" s="2972" t="s">
        <v>3099</v>
      </c>
      <c r="H32" s="435">
        <f>SUMIF(100:100,G32,101:101)-SUMIF(100:100,C32,101:101)+100</f>
        <v>98</v>
      </c>
      <c r="I32" s="2972" t="s">
        <v>3099</v>
      </c>
      <c r="J32" s="467">
        <f>SUMIF(100:100,I32,101:101)-SUMIF(100:100,C32,101:101)+100</f>
        <v>98</v>
      </c>
      <c r="K32" s="612">
        <v>2</v>
      </c>
      <c r="L32" s="1140"/>
      <c r="M32" s="1131"/>
      <c r="N32" s="1131"/>
      <c r="O32" s="1131"/>
      <c r="P32" s="3206" t="s">
        <v>2564</v>
      </c>
      <c r="Q32" s="1802" t="str">
        <f t="shared" si="11"/>
        <v>商业类型</v>
      </c>
      <c r="R32" s="774" t="s">
        <v>17</v>
      </c>
      <c r="S32" s="775">
        <f t="shared" si="12"/>
        <v>98</v>
      </c>
      <c r="T32" s="774" t="s">
        <v>17</v>
      </c>
      <c r="U32" s="775">
        <f t="shared" si="13"/>
        <v>98</v>
      </c>
      <c r="V32" s="774" t="s">
        <v>17</v>
      </c>
      <c r="W32" s="775">
        <f t="shared" si="14"/>
        <v>98</v>
      </c>
      <c r="X32" s="1805"/>
      <c r="Y32" s="3209" t="s">
        <v>2564</v>
      </c>
      <c r="Z32" s="1806" t="str">
        <f t="shared" si="15"/>
        <v>商业类型</v>
      </c>
      <c r="AA32" s="1803">
        <f t="shared" si="3"/>
        <v>1.0204081632653061</v>
      </c>
      <c r="AB32" s="1803">
        <f t="shared" si="4"/>
        <v>1.0204081632653061</v>
      </c>
      <c r="AC32" s="1803">
        <f t="shared" si="5"/>
        <v>1.0204081632653061</v>
      </c>
    </row>
    <row r="33" spans="1:29" s="471" customFormat="1" ht="15">
      <c r="A33" s="468"/>
      <c r="B33" s="422" t="s">
        <v>2565</v>
      </c>
      <c r="C33" s="469">
        <f>典型户型修正!B24</f>
        <v>292.33999999999997</v>
      </c>
      <c r="D33" s="136">
        <v>100</v>
      </c>
      <c r="E33" s="430">
        <v>85</v>
      </c>
      <c r="F33" s="425">
        <f>LOOKUP(E33,103:103,104:104)-LOOKUP(C33,103:103,104:104)+100</f>
        <v>103</v>
      </c>
      <c r="G33" s="429">
        <v>1458.82</v>
      </c>
      <c r="H33" s="136">
        <f>LOOKUP(G33,103:103,104:104)-LOOKUP(C33,103:103,104:104)+100</f>
        <v>94</v>
      </c>
      <c r="I33" s="429">
        <v>85</v>
      </c>
      <c r="J33" s="136">
        <f>LOOKUP(I33,103:103,104:104)-LOOKUP(C33,103:103,104:104)+100</f>
        <v>103</v>
      </c>
      <c r="K33" s="613"/>
      <c r="L33" s="1138"/>
      <c r="M33" s="1141"/>
      <c r="N33" s="1141"/>
      <c r="O33" s="1141"/>
      <c r="P33" s="3207"/>
      <c r="Q33" s="776" t="str">
        <f t="shared" si="11"/>
        <v>项目建筑规模</v>
      </c>
      <c r="R33" s="777" t="s">
        <v>17</v>
      </c>
      <c r="S33" s="778">
        <f t="shared" si="12"/>
        <v>103</v>
      </c>
      <c r="T33" s="777" t="s">
        <v>17</v>
      </c>
      <c r="U33" s="778">
        <f t="shared" si="13"/>
        <v>94</v>
      </c>
      <c r="V33" s="777" t="s">
        <v>17</v>
      </c>
      <c r="W33" s="778">
        <f t="shared" si="14"/>
        <v>103</v>
      </c>
      <c r="X33" s="779"/>
      <c r="Y33" s="3209"/>
      <c r="Z33" s="780" t="str">
        <f t="shared" si="15"/>
        <v>项目建筑规模</v>
      </c>
      <c r="AA33" s="1803">
        <f t="shared" si="3"/>
        <v>0.970873786407767</v>
      </c>
      <c r="AB33" s="1803">
        <f t="shared" si="4"/>
        <v>1.0638297872340425</v>
      </c>
      <c r="AC33" s="1803">
        <f t="shared" si="5"/>
        <v>0.970873786407767</v>
      </c>
    </row>
    <row r="34" spans="1:29" ht="15">
      <c r="A34" s="472"/>
      <c r="B34" s="422" t="s">
        <v>2566</v>
      </c>
      <c r="C34" s="2973" t="s">
        <v>3094</v>
      </c>
      <c r="D34" s="435">
        <v>100</v>
      </c>
      <c r="E34" s="2973" t="s">
        <v>3094</v>
      </c>
      <c r="F34" s="461">
        <f>SUMIF(105:105,E34,106:106)-SUMIF(105:105,C34,106:106)+100</f>
        <v>100</v>
      </c>
      <c r="G34" s="2973" t="s">
        <v>3094</v>
      </c>
      <c r="H34" s="435">
        <f>SUMIF(105:105,G34,106:106)-SUMIF(105:105,C34,106:106)+100</f>
        <v>100</v>
      </c>
      <c r="I34" s="2973" t="s">
        <v>3094</v>
      </c>
      <c r="J34" s="435">
        <f>SUMIF(105:105,I34,106:106)-SUMIF(105:105,C34,106:106)+100</f>
        <v>100</v>
      </c>
      <c r="K34" s="612">
        <v>2</v>
      </c>
      <c r="L34" s="1140"/>
      <c r="M34" s="1131"/>
      <c r="N34" s="1131"/>
      <c r="O34" s="1131"/>
      <c r="P34" s="3207"/>
      <c r="Q34" s="1802" t="str">
        <f t="shared" si="11"/>
        <v>建筑结构</v>
      </c>
      <c r="R34" s="774" t="s">
        <v>17</v>
      </c>
      <c r="S34" s="775">
        <f t="shared" si="12"/>
        <v>100</v>
      </c>
      <c r="T34" s="774" t="s">
        <v>17</v>
      </c>
      <c r="U34" s="775">
        <f t="shared" si="13"/>
        <v>100</v>
      </c>
      <c r="V34" s="774" t="s">
        <v>17</v>
      </c>
      <c r="W34" s="775">
        <f t="shared" si="14"/>
        <v>100</v>
      </c>
      <c r="X34" s="1805"/>
      <c r="Y34" s="3209"/>
      <c r="Z34" s="1806" t="str">
        <f t="shared" si="15"/>
        <v>建筑结构</v>
      </c>
      <c r="AA34" s="1803">
        <f t="shared" si="3"/>
        <v>1</v>
      </c>
      <c r="AB34" s="1803">
        <f t="shared" si="4"/>
        <v>1</v>
      </c>
      <c r="AC34" s="1803">
        <f t="shared" si="5"/>
        <v>1</v>
      </c>
    </row>
    <row r="35" spans="1:29" ht="15">
      <c r="A35" s="472"/>
      <c r="B35" s="422" t="s">
        <v>2660</v>
      </c>
      <c r="C35" s="2974" t="s">
        <v>3095</v>
      </c>
      <c r="D35" s="435">
        <v>100</v>
      </c>
      <c r="E35" s="2974" t="s">
        <v>3095</v>
      </c>
      <c r="F35" s="461">
        <f>SUMIF(107:107,E35,108:108)-SUMIF(107:107,C35,108:108)+100</f>
        <v>100</v>
      </c>
      <c r="G35" s="2974" t="s">
        <v>3095</v>
      </c>
      <c r="H35" s="435">
        <f>SUMIF(107:107,G35,108:108)-SUMIF(107:107,C35,108:108)+100</f>
        <v>100</v>
      </c>
      <c r="I35" s="2974" t="s">
        <v>3095</v>
      </c>
      <c r="J35" s="435">
        <f>SUMIF(107:107,I35,108:108)-SUMIF(107:107,C35,108:108)+100</f>
        <v>100</v>
      </c>
      <c r="K35" s="612">
        <v>2</v>
      </c>
      <c r="L35" s="1140"/>
      <c r="M35" s="1131"/>
      <c r="N35" s="1131"/>
      <c r="O35" s="1131"/>
      <c r="P35" s="3207"/>
      <c r="Q35" s="1802" t="str">
        <f t="shared" si="11"/>
        <v>公共部分装修</v>
      </c>
      <c r="R35" s="774" t="s">
        <v>17</v>
      </c>
      <c r="S35" s="775">
        <f t="shared" si="12"/>
        <v>100</v>
      </c>
      <c r="T35" s="774" t="s">
        <v>17</v>
      </c>
      <c r="U35" s="775">
        <f t="shared" si="13"/>
        <v>100</v>
      </c>
      <c r="V35" s="774" t="s">
        <v>17</v>
      </c>
      <c r="W35" s="775">
        <f t="shared" si="14"/>
        <v>100</v>
      </c>
      <c r="X35" s="1805"/>
      <c r="Y35" s="3209"/>
      <c r="Z35" s="1806" t="str">
        <f t="shared" si="15"/>
        <v>公共部分装修</v>
      </c>
      <c r="AA35" s="1803">
        <f t="shared" si="3"/>
        <v>1</v>
      </c>
      <c r="AB35" s="1803">
        <f t="shared" si="4"/>
        <v>1</v>
      </c>
      <c r="AC35" s="1803">
        <f t="shared" si="5"/>
        <v>1</v>
      </c>
    </row>
    <row r="36" spans="1:29" ht="15">
      <c r="A36" s="472"/>
      <c r="B36" s="422" t="s">
        <v>2661</v>
      </c>
      <c r="C36" s="474">
        <v>0.9</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0"/>
      <c r="M36" s="1131"/>
      <c r="N36" s="1131"/>
      <c r="O36" s="1131"/>
      <c r="P36" s="3207"/>
      <c r="Q36" s="1802" t="str">
        <f t="shared" si="11"/>
        <v>成新度</v>
      </c>
      <c r="R36" s="774" t="s">
        <v>17</v>
      </c>
      <c r="S36" s="775">
        <f t="shared" si="12"/>
        <v>100</v>
      </c>
      <c r="T36" s="774" t="s">
        <v>17</v>
      </c>
      <c r="U36" s="775">
        <f t="shared" si="13"/>
        <v>100</v>
      </c>
      <c r="V36" s="774" t="s">
        <v>17</v>
      </c>
      <c r="W36" s="775">
        <f t="shared" si="14"/>
        <v>100</v>
      </c>
      <c r="X36" s="1805"/>
      <c r="Y36" s="3209"/>
      <c r="Z36" s="1806" t="str">
        <f t="shared" si="15"/>
        <v>成新度</v>
      </c>
      <c r="AA36" s="1803">
        <f t="shared" si="3"/>
        <v>1</v>
      </c>
      <c r="AB36" s="1803">
        <f t="shared" si="4"/>
        <v>1</v>
      </c>
      <c r="AC36" s="1803">
        <f t="shared" si="5"/>
        <v>1</v>
      </c>
    </row>
    <row r="37" spans="1:29" s="117" customFormat="1" ht="15">
      <c r="A37" s="473"/>
      <c r="B37" s="422" t="s">
        <v>2662</v>
      </c>
      <c r="C37" s="2974" t="s">
        <v>3090</v>
      </c>
      <c r="D37" s="136">
        <v>100</v>
      </c>
      <c r="E37" s="2974" t="s">
        <v>3090</v>
      </c>
      <c r="F37" s="461">
        <f>SUMIF(112:112,E37,113:113)-SUMIF(112:112,C37,113:113)+100</f>
        <v>100</v>
      </c>
      <c r="G37" s="2974" t="s">
        <v>3090</v>
      </c>
      <c r="H37" s="435">
        <f>SUMIF(112:112,G37,113:113)-SUMIF(112:112,C37,113:113)+100</f>
        <v>100</v>
      </c>
      <c r="I37" s="2974" t="s">
        <v>3100</v>
      </c>
      <c r="J37" s="435">
        <f>SUMIF(112:112,I37,113:113)-SUMIF(112:112,C37,113:113)+100</f>
        <v>100</v>
      </c>
      <c r="K37" s="612">
        <v>2</v>
      </c>
      <c r="L37" s="1132"/>
      <c r="M37" s="1133"/>
      <c r="N37" s="1133"/>
      <c r="O37" s="1133"/>
      <c r="P37" s="3207"/>
      <c r="Q37" s="1787"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2663</v>
      </c>
      <c r="C38" s="2974" t="s">
        <v>3096</v>
      </c>
      <c r="D38" s="435">
        <v>100</v>
      </c>
      <c r="E38" s="2974" t="s">
        <v>3101</v>
      </c>
      <c r="F38" s="461">
        <f>SUMIF(114:114,E38,115:115)-SUMIF(114:114,C38,115:115)+100</f>
        <v>100</v>
      </c>
      <c r="G38" s="2974" t="s">
        <v>3096</v>
      </c>
      <c r="H38" s="435">
        <f>SUMIF(114:114,G38,115:115)-SUMIF(114:114,C38,115:115)+100</f>
        <v>100</v>
      </c>
      <c r="I38" s="2974" t="s">
        <v>3096</v>
      </c>
      <c r="J38" s="435">
        <f>SUMIF(114:114,I38,115:115)-SUMIF(114:114,C38,115:115)+100</f>
        <v>100</v>
      </c>
      <c r="K38" s="612">
        <v>2</v>
      </c>
      <c r="L38" s="1140"/>
      <c r="M38" s="1131"/>
      <c r="N38" s="1131"/>
      <c r="O38" s="1131"/>
      <c r="P38" s="3207" t="s">
        <v>2564</v>
      </c>
      <c r="Q38" s="1802" t="str">
        <f t="shared" si="11"/>
        <v>业态</v>
      </c>
      <c r="R38" s="774" t="s">
        <v>17</v>
      </c>
      <c r="S38" s="775">
        <f t="shared" si="12"/>
        <v>100</v>
      </c>
      <c r="T38" s="774" t="s">
        <v>17</v>
      </c>
      <c r="U38" s="775">
        <f t="shared" si="13"/>
        <v>100</v>
      </c>
      <c r="V38" s="774" t="s">
        <v>17</v>
      </c>
      <c r="W38" s="775">
        <f t="shared" si="14"/>
        <v>100</v>
      </c>
      <c r="X38" s="1805"/>
      <c r="Y38" s="3209"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v>2</v>
      </c>
      <c r="L39" s="1140"/>
      <c r="M39" s="1131"/>
      <c r="N39" s="1131"/>
      <c r="O39" s="1131"/>
      <c r="P39" s="3207"/>
      <c r="Q39" s="1802" t="str">
        <f t="shared" si="11"/>
        <v>层高</v>
      </c>
      <c r="R39" s="774" t="s">
        <v>17</v>
      </c>
      <c r="S39" s="775">
        <f t="shared" si="12"/>
        <v>100</v>
      </c>
      <c r="T39" s="774" t="s">
        <v>17</v>
      </c>
      <c r="U39" s="775">
        <f t="shared" si="13"/>
        <v>100</v>
      </c>
      <c r="V39" s="774" t="s">
        <v>17</v>
      </c>
      <c r="W39" s="775">
        <f t="shared" si="14"/>
        <v>100</v>
      </c>
      <c r="X39" s="1805"/>
      <c r="Y39" s="3209"/>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7"/>
      <c r="Q40" s="1802" t="str">
        <f t="shared" si="11"/>
        <v>单套建筑面积</v>
      </c>
      <c r="R40" s="774" t="s">
        <v>17</v>
      </c>
      <c r="S40" s="775">
        <f t="shared" si="12"/>
        <v>100</v>
      </c>
      <c r="T40" s="774" t="s">
        <v>17</v>
      </c>
      <c r="U40" s="775">
        <f t="shared" si="13"/>
        <v>100</v>
      </c>
      <c r="V40" s="774" t="s">
        <v>17</v>
      </c>
      <c r="W40" s="775">
        <f t="shared" si="14"/>
        <v>100</v>
      </c>
      <c r="X40" s="1805"/>
      <c r="Y40" s="3209"/>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03">
        <f t="shared" si="3"/>
        <v>1</v>
      </c>
      <c r="AB41" s="1803">
        <f t="shared" si="4"/>
        <v>1</v>
      </c>
      <c r="AC41" s="1803">
        <f t="shared" si="5"/>
        <v>1</v>
      </c>
    </row>
    <row r="42" spans="1:29" ht="15">
      <c r="A42" s="472"/>
      <c r="B42" s="422" t="s">
        <v>2667</v>
      </c>
      <c r="C42" s="2974" t="s">
        <v>3097</v>
      </c>
      <c r="D42" s="435">
        <v>100</v>
      </c>
      <c r="E42" s="2974" t="s">
        <v>3095</v>
      </c>
      <c r="F42" s="461">
        <f>SUMIF(122:122,E42,123:123)-SUMIF(122:122,C42,123:123)+100</f>
        <v>100</v>
      </c>
      <c r="G42" s="2974" t="s">
        <v>3095</v>
      </c>
      <c r="H42" s="435">
        <f>SUMIF(122:122,G42,123:123)-SUMIF(122:122,C42,123:123)+100</f>
        <v>100</v>
      </c>
      <c r="I42" s="2974" t="s">
        <v>3095</v>
      </c>
      <c r="J42" s="435">
        <f>SUMIF(122:122,I42,123:123)-SUMIF(122:122,C42,123:123)+100</f>
        <v>100</v>
      </c>
      <c r="K42" s="612">
        <v>2</v>
      </c>
      <c r="L42" s="1140"/>
      <c r="M42" s="1131"/>
      <c r="N42" s="1131"/>
      <c r="O42" s="1131"/>
      <c r="P42" s="3207"/>
      <c r="Q42" s="1802" t="str">
        <f t="shared" si="11"/>
        <v>内部装修</v>
      </c>
      <c r="R42" s="774" t="s">
        <v>17</v>
      </c>
      <c r="S42" s="775">
        <f t="shared" si="12"/>
        <v>100</v>
      </c>
      <c r="T42" s="774" t="s">
        <v>17</v>
      </c>
      <c r="U42" s="775">
        <f t="shared" si="13"/>
        <v>100</v>
      </c>
      <c r="V42" s="774" t="s">
        <v>17</v>
      </c>
      <c r="W42" s="775">
        <f t="shared" si="14"/>
        <v>100</v>
      </c>
      <c r="X42" s="1805"/>
      <c r="Y42" s="3209"/>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v>2</v>
      </c>
      <c r="L43" s="1140"/>
      <c r="M43" s="1131"/>
      <c r="N43" s="1131"/>
      <c r="O43" s="1131"/>
      <c r="P43" s="3207"/>
      <c r="Q43" s="1802" t="str">
        <f t="shared" si="11"/>
        <v>内部装修维护情况</v>
      </c>
      <c r="R43" s="774" t="s">
        <v>17</v>
      </c>
      <c r="S43" s="775">
        <f t="shared" si="12"/>
        <v>100</v>
      </c>
      <c r="T43" s="774" t="s">
        <v>17</v>
      </c>
      <c r="U43" s="775">
        <f t="shared" si="13"/>
        <v>100</v>
      </c>
      <c r="V43" s="774" t="s">
        <v>17</v>
      </c>
      <c r="W43" s="775">
        <f t="shared" si="14"/>
        <v>100</v>
      </c>
      <c r="X43" s="1805"/>
      <c r="Y43" s="320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7"/>
      <c r="Q44" s="1787">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7"/>
      <c r="Q45" s="1802">
        <f t="shared" si="11"/>
        <v>111</v>
      </c>
      <c r="R45" s="774" t="s">
        <v>17</v>
      </c>
      <c r="S45" s="775">
        <f t="shared" si="12"/>
        <v>100</v>
      </c>
      <c r="T45" s="774" t="s">
        <v>17</v>
      </c>
      <c r="U45" s="775">
        <f t="shared" si="13"/>
        <v>100</v>
      </c>
      <c r="V45" s="774" t="s">
        <v>17</v>
      </c>
      <c r="W45" s="775">
        <f t="shared" si="14"/>
        <v>100</v>
      </c>
      <c r="X45" s="1805"/>
      <c r="Y45" s="3209"/>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8"/>
      <c r="Q46" s="1802">
        <f t="shared" si="11"/>
        <v>111</v>
      </c>
      <c r="R46" s="774" t="s">
        <v>17</v>
      </c>
      <c r="S46" s="775">
        <f t="shared" si="12"/>
        <v>100</v>
      </c>
      <c r="T46" s="774" t="s">
        <v>17</v>
      </c>
      <c r="U46" s="775">
        <f t="shared" si="13"/>
        <v>100</v>
      </c>
      <c r="V46" s="774" t="s">
        <v>17</v>
      </c>
      <c r="W46" s="775">
        <f t="shared" si="14"/>
        <v>100</v>
      </c>
      <c r="X46" s="1805"/>
      <c r="Y46" s="3210"/>
      <c r="Z46" s="1806">
        <f t="shared" si="15"/>
        <v>111</v>
      </c>
      <c r="AA46" s="1803">
        <f t="shared" si="3"/>
        <v>1</v>
      </c>
      <c r="AB46" s="1803">
        <f t="shared" si="4"/>
        <v>1</v>
      </c>
      <c r="AC46" s="1803">
        <f t="shared" si="5"/>
        <v>1</v>
      </c>
    </row>
    <row r="47" spans="1:29" ht="15">
      <c r="A47" s="479" t="s">
        <v>2576</v>
      </c>
      <c r="B47" s="480"/>
      <c r="C47" s="1407" t="s">
        <v>1</v>
      </c>
      <c r="D47" s="1408"/>
      <c r="E47" s="1409">
        <v>35300</v>
      </c>
      <c r="F47" s="1410"/>
      <c r="G47" s="1411">
        <v>34300</v>
      </c>
      <c r="H47" s="1412"/>
      <c r="I47" s="1409">
        <v>42000</v>
      </c>
      <c r="J47" s="1412"/>
      <c r="K47" s="783"/>
      <c r="L47" s="1143"/>
      <c r="M47" s="1144"/>
      <c r="N47" s="1131"/>
      <c r="O47" s="1144"/>
      <c r="P47" s="3202" t="str">
        <f>A47</f>
        <v>成交单价（元/平方米）</v>
      </c>
      <c r="Q47" s="3202"/>
      <c r="R47" s="3233">
        <f>E47</f>
        <v>35300</v>
      </c>
      <c r="S47" s="3233"/>
      <c r="T47" s="3233">
        <f>G47</f>
        <v>34300</v>
      </c>
      <c r="U47" s="3233"/>
      <c r="V47" s="3233">
        <f>I47</f>
        <v>42000</v>
      </c>
      <c r="W47" s="3233"/>
      <c r="X47" s="759"/>
      <c r="Y47" s="781"/>
      <c r="Z47" s="759"/>
      <c r="AA47" s="759"/>
      <c r="AB47" s="759"/>
      <c r="AC47" s="759"/>
    </row>
    <row r="48" spans="1:29" ht="15.75" thickBot="1">
      <c r="A48" s="486" t="s">
        <v>2668</v>
      </c>
      <c r="B48" s="487"/>
      <c r="C48" s="1413">
        <f>R49</f>
        <v>34919</v>
      </c>
      <c r="D48" s="1414"/>
      <c r="E48" s="1415">
        <f>R48</f>
        <v>31169</v>
      </c>
      <c r="F48" s="1415"/>
      <c r="G48" s="1413">
        <f>T48</f>
        <v>36504</v>
      </c>
      <c r="H48" s="1414"/>
      <c r="I48" s="1415">
        <f>V48</f>
        <v>37085</v>
      </c>
      <c r="J48" s="1414"/>
      <c r="K48" s="784"/>
      <c r="L48" s="1143"/>
      <c r="M48" s="1144"/>
      <c r="N48" s="1131"/>
      <c r="O48" s="1144"/>
      <c r="P48" s="3202" t="str">
        <f>A48</f>
        <v>比较价值（元/平方米）</v>
      </c>
      <c r="Q48" s="3202"/>
      <c r="R48" s="3203">
        <f>IF(F1="售价",ROUND(PRODUCT(R47,AA7:AA46),0),ROUND(PRODUCT(R47,AA7:AA46),1))</f>
        <v>31169</v>
      </c>
      <c r="S48" s="3203"/>
      <c r="T48" s="3203">
        <f>IF(F1="售价",ROUND(PRODUCT(T47,AB7:AB46),0),ROUND(PRODUCT(T47,AB7:AB46),1))</f>
        <v>36504</v>
      </c>
      <c r="U48" s="3203"/>
      <c r="V48" s="3203">
        <f>IF(F1="售价",ROUND(PRODUCT(V47,AC7:AC46),0),ROUND(PRODUCT(V47,AC7:AC46),1))</f>
        <v>37085</v>
      </c>
      <c r="W48" s="3203"/>
      <c r="X48" s="759"/>
      <c r="Y48" s="759"/>
      <c r="Z48" s="759"/>
      <c r="AA48" s="759"/>
      <c r="AB48" s="759"/>
      <c r="AC48" s="759"/>
    </row>
    <row r="49" spans="1:29" ht="15.75" thickBot="1">
      <c r="A49" s="492" t="s">
        <v>2669</v>
      </c>
      <c r="B49" s="493"/>
      <c r="C49" s="1417">
        <f>R49</f>
        <v>34919</v>
      </c>
      <c r="D49" s="1417"/>
      <c r="E49" s="1417"/>
      <c r="F49" s="1417"/>
      <c r="G49" s="1417"/>
      <c r="H49" s="1417"/>
      <c r="I49" s="1417"/>
      <c r="J49" s="1417"/>
      <c r="K49" s="785"/>
      <c r="L49" s="1143"/>
      <c r="M49" s="1144"/>
      <c r="N49" s="1131"/>
      <c r="O49" s="1144"/>
      <c r="P49" s="3199" t="str">
        <f>A49</f>
        <v>估价对象XX用房的比较价值（楼面单价，元/平方米）</v>
      </c>
      <c r="Q49" s="3200"/>
      <c r="R49" s="3201">
        <f>IF(F1="售价",ROUND(AVERAGE(R48:V48),0),ROUND(AVERAGE(R48:V48),1))</f>
        <v>34919</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0.13253553209920121</v>
      </c>
      <c r="F52" s="500" t="str">
        <f>IF(OR(E52&gt;=0.3,E52&lt;=-0.3),"超过30%","")</f>
        <v/>
      </c>
      <c r="G52" s="499">
        <f>IF(G47&lt;G48,G48/G47-1,G47/G48-1)</f>
        <v>6.4256559766763921E-2</v>
      </c>
      <c r="H52" s="500" t="str">
        <f>IF(OR(G52&gt;=0.3,G52&lt;=-0.3),"超过30%","")</f>
        <v/>
      </c>
      <c r="I52" s="499">
        <f>IF(I47&lt;I48,I48/I47-1,I47/I48-1)</f>
        <v>0.13253336928677362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0.17116365619686236</v>
      </c>
      <c r="F53" s="500" t="str">
        <f>IF(OR(E53&gt;=0.2,E53&lt;=-0.2),"超过20%","")</f>
        <v/>
      </c>
      <c r="G53" s="499">
        <f>IF(G48&lt;I48,I48/G48-1,G48/I48-1)</f>
        <v>1.5916063992987173E-2</v>
      </c>
      <c r="H53" s="500" t="str">
        <f>IF(OR(G53&gt;=0.2,G53&lt;=-0.2),"超过20%","")</f>
        <v/>
      </c>
      <c r="I53" s="499">
        <f>IF(I48&lt;E48,E48/I48-1,I48/E48-1)</f>
        <v>0.1898039718951523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2.9154518950437414E-2</v>
      </c>
      <c r="F54" s="500" t="str">
        <f>IF(OR(E54&gt;=0.3,E54&lt;=-0.3),"超过30%","")</f>
        <v/>
      </c>
      <c r="G54" s="499">
        <f>IF(G47&lt;I47,I47/G47-1,G47/I47-1)</f>
        <v>0.22448979591836737</v>
      </c>
      <c r="H54" s="500" t="str">
        <f>IF(OR(G54&gt;=0.3,G54&lt;=-0.3),"超过30%","")</f>
        <v/>
      </c>
      <c r="I54" s="499">
        <f>IF(I47&lt;E47,E47/I47-1,I47/E47-1)</f>
        <v>0.18980169971671379</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v>0</v>
      </c>
      <c r="D68" s="549">
        <v>1</v>
      </c>
      <c r="E68" s="549">
        <v>2</v>
      </c>
      <c r="F68" s="549">
        <v>3</v>
      </c>
      <c r="G68" s="549">
        <v>4</v>
      </c>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t="s">
        <v>3106</v>
      </c>
      <c r="D92" s="554" t="s">
        <v>3107</v>
      </c>
      <c r="E92" s="554"/>
      <c r="F92" s="554"/>
      <c r="G92" s="554"/>
      <c r="H92" s="554"/>
      <c r="I92" s="554"/>
      <c r="J92" s="554"/>
      <c r="K92" s="554"/>
      <c r="L92" s="580"/>
      <c r="M92" s="581"/>
      <c r="N92" s="1152"/>
      <c r="O92" s="1152"/>
      <c r="P92" s="2624"/>
      <c r="Q92" s="504"/>
    </row>
    <row r="93" spans="1:17" ht="15.75" thickBot="1">
      <c r="A93" s="534"/>
      <c r="B93" s="543"/>
      <c r="C93" s="536">
        <v>110</v>
      </c>
      <c r="D93" s="536">
        <v>100</v>
      </c>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2979" t="s">
        <v>3108</v>
      </c>
      <c r="D100" s="2979" t="s">
        <v>3099</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4"/>
      <c r="Q101" s="504"/>
    </row>
    <row r="102" spans="1:17" ht="15.75" thickTop="1">
      <c r="A102" s="534"/>
      <c r="B102" s="538" t="s">
        <v>2612</v>
      </c>
      <c r="C102" s="578" t="str">
        <f>C103&amp;"(含)"&amp;"-"&amp;D103</f>
        <v>0(含)-150</v>
      </c>
      <c r="D102" s="578" t="str">
        <f t="shared" ref="D102:L102" si="23">D103&amp;"(含)"&amp;"-"&amp;E103</f>
        <v>150(含)-450</v>
      </c>
      <c r="E102" s="578" t="str">
        <f t="shared" si="23"/>
        <v>450(含)-900</v>
      </c>
      <c r="F102" s="578" t="str">
        <f t="shared" si="23"/>
        <v>900(含)-1500</v>
      </c>
      <c r="G102" s="578" t="str">
        <f t="shared" si="23"/>
        <v>1500(含)-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v>0</v>
      </c>
      <c r="D103" s="595">
        <v>150</v>
      </c>
      <c r="E103" s="595">
        <v>450</v>
      </c>
      <c r="F103" s="595">
        <v>900</v>
      </c>
      <c r="G103" s="595">
        <v>1500</v>
      </c>
      <c r="H103" s="595"/>
      <c r="I103" s="595"/>
      <c r="J103" s="596"/>
      <c r="K103" s="596"/>
      <c r="L103" s="597"/>
      <c r="M103" s="598"/>
      <c r="N103" s="1154"/>
      <c r="O103" s="1154"/>
      <c r="P103" s="2625"/>
      <c r="Q103" s="559"/>
    </row>
    <row r="104" spans="1:17" s="471" customFormat="1" ht="15.75" thickBot="1">
      <c r="A104" s="553"/>
      <c r="B104" s="543"/>
      <c r="C104" s="560">
        <v>100</v>
      </c>
      <c r="D104" s="536">
        <v>97</v>
      </c>
      <c r="E104" s="536">
        <v>94</v>
      </c>
      <c r="F104" s="536">
        <v>91</v>
      </c>
      <c r="G104" s="536">
        <v>88</v>
      </c>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1398.7300000000002</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53" t="s">
        <v>2650</v>
      </c>
      <c r="Q4" s="3254"/>
      <c r="R4" s="3257" t="s">
        <v>2646</v>
      </c>
      <c r="S4" s="3258"/>
      <c r="T4" s="3257" t="s">
        <v>2647</v>
      </c>
      <c r="U4" s="3258"/>
      <c r="V4" s="3259" t="s">
        <v>2648</v>
      </c>
      <c r="W4" s="3259"/>
      <c r="X4" s="2664"/>
      <c r="Y4" s="3257" t="s">
        <v>2650</v>
      </c>
      <c r="Z4" s="3258"/>
      <c r="AA4" s="3261" t="s">
        <v>2646</v>
      </c>
      <c r="AB4" s="3261" t="s">
        <v>2647</v>
      </c>
      <c r="AC4" s="3250" t="s">
        <v>2648</v>
      </c>
    </row>
    <row r="5" spans="1:29" ht="15">
      <c r="A5" s="404"/>
      <c r="B5" s="405"/>
      <c r="C5" s="3236" t="s">
        <v>2541</v>
      </c>
      <c r="D5" s="3237"/>
      <c r="E5" s="3243" t="s">
        <v>2542</v>
      </c>
      <c r="F5" s="3244"/>
      <c r="G5" s="3236" t="s">
        <v>2543</v>
      </c>
      <c r="H5" s="3237"/>
      <c r="I5" s="3236" t="s">
        <v>2544</v>
      </c>
      <c r="J5" s="3237"/>
      <c r="K5" s="610"/>
      <c r="L5" s="1130"/>
      <c r="M5" s="1131"/>
      <c r="N5" s="1131"/>
      <c r="O5" s="1131"/>
      <c r="P5" s="3255"/>
      <c r="Q5" s="3224"/>
      <c r="R5" s="3229"/>
      <c r="S5" s="3230"/>
      <c r="T5" s="3229"/>
      <c r="U5" s="3230"/>
      <c r="V5" s="3233"/>
      <c r="W5" s="3233"/>
      <c r="X5" s="1805"/>
      <c r="Y5" s="3229"/>
      <c r="Z5" s="3230"/>
      <c r="AA5" s="3215"/>
      <c r="AB5" s="3215"/>
      <c r="AC5" s="3251"/>
    </row>
    <row r="6" spans="1:29" ht="15.75" thickBot="1">
      <c r="A6" s="406"/>
      <c r="B6" s="407"/>
      <c r="C6" s="3234" t="s">
        <v>2545</v>
      </c>
      <c r="D6" s="3235"/>
      <c r="E6" s="3241" t="s">
        <v>2545</v>
      </c>
      <c r="F6" s="3242"/>
      <c r="G6" s="3234" t="s">
        <v>2545</v>
      </c>
      <c r="H6" s="3235"/>
      <c r="I6" s="3234" t="s">
        <v>2545</v>
      </c>
      <c r="J6" s="3235"/>
      <c r="K6" s="610" t="s">
        <v>2546</v>
      </c>
      <c r="L6" s="1130"/>
      <c r="M6" s="1131"/>
      <c r="N6" s="1131"/>
      <c r="O6" s="1131"/>
      <c r="P6" s="3256"/>
      <c r="Q6" s="3226"/>
      <c r="R6" s="3229"/>
      <c r="S6" s="3230"/>
      <c r="T6" s="3231"/>
      <c r="U6" s="3232"/>
      <c r="V6" s="3233"/>
      <c r="W6" s="3233"/>
      <c r="X6" s="1805"/>
      <c r="Y6" s="3231"/>
      <c r="Z6" s="3232"/>
      <c r="AA6" s="3216"/>
      <c r="AB6" s="3216"/>
      <c r="AC6" s="3252"/>
    </row>
    <row r="7" spans="1:29" s="117" customFormat="1" ht="15.75" thickBot="1">
      <c r="A7" s="408" t="s">
        <v>2547</v>
      </c>
      <c r="B7" s="409"/>
      <c r="C7" s="410">
        <f>'数据-取费表'!B2</f>
        <v>43978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0"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0" t="s">
        <v>2551</v>
      </c>
      <c r="Q8" s="3239"/>
      <c r="R8" s="770" t="s">
        <v>17</v>
      </c>
      <c r="S8" s="771">
        <f t="shared" si="0"/>
        <v>0</v>
      </c>
      <c r="T8" s="770" t="s">
        <v>17</v>
      </c>
      <c r="U8" s="771">
        <f t="shared" si="1"/>
        <v>0</v>
      </c>
      <c r="V8" s="770" t="s">
        <v>17</v>
      </c>
      <c r="W8" s="771">
        <f t="shared" si="2"/>
        <v>0</v>
      </c>
      <c r="X8" s="772"/>
      <c r="Y8" s="3238" t="s">
        <v>2551</v>
      </c>
      <c r="Z8" s="3239"/>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3"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3"/>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3"/>
      <c r="Q11" s="178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3"/>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3"/>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3"/>
      <c r="Q14" s="178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1" t="s">
        <v>2559</v>
      </c>
      <c r="Q15" s="1802" t="str">
        <f t="shared" si="6"/>
        <v>办公集聚程度</v>
      </c>
      <c r="R15" s="774" t="s">
        <v>17</v>
      </c>
      <c r="S15" s="775">
        <f t="shared" si="0"/>
        <v>100</v>
      </c>
      <c r="T15" s="774" t="s">
        <v>17</v>
      </c>
      <c r="U15" s="775">
        <f t="shared" si="1"/>
        <v>100</v>
      </c>
      <c r="V15" s="774" t="s">
        <v>17</v>
      </c>
      <c r="W15" s="775">
        <f t="shared" si="2"/>
        <v>100</v>
      </c>
      <c r="X15" s="1805"/>
      <c r="Y15" s="3204"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12"/>
      <c r="Q16" s="1802"/>
      <c r="R16" s="774"/>
      <c r="S16" s="775"/>
      <c r="T16" s="774"/>
      <c r="U16" s="775"/>
      <c r="V16" s="774"/>
      <c r="W16" s="775"/>
      <c r="X16" s="1805"/>
      <c r="Y16" s="3205"/>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2"/>
      <c r="Q17" s="1802" t="str">
        <f>B17</f>
        <v>交通便捷度</v>
      </c>
      <c r="R17" s="774" t="s">
        <v>17</v>
      </c>
      <c r="S17" s="775">
        <f>F17</f>
        <v>100</v>
      </c>
      <c r="T17" s="774" t="s">
        <v>17</v>
      </c>
      <c r="U17" s="775">
        <f>H17</f>
        <v>100</v>
      </c>
      <c r="V17" s="774" t="s">
        <v>17</v>
      </c>
      <c r="W17" s="775">
        <f>J17</f>
        <v>100</v>
      </c>
      <c r="X17" s="1805"/>
      <c r="Y17" s="3205"/>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12"/>
      <c r="Q18" s="1802"/>
      <c r="R18" s="774"/>
      <c r="S18" s="775"/>
      <c r="T18" s="774"/>
      <c r="U18" s="775"/>
      <c r="V18" s="774"/>
      <c r="W18" s="775"/>
      <c r="X18" s="1805"/>
      <c r="Y18" s="3205"/>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2"/>
      <c r="Q19" s="1802" t="str">
        <f>B19</f>
        <v>公共配套设施</v>
      </c>
      <c r="R19" s="774" t="s">
        <v>17</v>
      </c>
      <c r="S19" s="775">
        <f>F19</f>
        <v>100</v>
      </c>
      <c r="T19" s="774" t="s">
        <v>17</v>
      </c>
      <c r="U19" s="775">
        <f>H19</f>
        <v>100</v>
      </c>
      <c r="V19" s="774" t="s">
        <v>17</v>
      </c>
      <c r="W19" s="775">
        <f>J19</f>
        <v>100</v>
      </c>
      <c r="X19" s="1805"/>
      <c r="Y19" s="3205"/>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12"/>
      <c r="Q20" s="1802"/>
      <c r="R20" s="774"/>
      <c r="S20" s="775"/>
      <c r="T20" s="774"/>
      <c r="U20" s="775"/>
      <c r="V20" s="774"/>
      <c r="W20" s="775"/>
      <c r="X20" s="1805"/>
      <c r="Y20" s="3205"/>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2"/>
      <c r="Q21" s="1802" t="str">
        <f>B21</f>
        <v>基础设施水平</v>
      </c>
      <c r="R21" s="774" t="s">
        <v>17</v>
      </c>
      <c r="S21" s="775">
        <f>F21</f>
        <v>100</v>
      </c>
      <c r="T21" s="774" t="s">
        <v>17</v>
      </c>
      <c r="U21" s="775">
        <f>H21</f>
        <v>100</v>
      </c>
      <c r="V21" s="774" t="s">
        <v>17</v>
      </c>
      <c r="W21" s="775">
        <f>J21</f>
        <v>100</v>
      </c>
      <c r="X21" s="1805"/>
      <c r="Y21" s="3205"/>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12"/>
      <c r="Q22" s="1802"/>
      <c r="R22" s="774"/>
      <c r="S22" s="775"/>
      <c r="T22" s="774"/>
      <c r="U22" s="775"/>
      <c r="V22" s="774"/>
      <c r="W22" s="775"/>
      <c r="X22" s="1805"/>
      <c r="Y22" s="3205"/>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2"/>
      <c r="Q23" s="1802" t="str">
        <f>B23</f>
        <v>环境质量</v>
      </c>
      <c r="R23" s="774" t="s">
        <v>17</v>
      </c>
      <c r="S23" s="775">
        <f>F23</f>
        <v>100</v>
      </c>
      <c r="T23" s="774" t="s">
        <v>17</v>
      </c>
      <c r="U23" s="775">
        <f>H23</f>
        <v>100</v>
      </c>
      <c r="V23" s="774" t="s">
        <v>17</v>
      </c>
      <c r="W23" s="775">
        <f>J23</f>
        <v>100</v>
      </c>
      <c r="X23" s="1805"/>
      <c r="Y23" s="3205"/>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12"/>
      <c r="Q24" s="1802"/>
      <c r="R24" s="774"/>
      <c r="S24" s="775"/>
      <c r="T24" s="774"/>
      <c r="U24" s="775"/>
      <c r="V24" s="774"/>
      <c r="W24" s="775"/>
      <c r="X24" s="1805"/>
      <c r="Y24" s="3205"/>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12"/>
      <c r="Q25" s="1802" t="str">
        <f>B25</f>
        <v>毗邻道路的类型与等级</v>
      </c>
      <c r="R25" s="774" t="s">
        <v>17</v>
      </c>
      <c r="S25" s="775">
        <f>F25</f>
        <v>100</v>
      </c>
      <c r="T25" s="774" t="s">
        <v>17</v>
      </c>
      <c r="U25" s="775">
        <f>H25</f>
        <v>100</v>
      </c>
      <c r="V25" s="774" t="s">
        <v>17</v>
      </c>
      <c r="W25" s="775">
        <f>J25</f>
        <v>100</v>
      </c>
      <c r="X25" s="1805"/>
      <c r="Y25" s="3205"/>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12"/>
      <c r="Q26" s="1802"/>
      <c r="R26" s="774"/>
      <c r="S26" s="775"/>
      <c r="T26" s="774"/>
      <c r="U26" s="775"/>
      <c r="V26" s="774"/>
      <c r="W26" s="775"/>
      <c r="X26" s="1805"/>
      <c r="Y26" s="3205"/>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2"/>
      <c r="Q27" s="1802" t="str">
        <f t="shared" ref="Q27:Q47" si="11">B27</f>
        <v>楼层</v>
      </c>
      <c r="R27" s="774" t="s">
        <v>17</v>
      </c>
      <c r="S27" s="775">
        <f>F27</f>
        <v>100</v>
      </c>
      <c r="T27" s="774" t="s">
        <v>17</v>
      </c>
      <c r="U27" s="775">
        <f>H27</f>
        <v>100</v>
      </c>
      <c r="V27" s="774" t="s">
        <v>17</v>
      </c>
      <c r="W27" s="775">
        <f>J27</f>
        <v>100</v>
      </c>
      <c r="X27" s="1805"/>
      <c r="Y27" s="3205"/>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12"/>
      <c r="Q28" s="1787" t="str">
        <f t="shared" si="11"/>
        <v>朝向</v>
      </c>
      <c r="R28" s="770" t="s">
        <v>17</v>
      </c>
      <c r="S28" s="771">
        <f>F28</f>
        <v>100</v>
      </c>
      <c r="T28" s="770" t="s">
        <v>17</v>
      </c>
      <c r="U28" s="771">
        <f>H28</f>
        <v>100</v>
      </c>
      <c r="V28" s="770" t="s">
        <v>17</v>
      </c>
      <c r="W28" s="771">
        <f>J28</f>
        <v>100</v>
      </c>
      <c r="X28" s="772"/>
      <c r="Y28" s="3205"/>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12"/>
      <c r="Q29" s="1802">
        <f t="shared" si="11"/>
        <v>111</v>
      </c>
      <c r="R29" s="774" t="s">
        <v>17</v>
      </c>
      <c r="S29" s="775">
        <f t="shared" ref="S29:S47" si="12">F29</f>
        <v>100</v>
      </c>
      <c r="T29" s="774" t="s">
        <v>17</v>
      </c>
      <c r="U29" s="775">
        <f t="shared" ref="U29:U47" si="13">H29</f>
        <v>100</v>
      </c>
      <c r="V29" s="774" t="s">
        <v>17</v>
      </c>
      <c r="W29" s="775">
        <f t="shared" ref="W29:W47" si="14">J29</f>
        <v>100</v>
      </c>
      <c r="X29" s="1805"/>
      <c r="Y29" s="3205"/>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12"/>
      <c r="Q30" s="1802">
        <f t="shared" si="11"/>
        <v>111</v>
      </c>
      <c r="R30" s="774" t="s">
        <v>17</v>
      </c>
      <c r="S30" s="775">
        <f t="shared" si="12"/>
        <v>100</v>
      </c>
      <c r="T30" s="774" t="s">
        <v>17</v>
      </c>
      <c r="U30" s="775">
        <f t="shared" si="13"/>
        <v>100</v>
      </c>
      <c r="V30" s="774" t="s">
        <v>17</v>
      </c>
      <c r="W30" s="775">
        <f t="shared" si="14"/>
        <v>100</v>
      </c>
      <c r="X30" s="1805"/>
      <c r="Y30" s="3205"/>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12"/>
      <c r="Q31" s="1802">
        <f t="shared" si="11"/>
        <v>111</v>
      </c>
      <c r="R31" s="774" t="s">
        <v>17</v>
      </c>
      <c r="S31" s="775">
        <f t="shared" si="12"/>
        <v>100</v>
      </c>
      <c r="T31" s="774" t="s">
        <v>17</v>
      </c>
      <c r="U31" s="775">
        <f t="shared" si="13"/>
        <v>100</v>
      </c>
      <c r="V31" s="774" t="s">
        <v>17</v>
      </c>
      <c r="W31" s="775">
        <f t="shared" si="14"/>
        <v>100</v>
      </c>
      <c r="X31" s="1805"/>
      <c r="Y31" s="3205"/>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12"/>
      <c r="Q32" s="1802">
        <f t="shared" si="11"/>
        <v>111</v>
      </c>
      <c r="R32" s="774" t="s">
        <v>17</v>
      </c>
      <c r="S32" s="775">
        <f t="shared" si="12"/>
        <v>100</v>
      </c>
      <c r="T32" s="774" t="s">
        <v>17</v>
      </c>
      <c r="U32" s="775">
        <f t="shared" si="13"/>
        <v>100</v>
      </c>
      <c r="V32" s="774" t="s">
        <v>17</v>
      </c>
      <c r="W32" s="775">
        <f t="shared" si="14"/>
        <v>100</v>
      </c>
      <c r="X32" s="1805"/>
      <c r="Y32" s="3205"/>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06" t="s">
        <v>2564</v>
      </c>
      <c r="Q33" s="1802" t="str">
        <f t="shared" si="11"/>
        <v>建筑类型</v>
      </c>
      <c r="R33" s="774" t="s">
        <v>17</v>
      </c>
      <c r="S33" s="775">
        <f t="shared" si="12"/>
        <v>100</v>
      </c>
      <c r="T33" s="774" t="s">
        <v>17</v>
      </c>
      <c r="U33" s="775">
        <f t="shared" si="13"/>
        <v>100</v>
      </c>
      <c r="V33" s="774" t="s">
        <v>17</v>
      </c>
      <c r="W33" s="775">
        <f t="shared" si="14"/>
        <v>100</v>
      </c>
      <c r="X33" s="1805"/>
      <c r="Y33" s="3209"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7"/>
      <c r="Q35" s="1802" t="str">
        <f t="shared" si="11"/>
        <v>建筑结构</v>
      </c>
      <c r="R35" s="774" t="s">
        <v>17</v>
      </c>
      <c r="S35" s="775">
        <f t="shared" si="12"/>
        <v>100</v>
      </c>
      <c r="T35" s="774" t="s">
        <v>17</v>
      </c>
      <c r="U35" s="775">
        <f t="shared" si="13"/>
        <v>100</v>
      </c>
      <c r="V35" s="774" t="s">
        <v>17</v>
      </c>
      <c r="W35" s="775">
        <f t="shared" si="14"/>
        <v>100</v>
      </c>
      <c r="X35" s="1805"/>
      <c r="Y35" s="3209"/>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7"/>
      <c r="Q36" s="1802" t="str">
        <f t="shared" si="11"/>
        <v>公共部分装修</v>
      </c>
      <c r="R36" s="774" t="s">
        <v>17</v>
      </c>
      <c r="S36" s="775">
        <f t="shared" si="12"/>
        <v>100</v>
      </c>
      <c r="T36" s="774" t="s">
        <v>17</v>
      </c>
      <c r="U36" s="775">
        <f t="shared" si="13"/>
        <v>100</v>
      </c>
      <c r="V36" s="774" t="s">
        <v>17</v>
      </c>
      <c r="W36" s="775">
        <f t="shared" si="14"/>
        <v>100</v>
      </c>
      <c r="X36" s="1805"/>
      <c r="Y36" s="3209"/>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7"/>
      <c r="Q37" s="1802" t="str">
        <f t="shared" si="11"/>
        <v>成新度</v>
      </c>
      <c r="R37" s="774" t="s">
        <v>17</v>
      </c>
      <c r="S37" s="775" t="e">
        <f t="shared" si="12"/>
        <v>#N/A</v>
      </c>
      <c r="T37" s="774" t="s">
        <v>17</v>
      </c>
      <c r="U37" s="775" t="e">
        <f t="shared" si="13"/>
        <v>#N/A</v>
      </c>
      <c r="V37" s="774" t="s">
        <v>17</v>
      </c>
      <c r="W37" s="775" t="e">
        <f t="shared" si="14"/>
        <v>#N/A</v>
      </c>
      <c r="X37" s="1805"/>
      <c r="Y37" s="3209"/>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7"/>
      <c r="Q38" s="1787"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7" t="s">
        <v>2564</v>
      </c>
      <c r="Q39" s="1802" t="str">
        <f t="shared" si="11"/>
        <v>物业管理</v>
      </c>
      <c r="R39" s="774" t="s">
        <v>17</v>
      </c>
      <c r="S39" s="775">
        <f t="shared" si="12"/>
        <v>100</v>
      </c>
      <c r="T39" s="774" t="s">
        <v>17</v>
      </c>
      <c r="U39" s="775">
        <f t="shared" si="13"/>
        <v>100</v>
      </c>
      <c r="V39" s="774" t="s">
        <v>17</v>
      </c>
      <c r="W39" s="775">
        <f t="shared" si="14"/>
        <v>100</v>
      </c>
      <c r="X39" s="1805"/>
      <c r="Y39" s="3209"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7"/>
      <c r="Q40" s="1802" t="str">
        <f t="shared" si="11"/>
        <v>市政基础设施</v>
      </c>
      <c r="R40" s="774" t="s">
        <v>17</v>
      </c>
      <c r="S40" s="775">
        <f t="shared" si="12"/>
        <v>100</v>
      </c>
      <c r="T40" s="774" t="s">
        <v>17</v>
      </c>
      <c r="U40" s="775">
        <f t="shared" si="13"/>
        <v>100</v>
      </c>
      <c r="V40" s="774" t="s">
        <v>17</v>
      </c>
      <c r="W40" s="775">
        <f t="shared" si="14"/>
        <v>100</v>
      </c>
      <c r="X40" s="1805"/>
      <c r="Y40" s="3209"/>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7"/>
      <c r="Q41" s="1802" t="str">
        <f t="shared" si="11"/>
        <v>层高</v>
      </c>
      <c r="R41" s="774" t="s">
        <v>17</v>
      </c>
      <c r="S41" s="775">
        <f t="shared" si="12"/>
        <v>100</v>
      </c>
      <c r="T41" s="774" t="s">
        <v>17</v>
      </c>
      <c r="U41" s="775">
        <f t="shared" si="13"/>
        <v>100</v>
      </c>
      <c r="V41" s="774" t="s">
        <v>17</v>
      </c>
      <c r="W41" s="775">
        <f t="shared" si="14"/>
        <v>100</v>
      </c>
      <c r="X41" s="1805"/>
      <c r="Y41" s="3209"/>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7"/>
      <c r="Q43" s="1802" t="str">
        <f t="shared" si="11"/>
        <v>内部装修</v>
      </c>
      <c r="R43" s="774" t="s">
        <v>17</v>
      </c>
      <c r="S43" s="775">
        <f t="shared" si="12"/>
        <v>100</v>
      </c>
      <c r="T43" s="774" t="s">
        <v>17</v>
      </c>
      <c r="U43" s="775">
        <f t="shared" si="13"/>
        <v>100</v>
      </c>
      <c r="V43" s="774" t="s">
        <v>17</v>
      </c>
      <c r="W43" s="775">
        <f t="shared" si="14"/>
        <v>100</v>
      </c>
      <c r="X43" s="1805"/>
      <c r="Y43" s="3209"/>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07"/>
      <c r="Q44" s="1802" t="str">
        <f t="shared" si="11"/>
        <v>内部装修维护情况</v>
      </c>
      <c r="R44" s="774" t="s">
        <v>17</v>
      </c>
      <c r="S44" s="775">
        <f t="shared" si="12"/>
        <v>100</v>
      </c>
      <c r="T44" s="774" t="s">
        <v>17</v>
      </c>
      <c r="U44" s="775">
        <f t="shared" si="13"/>
        <v>100</v>
      </c>
      <c r="V44" s="774" t="s">
        <v>17</v>
      </c>
      <c r="W44" s="775">
        <f t="shared" si="14"/>
        <v>100</v>
      </c>
      <c r="X44" s="1805"/>
      <c r="Y44" s="3209"/>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7"/>
      <c r="Q45" s="1787">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7"/>
      <c r="Q46" s="1802">
        <f t="shared" si="11"/>
        <v>111</v>
      </c>
      <c r="R46" s="774" t="s">
        <v>17</v>
      </c>
      <c r="S46" s="775">
        <f t="shared" si="12"/>
        <v>100</v>
      </c>
      <c r="T46" s="774" t="s">
        <v>17</v>
      </c>
      <c r="U46" s="775">
        <f t="shared" si="13"/>
        <v>100</v>
      </c>
      <c r="V46" s="774" t="s">
        <v>17</v>
      </c>
      <c r="W46" s="775">
        <f t="shared" si="14"/>
        <v>100</v>
      </c>
      <c r="X46" s="1805"/>
      <c r="Y46" s="3209"/>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8"/>
      <c r="Q47" s="1802">
        <f t="shared" si="11"/>
        <v>111</v>
      </c>
      <c r="R47" s="774" t="s">
        <v>17</v>
      </c>
      <c r="S47" s="775">
        <f t="shared" si="12"/>
        <v>100</v>
      </c>
      <c r="T47" s="774" t="s">
        <v>17</v>
      </c>
      <c r="U47" s="775">
        <f t="shared" si="13"/>
        <v>100</v>
      </c>
      <c r="V47" s="774" t="s">
        <v>17</v>
      </c>
      <c r="W47" s="775">
        <f t="shared" si="14"/>
        <v>100</v>
      </c>
      <c r="X47" s="1805"/>
      <c r="Y47" s="3210"/>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213"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7" t="str">
        <f>A50</f>
        <v>估价对象XX用房的比较价值（楼面单价，元/平方米）</v>
      </c>
      <c r="Q50" s="3248"/>
      <c r="R50" s="3249" t="e">
        <f>IF(F1="售价",ROUND(AVERAGE(R49:V49),0),ROUND(AVERAGE(R49:V49),1))</f>
        <v>#DIV/0!</v>
      </c>
      <c r="S50" s="3249"/>
      <c r="T50" s="3249"/>
      <c r="U50" s="3249"/>
      <c r="V50" s="3249"/>
      <c r="W50" s="3249"/>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15" t="s">
        <v>2647</v>
      </c>
      <c r="AC4" s="3214" t="s">
        <v>2648</v>
      </c>
    </row>
    <row r="5" spans="1:29" ht="15">
      <c r="A5" s="404"/>
      <c r="B5" s="405"/>
      <c r="C5" s="3236" t="s">
        <v>2541</v>
      </c>
      <c r="D5" s="3237"/>
      <c r="E5" s="3243" t="s">
        <v>2542</v>
      </c>
      <c r="F5" s="3244"/>
      <c r="G5" s="3236" t="s">
        <v>2543</v>
      </c>
      <c r="H5" s="3237"/>
      <c r="I5" s="3236" t="s">
        <v>2544</v>
      </c>
      <c r="J5" s="3237"/>
      <c r="K5" s="610"/>
      <c r="L5" s="1130"/>
      <c r="M5" s="1131"/>
      <c r="N5" s="1131"/>
      <c r="O5" s="1131"/>
      <c r="P5" s="3223"/>
      <c r="Q5" s="3224"/>
      <c r="R5" s="3229"/>
      <c r="S5" s="3230"/>
      <c r="T5" s="3229"/>
      <c r="U5" s="3230"/>
      <c r="V5" s="3233"/>
      <c r="W5" s="3233"/>
      <c r="X5" s="1805"/>
      <c r="Y5" s="3229"/>
      <c r="Z5" s="3230"/>
      <c r="AA5" s="3215"/>
      <c r="AB5" s="3215"/>
      <c r="AC5" s="3215"/>
    </row>
    <row r="6" spans="1:29" ht="15.75" thickBot="1">
      <c r="A6" s="406"/>
      <c r="B6" s="407"/>
      <c r="C6" s="3234" t="s">
        <v>2545</v>
      </c>
      <c r="D6" s="3235"/>
      <c r="E6" s="3241" t="s">
        <v>2545</v>
      </c>
      <c r="F6" s="3242"/>
      <c r="G6" s="3234" t="s">
        <v>2545</v>
      </c>
      <c r="H6" s="3235"/>
      <c r="I6" s="3234" t="s">
        <v>2545</v>
      </c>
      <c r="J6" s="3235"/>
      <c r="K6" s="610" t="s">
        <v>2546</v>
      </c>
      <c r="L6" s="1130"/>
      <c r="M6" s="1131"/>
      <c r="N6" s="1131"/>
      <c r="O6" s="1131"/>
      <c r="P6" s="3225"/>
      <c r="Q6" s="3226"/>
      <c r="R6" s="3229"/>
      <c r="S6" s="3230"/>
      <c r="T6" s="3231"/>
      <c r="U6" s="3232"/>
      <c r="V6" s="3233"/>
      <c r="W6" s="3233"/>
      <c r="X6" s="1805"/>
      <c r="Y6" s="3231"/>
      <c r="Z6" s="3232"/>
      <c r="AA6" s="3216"/>
      <c r="AB6" s="3216"/>
      <c r="AC6" s="3216"/>
    </row>
    <row r="7" spans="1:29" s="117" customFormat="1" ht="15.75" thickBot="1">
      <c r="A7" s="408" t="s">
        <v>2547</v>
      </c>
      <c r="B7" s="409"/>
      <c r="C7" s="410">
        <f>'数据-取费表'!B2</f>
        <v>43978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78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2"/>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2"/>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2"/>
      <c r="Q14" s="178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2559</v>
      </c>
      <c r="Q15" s="1802" t="str">
        <f t="shared" si="6"/>
        <v>产业集聚程度</v>
      </c>
      <c r="R15" s="774" t="s">
        <v>17</v>
      </c>
      <c r="S15" s="775">
        <f t="shared" si="0"/>
        <v>100</v>
      </c>
      <c r="T15" s="774" t="s">
        <v>17</v>
      </c>
      <c r="U15" s="775">
        <f t="shared" si="1"/>
        <v>100</v>
      </c>
      <c r="V15" s="774" t="s">
        <v>17</v>
      </c>
      <c r="W15" s="775">
        <f t="shared" si="2"/>
        <v>100</v>
      </c>
      <c r="X15" s="1805"/>
      <c r="Y15" s="3204"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05"/>
      <c r="Q16" s="1802"/>
      <c r="R16" s="774"/>
      <c r="S16" s="775"/>
      <c r="T16" s="774"/>
      <c r="U16" s="775"/>
      <c r="V16" s="774"/>
      <c r="W16" s="775"/>
      <c r="X16" s="1805"/>
      <c r="Y16" s="3205"/>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802" t="str">
        <f>B17</f>
        <v>交通便捷度</v>
      </c>
      <c r="R17" s="774" t="s">
        <v>17</v>
      </c>
      <c r="S17" s="775">
        <f>F17</f>
        <v>100</v>
      </c>
      <c r="T17" s="774" t="s">
        <v>17</v>
      </c>
      <c r="U17" s="775">
        <f>H17</f>
        <v>100</v>
      </c>
      <c r="V17" s="774" t="s">
        <v>17</v>
      </c>
      <c r="W17" s="775">
        <f>J17</f>
        <v>100</v>
      </c>
      <c r="X17" s="1805"/>
      <c r="Y17" s="3205"/>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05"/>
      <c r="Q18" s="1802"/>
      <c r="R18" s="774"/>
      <c r="S18" s="775"/>
      <c r="T18" s="774"/>
      <c r="U18" s="775"/>
      <c r="V18" s="774"/>
      <c r="W18" s="775"/>
      <c r="X18" s="1805"/>
      <c r="Y18" s="3205"/>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802" t="str">
        <f>B19</f>
        <v>公共配套设施</v>
      </c>
      <c r="R19" s="774" t="s">
        <v>17</v>
      </c>
      <c r="S19" s="775">
        <f>F19</f>
        <v>100</v>
      </c>
      <c r="T19" s="774" t="s">
        <v>17</v>
      </c>
      <c r="U19" s="775">
        <f>H19</f>
        <v>100</v>
      </c>
      <c r="V19" s="774" t="s">
        <v>17</v>
      </c>
      <c r="W19" s="775">
        <f>J19</f>
        <v>100</v>
      </c>
      <c r="X19" s="1805"/>
      <c r="Y19" s="3205"/>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05"/>
      <c r="Q20" s="1802"/>
      <c r="R20" s="774"/>
      <c r="S20" s="775"/>
      <c r="T20" s="774"/>
      <c r="U20" s="775"/>
      <c r="V20" s="774"/>
      <c r="W20" s="775"/>
      <c r="X20" s="1805"/>
      <c r="Y20" s="3205"/>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802" t="str">
        <f>B21</f>
        <v>基础设施水平</v>
      </c>
      <c r="R21" s="774" t="s">
        <v>17</v>
      </c>
      <c r="S21" s="775">
        <f>F21</f>
        <v>100</v>
      </c>
      <c r="T21" s="774" t="s">
        <v>17</v>
      </c>
      <c r="U21" s="775">
        <f>H21</f>
        <v>100</v>
      </c>
      <c r="V21" s="774" t="s">
        <v>17</v>
      </c>
      <c r="W21" s="775">
        <f>J21</f>
        <v>100</v>
      </c>
      <c r="X21" s="1805"/>
      <c r="Y21" s="3205"/>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05"/>
      <c r="Q22" s="1802"/>
      <c r="R22" s="774"/>
      <c r="S22" s="775"/>
      <c r="T22" s="774"/>
      <c r="U22" s="775"/>
      <c r="V22" s="774"/>
      <c r="W22" s="775"/>
      <c r="X22" s="1805"/>
      <c r="Y22" s="3205"/>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802" t="str">
        <f>B23</f>
        <v>环境质量</v>
      </c>
      <c r="R23" s="774" t="s">
        <v>17</v>
      </c>
      <c r="S23" s="775">
        <f>F23</f>
        <v>100</v>
      </c>
      <c r="T23" s="774" t="s">
        <v>17</v>
      </c>
      <c r="U23" s="775">
        <f>H23</f>
        <v>100</v>
      </c>
      <c r="V23" s="774" t="s">
        <v>17</v>
      </c>
      <c r="W23" s="775">
        <f>J23</f>
        <v>100</v>
      </c>
      <c r="X23" s="1805"/>
      <c r="Y23" s="3205"/>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05"/>
      <c r="Q24" s="1802"/>
      <c r="R24" s="774"/>
      <c r="S24" s="775"/>
      <c r="T24" s="774"/>
      <c r="U24" s="775"/>
      <c r="V24" s="774"/>
      <c r="W24" s="775"/>
      <c r="X24" s="1805"/>
      <c r="Y24" s="320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802">
        <f>B25</f>
        <v>111</v>
      </c>
      <c r="R25" s="774" t="s">
        <v>17</v>
      </c>
      <c r="S25" s="775">
        <f>F25</f>
        <v>100</v>
      </c>
      <c r="T25" s="774" t="s">
        <v>17</v>
      </c>
      <c r="U25" s="775">
        <f>H25</f>
        <v>100</v>
      </c>
      <c r="V25" s="774" t="s">
        <v>17</v>
      </c>
      <c r="W25" s="775">
        <f>J25</f>
        <v>100</v>
      </c>
      <c r="X25" s="1805"/>
      <c r="Y25" s="320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802">
        <f t="shared" ref="Q26:Q40" si="11">B26</f>
        <v>111</v>
      </c>
      <c r="R26" s="774" t="s">
        <v>17</v>
      </c>
      <c r="S26" s="775">
        <f>F26</f>
        <v>100</v>
      </c>
      <c r="T26" s="774" t="s">
        <v>17</v>
      </c>
      <c r="U26" s="775">
        <f>H26</f>
        <v>100</v>
      </c>
      <c r="V26" s="774" t="s">
        <v>17</v>
      </c>
      <c r="W26" s="775">
        <f>J26</f>
        <v>100</v>
      </c>
      <c r="X26" s="1805"/>
      <c r="Y26" s="320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787">
        <f t="shared" si="11"/>
        <v>111</v>
      </c>
      <c r="R27" s="770" t="s">
        <v>17</v>
      </c>
      <c r="S27" s="771">
        <f>F27</f>
        <v>100</v>
      </c>
      <c r="T27" s="770" t="s">
        <v>17</v>
      </c>
      <c r="U27" s="771">
        <f>H27</f>
        <v>100</v>
      </c>
      <c r="V27" s="770" t="s">
        <v>17</v>
      </c>
      <c r="W27" s="771">
        <f>J27</f>
        <v>100</v>
      </c>
      <c r="X27" s="772"/>
      <c r="Y27" s="320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802">
        <f t="shared" si="11"/>
        <v>111</v>
      </c>
      <c r="R28" s="774" t="s">
        <v>17</v>
      </c>
      <c r="S28" s="775">
        <f t="shared" ref="S28:S40" si="12">F28</f>
        <v>100</v>
      </c>
      <c r="T28" s="774" t="s">
        <v>17</v>
      </c>
      <c r="U28" s="775">
        <f t="shared" ref="U28:U40" si="13">H28</f>
        <v>100</v>
      </c>
      <c r="V28" s="774" t="s">
        <v>17</v>
      </c>
      <c r="W28" s="775">
        <f t="shared" ref="W28:W40" si="14">J28</f>
        <v>100</v>
      </c>
      <c r="X28" s="1805"/>
      <c r="Y28" s="3205"/>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62" t="s">
        <v>2564</v>
      </c>
      <c r="Q29" s="1802" t="str">
        <f t="shared" si="11"/>
        <v>建筑类型</v>
      </c>
      <c r="R29" s="774" t="s">
        <v>17</v>
      </c>
      <c r="S29" s="775">
        <f t="shared" si="12"/>
        <v>100</v>
      </c>
      <c r="T29" s="774" t="s">
        <v>17</v>
      </c>
      <c r="U29" s="775">
        <f t="shared" si="13"/>
        <v>100</v>
      </c>
      <c r="V29" s="774" t="s">
        <v>17</v>
      </c>
      <c r="W29" s="775">
        <f t="shared" si="14"/>
        <v>100</v>
      </c>
      <c r="X29" s="1805"/>
      <c r="Y29" s="3209"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2" t="str">
        <f t="shared" si="11"/>
        <v>建筑结构</v>
      </c>
      <c r="R31" s="774" t="s">
        <v>17</v>
      </c>
      <c r="S31" s="775">
        <f t="shared" si="12"/>
        <v>100</v>
      </c>
      <c r="T31" s="774" t="s">
        <v>17</v>
      </c>
      <c r="U31" s="775">
        <f t="shared" si="13"/>
        <v>100</v>
      </c>
      <c r="V31" s="774" t="s">
        <v>17</v>
      </c>
      <c r="W31" s="775">
        <f t="shared" si="14"/>
        <v>100</v>
      </c>
      <c r="X31" s="1805"/>
      <c r="Y31" s="3209"/>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2" t="str">
        <f t="shared" si="11"/>
        <v>公共部分装修</v>
      </c>
      <c r="R32" s="774" t="s">
        <v>17</v>
      </c>
      <c r="S32" s="775">
        <f t="shared" si="12"/>
        <v>100</v>
      </c>
      <c r="T32" s="774" t="s">
        <v>17</v>
      </c>
      <c r="U32" s="775">
        <f t="shared" si="13"/>
        <v>100</v>
      </c>
      <c r="V32" s="774" t="s">
        <v>17</v>
      </c>
      <c r="W32" s="775">
        <f t="shared" si="14"/>
        <v>100</v>
      </c>
      <c r="X32" s="1805"/>
      <c r="Y32" s="3209"/>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2" t="str">
        <f t="shared" si="11"/>
        <v>成新度</v>
      </c>
      <c r="R33" s="774" t="s">
        <v>17</v>
      </c>
      <c r="S33" s="775" t="e">
        <f t="shared" si="12"/>
        <v>#N/A</v>
      </c>
      <c r="T33" s="774" t="s">
        <v>17</v>
      </c>
      <c r="U33" s="775" t="e">
        <f t="shared" si="13"/>
        <v>#N/A</v>
      </c>
      <c r="V33" s="774" t="s">
        <v>17</v>
      </c>
      <c r="W33" s="775" t="e">
        <f t="shared" si="14"/>
        <v>#N/A</v>
      </c>
      <c r="X33" s="1805"/>
      <c r="Y33" s="3209"/>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87"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2564</v>
      </c>
      <c r="Q35" s="1802" t="str">
        <f t="shared" si="11"/>
        <v>市政基础设施</v>
      </c>
      <c r="R35" s="774" t="s">
        <v>17</v>
      </c>
      <c r="S35" s="775">
        <f t="shared" si="12"/>
        <v>100</v>
      </c>
      <c r="T35" s="774" t="s">
        <v>17</v>
      </c>
      <c r="U35" s="775">
        <f t="shared" si="13"/>
        <v>100</v>
      </c>
      <c r="V35" s="774" t="s">
        <v>17</v>
      </c>
      <c r="W35" s="775">
        <f t="shared" si="14"/>
        <v>100</v>
      </c>
      <c r="X35" s="1805"/>
      <c r="Y35" s="3209"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2" t="str">
        <f t="shared" si="11"/>
        <v>内部装修</v>
      </c>
      <c r="R36" s="774" t="s">
        <v>17</v>
      </c>
      <c r="S36" s="775">
        <f t="shared" si="12"/>
        <v>100</v>
      </c>
      <c r="T36" s="774" t="s">
        <v>17</v>
      </c>
      <c r="U36" s="775">
        <f t="shared" si="13"/>
        <v>100</v>
      </c>
      <c r="V36" s="774" t="s">
        <v>17</v>
      </c>
      <c r="W36" s="775">
        <f t="shared" si="14"/>
        <v>100</v>
      </c>
      <c r="X36" s="1805"/>
      <c r="Y36" s="3209"/>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2" t="str">
        <f t="shared" si="11"/>
        <v>内部装修状况</v>
      </c>
      <c r="R37" s="774" t="s">
        <v>17</v>
      </c>
      <c r="S37" s="775">
        <f t="shared" si="12"/>
        <v>100</v>
      </c>
      <c r="T37" s="774" t="s">
        <v>17</v>
      </c>
      <c r="U37" s="775">
        <f t="shared" si="13"/>
        <v>100</v>
      </c>
      <c r="V37" s="774" t="s">
        <v>17</v>
      </c>
      <c r="W37" s="775">
        <f t="shared" si="14"/>
        <v>100</v>
      </c>
      <c r="X37" s="1805"/>
      <c r="Y37" s="320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2">
        <f t="shared" si="11"/>
        <v>111</v>
      </c>
      <c r="R39" s="774" t="s">
        <v>17</v>
      </c>
      <c r="S39" s="775">
        <f t="shared" si="12"/>
        <v>100</v>
      </c>
      <c r="T39" s="774" t="s">
        <v>17</v>
      </c>
      <c r="U39" s="775">
        <f t="shared" si="13"/>
        <v>100</v>
      </c>
      <c r="V39" s="774" t="s">
        <v>17</v>
      </c>
      <c r="W39" s="775">
        <f t="shared" si="14"/>
        <v>100</v>
      </c>
      <c r="X39" s="1805"/>
      <c r="Y39" s="3209"/>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802">
        <f t="shared" si="11"/>
        <v>111</v>
      </c>
      <c r="R40" s="774" t="s">
        <v>17</v>
      </c>
      <c r="S40" s="775">
        <f t="shared" si="12"/>
        <v>100</v>
      </c>
      <c r="T40" s="774" t="s">
        <v>17</v>
      </c>
      <c r="U40" s="775">
        <f t="shared" si="13"/>
        <v>100</v>
      </c>
      <c r="V40" s="774" t="s">
        <v>17</v>
      </c>
      <c r="W40" s="775">
        <f t="shared" si="14"/>
        <v>100</v>
      </c>
      <c r="X40" s="1805"/>
      <c r="Y40" s="3210"/>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2020年5月27日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本次评估采用的主估价方法为基准地价系数修正法和收益法。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15" t="s">
        <v>2647</v>
      </c>
      <c r="AC4" s="3214" t="s">
        <v>2648</v>
      </c>
    </row>
    <row r="5" spans="1:29" ht="15">
      <c r="A5" s="404"/>
      <c r="B5" s="405"/>
      <c r="C5" s="3236" t="s">
        <v>2541</v>
      </c>
      <c r="D5" s="3237"/>
      <c r="E5" s="3243" t="s">
        <v>2542</v>
      </c>
      <c r="F5" s="3244"/>
      <c r="G5" s="3236" t="s">
        <v>2543</v>
      </c>
      <c r="H5" s="3237"/>
      <c r="I5" s="3236" t="s">
        <v>2544</v>
      </c>
      <c r="J5" s="3237"/>
      <c r="K5" s="610"/>
      <c r="L5" s="1130"/>
      <c r="M5" s="1131"/>
      <c r="N5" s="1131"/>
      <c r="O5" s="1131"/>
      <c r="P5" s="3223"/>
      <c r="Q5" s="3224"/>
      <c r="R5" s="3229"/>
      <c r="S5" s="3230"/>
      <c r="T5" s="3229"/>
      <c r="U5" s="3230"/>
      <c r="V5" s="3233"/>
      <c r="W5" s="3233"/>
      <c r="X5" s="1805"/>
      <c r="Y5" s="3229"/>
      <c r="Z5" s="3230"/>
      <c r="AA5" s="3215"/>
      <c r="AB5" s="3215"/>
      <c r="AC5" s="3215"/>
    </row>
    <row r="6" spans="1:29" ht="15.75" thickBot="1">
      <c r="A6" s="406"/>
      <c r="B6" s="407"/>
      <c r="C6" s="3234" t="s">
        <v>2545</v>
      </c>
      <c r="D6" s="3235"/>
      <c r="E6" s="3241" t="s">
        <v>2545</v>
      </c>
      <c r="F6" s="3242"/>
      <c r="G6" s="3234" t="s">
        <v>2545</v>
      </c>
      <c r="H6" s="3235"/>
      <c r="I6" s="3234" t="s">
        <v>2545</v>
      </c>
      <c r="J6" s="3235"/>
      <c r="K6" s="610" t="s">
        <v>2546</v>
      </c>
      <c r="L6" s="1130"/>
      <c r="M6" s="1131"/>
      <c r="N6" s="1131"/>
      <c r="O6" s="1131"/>
      <c r="P6" s="3225"/>
      <c r="Q6" s="3226"/>
      <c r="R6" s="3229"/>
      <c r="S6" s="3230"/>
      <c r="T6" s="3231"/>
      <c r="U6" s="3232"/>
      <c r="V6" s="3233"/>
      <c r="W6" s="3233"/>
      <c r="X6" s="1805"/>
      <c r="Y6" s="3231"/>
      <c r="Z6" s="3232"/>
      <c r="AA6" s="3216"/>
      <c r="AB6" s="3216"/>
      <c r="AC6" s="3216"/>
    </row>
    <row r="7" spans="1:29" s="117" customFormat="1" ht="15.75" thickBot="1">
      <c r="A7" s="408" t="s">
        <v>2547</v>
      </c>
      <c r="B7" s="409"/>
      <c r="C7" s="410">
        <f>'数据-取费表'!B2</f>
        <v>43978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8" t="s">
        <v>2548</v>
      </c>
      <c r="Q7" s="3240"/>
      <c r="R7" s="770" t="s">
        <v>17</v>
      </c>
      <c r="S7" s="771">
        <f t="shared" ref="S7:S14" si="0">F7</f>
        <v>0</v>
      </c>
      <c r="T7" s="770" t="s">
        <v>17</v>
      </c>
      <c r="U7" s="771">
        <f t="shared" ref="U7:U14" si="1">H7</f>
        <v>0</v>
      </c>
      <c r="V7" s="770" t="s">
        <v>17</v>
      </c>
      <c r="W7" s="771">
        <f t="shared" ref="W7:W14" si="2">J7</f>
        <v>0</v>
      </c>
      <c r="X7" s="772"/>
      <c r="Y7" s="3238" t="s">
        <v>2548</v>
      </c>
      <c r="Z7" s="323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2554</v>
      </c>
      <c r="Q9" s="1787"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78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2559</v>
      </c>
      <c r="Q14" s="1802" t="str">
        <f t="shared" si="6"/>
        <v>交通便捷度</v>
      </c>
      <c r="R14" s="774" t="s">
        <v>17</v>
      </c>
      <c r="S14" s="775">
        <f t="shared" si="0"/>
        <v>100</v>
      </c>
      <c r="T14" s="774" t="s">
        <v>17</v>
      </c>
      <c r="U14" s="775">
        <f t="shared" si="1"/>
        <v>100</v>
      </c>
      <c r="V14" s="774" t="s">
        <v>17</v>
      </c>
      <c r="W14" s="775">
        <f t="shared" si="2"/>
        <v>100</v>
      </c>
      <c r="X14" s="1805"/>
      <c r="Y14" s="3204"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05"/>
      <c r="Q15" s="1802"/>
      <c r="R15" s="774"/>
      <c r="S15" s="775"/>
      <c r="T15" s="774"/>
      <c r="U15" s="775"/>
      <c r="V15" s="774"/>
      <c r="W15" s="775"/>
      <c r="X15" s="1805"/>
      <c r="Y15" s="3205"/>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802" t="str">
        <f>B16</f>
        <v>公共配套设施</v>
      </c>
      <c r="R16" s="774" t="s">
        <v>17</v>
      </c>
      <c r="S16" s="775">
        <f>F16</f>
        <v>100</v>
      </c>
      <c r="T16" s="774" t="s">
        <v>17</v>
      </c>
      <c r="U16" s="775">
        <f>H16</f>
        <v>100</v>
      </c>
      <c r="V16" s="774" t="s">
        <v>17</v>
      </c>
      <c r="W16" s="775">
        <f>J16</f>
        <v>100</v>
      </c>
      <c r="X16" s="1805"/>
      <c r="Y16" s="3205"/>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05"/>
      <c r="Q17" s="1802"/>
      <c r="R17" s="774"/>
      <c r="S17" s="775"/>
      <c r="T17" s="774"/>
      <c r="U17" s="775"/>
      <c r="V17" s="774"/>
      <c r="W17" s="775"/>
      <c r="X17" s="1805"/>
      <c r="Y17" s="3205"/>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802" t="str">
        <f>B18</f>
        <v>基础设施水平</v>
      </c>
      <c r="R18" s="774" t="s">
        <v>17</v>
      </c>
      <c r="S18" s="775">
        <f>F18</f>
        <v>100</v>
      </c>
      <c r="T18" s="774" t="s">
        <v>17</v>
      </c>
      <c r="U18" s="775">
        <f>H18</f>
        <v>100</v>
      </c>
      <c r="V18" s="774" t="s">
        <v>17</v>
      </c>
      <c r="W18" s="775">
        <f>J18</f>
        <v>100</v>
      </c>
      <c r="X18" s="1805"/>
      <c r="Y18" s="3205"/>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05"/>
      <c r="Q19" s="1802"/>
      <c r="R19" s="774"/>
      <c r="S19" s="775"/>
      <c r="T19" s="774"/>
      <c r="U19" s="775"/>
      <c r="V19" s="774"/>
      <c r="W19" s="775"/>
      <c r="X19" s="1805"/>
      <c r="Y19" s="3205"/>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802" t="str">
        <f>B20</f>
        <v>自然及人文环境</v>
      </c>
      <c r="R20" s="774" t="s">
        <v>17</v>
      </c>
      <c r="S20" s="775">
        <f>F20</f>
        <v>100</v>
      </c>
      <c r="T20" s="774" t="s">
        <v>17</v>
      </c>
      <c r="U20" s="775">
        <f>H20</f>
        <v>100</v>
      </c>
      <c r="V20" s="774" t="s">
        <v>17</v>
      </c>
      <c r="W20" s="775">
        <f>J20</f>
        <v>100</v>
      </c>
      <c r="X20" s="1805"/>
      <c r="Y20" s="320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05"/>
      <c r="Q21" s="1802"/>
      <c r="R21" s="774"/>
      <c r="S21" s="775"/>
      <c r="T21" s="774"/>
      <c r="U21" s="775"/>
      <c r="V21" s="774"/>
      <c r="W21" s="775"/>
      <c r="X21" s="1805"/>
      <c r="Y21" s="3205"/>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802" t="str">
        <f>B22</f>
        <v>楼层</v>
      </c>
      <c r="R22" s="774" t="s">
        <v>17</v>
      </c>
      <c r="S22" s="775">
        <f>F22</f>
        <v>100</v>
      </c>
      <c r="T22" s="774" t="s">
        <v>17</v>
      </c>
      <c r="U22" s="775">
        <f>H22</f>
        <v>100</v>
      </c>
      <c r="V22" s="774" t="s">
        <v>17</v>
      </c>
      <c r="W22" s="775">
        <f>J22</f>
        <v>100</v>
      </c>
      <c r="X22" s="1805"/>
      <c r="Y22" s="320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802">
        <f>B23</f>
        <v>111</v>
      </c>
      <c r="R23" s="774" t="s">
        <v>17</v>
      </c>
      <c r="S23" s="775">
        <f>F23</f>
        <v>100</v>
      </c>
      <c r="T23" s="774" t="s">
        <v>17</v>
      </c>
      <c r="U23" s="775">
        <f>H23</f>
        <v>100</v>
      </c>
      <c r="V23" s="774" t="s">
        <v>17</v>
      </c>
      <c r="W23" s="775">
        <f>J23</f>
        <v>100</v>
      </c>
      <c r="X23" s="1805"/>
      <c r="Y23" s="320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802">
        <f t="shared" ref="Q24:Q36" si="11">B24</f>
        <v>111</v>
      </c>
      <c r="R24" s="774" t="s">
        <v>17</v>
      </c>
      <c r="S24" s="775">
        <f>F24</f>
        <v>100</v>
      </c>
      <c r="T24" s="774" t="s">
        <v>17</v>
      </c>
      <c r="U24" s="775">
        <f>H24</f>
        <v>100</v>
      </c>
      <c r="V24" s="774" t="s">
        <v>17</v>
      </c>
      <c r="W24" s="775">
        <f>J24</f>
        <v>100</v>
      </c>
      <c r="X24" s="1805"/>
      <c r="Y24" s="320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787">
        <f t="shared" si="11"/>
        <v>111</v>
      </c>
      <c r="R25" s="770" t="s">
        <v>17</v>
      </c>
      <c r="S25" s="771">
        <f>F25</f>
        <v>100</v>
      </c>
      <c r="T25" s="770" t="s">
        <v>17</v>
      </c>
      <c r="U25" s="771">
        <f>H25</f>
        <v>100</v>
      </c>
      <c r="V25" s="770" t="s">
        <v>17</v>
      </c>
      <c r="W25" s="771">
        <f>J25</f>
        <v>100</v>
      </c>
      <c r="X25" s="772"/>
      <c r="Y25" s="3205"/>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2"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09"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02" t="str">
        <f t="shared" si="11"/>
        <v>公共部分装修</v>
      </c>
      <c r="R28" s="774" t="s">
        <v>17</v>
      </c>
      <c r="S28" s="775">
        <f t="shared" si="12"/>
        <v>100</v>
      </c>
      <c r="T28" s="774" t="s">
        <v>17</v>
      </c>
      <c r="U28" s="775">
        <f t="shared" si="13"/>
        <v>100</v>
      </c>
      <c r="V28" s="774" t="s">
        <v>17</v>
      </c>
      <c r="W28" s="775">
        <f t="shared" si="14"/>
        <v>100</v>
      </c>
      <c r="X28" s="1805"/>
      <c r="Y28" s="3209"/>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02" t="str">
        <f t="shared" si="11"/>
        <v>成新率</v>
      </c>
      <c r="R29" s="774" t="s">
        <v>17</v>
      </c>
      <c r="S29" s="775" t="e">
        <f t="shared" si="12"/>
        <v>#N/A</v>
      </c>
      <c r="T29" s="774" t="s">
        <v>17</v>
      </c>
      <c r="U29" s="775" t="e">
        <f t="shared" si="13"/>
        <v>#N/A</v>
      </c>
      <c r="V29" s="774" t="s">
        <v>17</v>
      </c>
      <c r="W29" s="775" t="e">
        <f t="shared" si="14"/>
        <v>#N/A</v>
      </c>
      <c r="X29" s="1805"/>
      <c r="Y29" s="3209"/>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02" t="str">
        <f t="shared" si="11"/>
        <v>物业等级</v>
      </c>
      <c r="R30" s="774" t="s">
        <v>17</v>
      </c>
      <c r="S30" s="775">
        <f t="shared" si="12"/>
        <v>100</v>
      </c>
      <c r="T30" s="774" t="s">
        <v>17</v>
      </c>
      <c r="U30" s="775">
        <f t="shared" si="13"/>
        <v>100</v>
      </c>
      <c r="V30" s="774" t="s">
        <v>17</v>
      </c>
      <c r="W30" s="775">
        <f t="shared" si="14"/>
        <v>100</v>
      </c>
      <c r="X30" s="1805"/>
      <c r="Y30" s="3209"/>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87"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2564</v>
      </c>
      <c r="Q32" s="1802" t="str">
        <f t="shared" si="11"/>
        <v>车位类型</v>
      </c>
      <c r="R32" s="774" t="s">
        <v>17</v>
      </c>
      <c r="S32" s="775">
        <f t="shared" si="12"/>
        <v>100</v>
      </c>
      <c r="T32" s="774" t="s">
        <v>17</v>
      </c>
      <c r="U32" s="775">
        <f t="shared" si="13"/>
        <v>100</v>
      </c>
      <c r="V32" s="774" t="s">
        <v>17</v>
      </c>
      <c r="W32" s="775">
        <f t="shared" si="14"/>
        <v>100</v>
      </c>
      <c r="X32" s="1805"/>
      <c r="Y32" s="3209"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02" t="str">
        <f t="shared" si="11"/>
        <v>是否直接入户</v>
      </c>
      <c r="R33" s="774" t="s">
        <v>17</v>
      </c>
      <c r="S33" s="775">
        <f t="shared" si="12"/>
        <v>100</v>
      </c>
      <c r="T33" s="774" t="s">
        <v>17</v>
      </c>
      <c r="U33" s="775">
        <f t="shared" si="13"/>
        <v>100</v>
      </c>
      <c r="V33" s="774" t="s">
        <v>17</v>
      </c>
      <c r="W33" s="775">
        <f t="shared" si="14"/>
        <v>100</v>
      </c>
      <c r="X33" s="1805"/>
      <c r="Y33" s="320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2">
        <f t="shared" si="11"/>
        <v>111</v>
      </c>
      <c r="R34" s="774" t="s">
        <v>17</v>
      </c>
      <c r="S34" s="775">
        <f t="shared" si="12"/>
        <v>100</v>
      </c>
      <c r="T34" s="774" t="s">
        <v>17</v>
      </c>
      <c r="U34" s="775">
        <f t="shared" si="13"/>
        <v>100</v>
      </c>
      <c r="V34" s="774" t="s">
        <v>17</v>
      </c>
      <c r="W34" s="775">
        <f t="shared" si="14"/>
        <v>100</v>
      </c>
      <c r="X34" s="1805"/>
      <c r="Y34" s="320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2">
        <f t="shared" si="11"/>
        <v>111</v>
      </c>
      <c r="R36" s="774" t="s">
        <v>17</v>
      </c>
      <c r="S36" s="775">
        <f t="shared" si="12"/>
        <v>100</v>
      </c>
      <c r="T36" s="774" t="s">
        <v>17</v>
      </c>
      <c r="U36" s="775">
        <f t="shared" si="13"/>
        <v>100</v>
      </c>
      <c r="V36" s="774" t="s">
        <v>17</v>
      </c>
      <c r="W36" s="775">
        <f t="shared" si="14"/>
        <v>100</v>
      </c>
      <c r="X36" s="1805"/>
      <c r="Y36" s="3209"/>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15" t="s">
        <v>2647</v>
      </c>
      <c r="AC4" s="3214" t="s">
        <v>2648</v>
      </c>
    </row>
    <row r="5" spans="1:29" ht="15">
      <c r="A5" s="404"/>
      <c r="B5" s="405"/>
      <c r="C5" s="3236" t="s">
        <v>2541</v>
      </c>
      <c r="D5" s="3237"/>
      <c r="E5" s="3243" t="s">
        <v>2542</v>
      </c>
      <c r="F5" s="3244"/>
      <c r="G5" s="3236" t="s">
        <v>2543</v>
      </c>
      <c r="H5" s="3237"/>
      <c r="I5" s="3236" t="s">
        <v>2544</v>
      </c>
      <c r="J5" s="3237"/>
      <c r="K5" s="610"/>
      <c r="L5" s="1130"/>
      <c r="M5" s="1131"/>
      <c r="N5" s="1131"/>
      <c r="O5" s="1131"/>
      <c r="P5" s="3223"/>
      <c r="Q5" s="3224"/>
      <c r="R5" s="3229"/>
      <c r="S5" s="3230"/>
      <c r="T5" s="3229"/>
      <c r="U5" s="3230"/>
      <c r="V5" s="3233"/>
      <c r="W5" s="3233"/>
      <c r="X5" s="1805"/>
      <c r="Y5" s="3229"/>
      <c r="Z5" s="3230"/>
      <c r="AA5" s="3215"/>
      <c r="AB5" s="3215"/>
      <c r="AC5" s="3215"/>
    </row>
    <row r="6" spans="1:29" ht="15.75" thickBot="1">
      <c r="A6" s="406"/>
      <c r="B6" s="407"/>
      <c r="C6" s="3234" t="s">
        <v>2545</v>
      </c>
      <c r="D6" s="3235"/>
      <c r="E6" s="3241" t="s">
        <v>2545</v>
      </c>
      <c r="F6" s="3242"/>
      <c r="G6" s="3234" t="s">
        <v>2545</v>
      </c>
      <c r="H6" s="3235"/>
      <c r="I6" s="3234" t="s">
        <v>2545</v>
      </c>
      <c r="J6" s="3235"/>
      <c r="K6" s="610" t="s">
        <v>2546</v>
      </c>
      <c r="L6" s="1130"/>
      <c r="M6" s="1131"/>
      <c r="N6" s="1131"/>
      <c r="O6" s="1131"/>
      <c r="P6" s="3225"/>
      <c r="Q6" s="3226"/>
      <c r="R6" s="3229"/>
      <c r="S6" s="3230"/>
      <c r="T6" s="3231"/>
      <c r="U6" s="3232"/>
      <c r="V6" s="3233"/>
      <c r="W6" s="3233"/>
      <c r="X6" s="1805"/>
      <c r="Y6" s="3231"/>
      <c r="Z6" s="3232"/>
      <c r="AA6" s="3216"/>
      <c r="AB6" s="3216"/>
      <c r="AC6" s="3216"/>
    </row>
    <row r="7" spans="1:29" s="117" customFormat="1" ht="15.75" thickBot="1">
      <c r="A7" s="408" t="s">
        <v>2547</v>
      </c>
      <c r="B7" s="409"/>
      <c r="C7" s="410">
        <f>'数据-取费表'!B2</f>
        <v>43978</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38" t="s">
        <v>2548</v>
      </c>
      <c r="Q7" s="3240"/>
      <c r="R7" s="770" t="s">
        <v>17</v>
      </c>
      <c r="S7" s="771">
        <f t="shared" ref="S7:S14" si="0">F7</f>
        <v>0</v>
      </c>
      <c r="T7" s="770" t="s">
        <v>17</v>
      </c>
      <c r="U7" s="771">
        <f t="shared" ref="U7:U14" si="1">H7</f>
        <v>0</v>
      </c>
      <c r="V7" s="770" t="s">
        <v>17</v>
      </c>
      <c r="W7" s="771">
        <f t="shared" ref="W7:W14" si="2">J7</f>
        <v>0</v>
      </c>
      <c r="X7" s="772"/>
      <c r="Y7" s="3238" t="s">
        <v>2548</v>
      </c>
      <c r="Z7" s="323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2554</v>
      </c>
      <c r="Q9" s="1787"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78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78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2"/>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2559</v>
      </c>
      <c r="Q14" s="1802" t="str">
        <f t="shared" si="6"/>
        <v>交通便捷度</v>
      </c>
      <c r="R14" s="774" t="s">
        <v>17</v>
      </c>
      <c r="S14" s="775">
        <f t="shared" si="0"/>
        <v>100</v>
      </c>
      <c r="T14" s="774" t="s">
        <v>17</v>
      </c>
      <c r="U14" s="775">
        <f t="shared" si="1"/>
        <v>100</v>
      </c>
      <c r="V14" s="774" t="s">
        <v>17</v>
      </c>
      <c r="W14" s="775">
        <f t="shared" si="2"/>
        <v>100</v>
      </c>
      <c r="X14" s="1805"/>
      <c r="Y14" s="3204"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05"/>
      <c r="Q15" s="1802"/>
      <c r="R15" s="774"/>
      <c r="S15" s="775"/>
      <c r="T15" s="774"/>
      <c r="U15" s="775"/>
      <c r="V15" s="774"/>
      <c r="W15" s="775"/>
      <c r="X15" s="1805"/>
      <c r="Y15" s="3205"/>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802" t="str">
        <f>B16</f>
        <v>公共配套设施</v>
      </c>
      <c r="R16" s="774" t="s">
        <v>17</v>
      </c>
      <c r="S16" s="775">
        <f>F16</f>
        <v>100</v>
      </c>
      <c r="T16" s="774" t="s">
        <v>17</v>
      </c>
      <c r="U16" s="775">
        <f>H16</f>
        <v>100</v>
      </c>
      <c r="V16" s="774" t="s">
        <v>17</v>
      </c>
      <c r="W16" s="775">
        <f>J16</f>
        <v>100</v>
      </c>
      <c r="X16" s="1805"/>
      <c r="Y16" s="3205"/>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05"/>
      <c r="Q17" s="1802"/>
      <c r="R17" s="774"/>
      <c r="S17" s="775"/>
      <c r="T17" s="774"/>
      <c r="U17" s="775"/>
      <c r="V17" s="774"/>
      <c r="W17" s="775"/>
      <c r="X17" s="1805"/>
      <c r="Y17" s="3205"/>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802" t="str">
        <f>B18</f>
        <v>基础设施水平</v>
      </c>
      <c r="R18" s="774" t="s">
        <v>17</v>
      </c>
      <c r="S18" s="775">
        <f>F18</f>
        <v>100</v>
      </c>
      <c r="T18" s="774" t="s">
        <v>17</v>
      </c>
      <c r="U18" s="775">
        <f>H18</f>
        <v>100</v>
      </c>
      <c r="V18" s="774" t="s">
        <v>17</v>
      </c>
      <c r="W18" s="775">
        <f>J18</f>
        <v>100</v>
      </c>
      <c r="X18" s="1805"/>
      <c r="Y18" s="3205"/>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05"/>
      <c r="Q19" s="1802"/>
      <c r="R19" s="774"/>
      <c r="S19" s="775"/>
      <c r="T19" s="774"/>
      <c r="U19" s="775"/>
      <c r="V19" s="774"/>
      <c r="W19" s="775"/>
      <c r="X19" s="1805"/>
      <c r="Y19" s="3205"/>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802" t="str">
        <f>B20</f>
        <v>自然及人文环境</v>
      </c>
      <c r="R20" s="774" t="s">
        <v>17</v>
      </c>
      <c r="S20" s="775">
        <f>F20</f>
        <v>100</v>
      </c>
      <c r="T20" s="774" t="s">
        <v>17</v>
      </c>
      <c r="U20" s="775">
        <f>H20</f>
        <v>100</v>
      </c>
      <c r="V20" s="774" t="s">
        <v>17</v>
      </c>
      <c r="W20" s="775">
        <f>J20</f>
        <v>100</v>
      </c>
      <c r="X20" s="1805"/>
      <c r="Y20" s="320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05"/>
      <c r="Q21" s="1802"/>
      <c r="R21" s="774"/>
      <c r="S21" s="775"/>
      <c r="T21" s="774"/>
      <c r="U21" s="775"/>
      <c r="V21" s="774"/>
      <c r="W21" s="775"/>
      <c r="X21" s="1805"/>
      <c r="Y21" s="3205"/>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802" t="str">
        <f>B22</f>
        <v>楼层</v>
      </c>
      <c r="R22" s="774" t="s">
        <v>17</v>
      </c>
      <c r="S22" s="775">
        <f>F22</f>
        <v>100</v>
      </c>
      <c r="T22" s="774" t="s">
        <v>17</v>
      </c>
      <c r="U22" s="775">
        <f>H22</f>
        <v>100</v>
      </c>
      <c r="V22" s="774" t="s">
        <v>17</v>
      </c>
      <c r="W22" s="775">
        <f>J22</f>
        <v>100</v>
      </c>
      <c r="X22" s="1805"/>
      <c r="Y22" s="3205"/>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802">
        <f>B23</f>
        <v>111</v>
      </c>
      <c r="R23" s="774" t="s">
        <v>17</v>
      </c>
      <c r="S23" s="775">
        <f>F23</f>
        <v>100</v>
      </c>
      <c r="T23" s="774" t="s">
        <v>17</v>
      </c>
      <c r="U23" s="775">
        <f>H23</f>
        <v>100</v>
      </c>
      <c r="V23" s="774" t="s">
        <v>17</v>
      </c>
      <c r="W23" s="775">
        <f>J23</f>
        <v>100</v>
      </c>
      <c r="X23" s="1805"/>
      <c r="Y23" s="3205"/>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802">
        <f t="shared" ref="Q24:Q34" si="11">B24</f>
        <v>111</v>
      </c>
      <c r="R24" s="774" t="s">
        <v>17</v>
      </c>
      <c r="S24" s="775">
        <f>F24</f>
        <v>100</v>
      </c>
      <c r="T24" s="774" t="s">
        <v>17</v>
      </c>
      <c r="U24" s="775">
        <f>H24</f>
        <v>100</v>
      </c>
      <c r="V24" s="774" t="s">
        <v>17</v>
      </c>
      <c r="W24" s="775">
        <f>J24</f>
        <v>100</v>
      </c>
      <c r="X24" s="1805"/>
      <c r="Y24" s="3205"/>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05"/>
      <c r="Q25" s="1787">
        <f t="shared" si="11"/>
        <v>111</v>
      </c>
      <c r="R25" s="770" t="s">
        <v>17</v>
      </c>
      <c r="S25" s="771">
        <f>F25</f>
        <v>100</v>
      </c>
      <c r="T25" s="770" t="s">
        <v>17</v>
      </c>
      <c r="U25" s="771">
        <f>H25</f>
        <v>100</v>
      </c>
      <c r="V25" s="770" t="s">
        <v>17</v>
      </c>
      <c r="W25" s="771">
        <f>J25</f>
        <v>100</v>
      </c>
      <c r="X25" s="772"/>
      <c r="Y25" s="3205"/>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62"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09"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2" t="str">
        <f t="shared" si="11"/>
        <v>物业等级</v>
      </c>
      <c r="R28" s="774" t="s">
        <v>17</v>
      </c>
      <c r="S28" s="775">
        <f t="shared" si="12"/>
        <v>100</v>
      </c>
      <c r="T28" s="774" t="s">
        <v>17</v>
      </c>
      <c r="U28" s="775">
        <f t="shared" si="13"/>
        <v>100</v>
      </c>
      <c r="V28" s="774" t="s">
        <v>17</v>
      </c>
      <c r="W28" s="775">
        <f t="shared" si="14"/>
        <v>100</v>
      </c>
      <c r="X28" s="1805"/>
      <c r="Y28" s="3209"/>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2" t="str">
        <f t="shared" si="11"/>
        <v>有无电梯</v>
      </c>
      <c r="R29" s="774" t="s">
        <v>17</v>
      </c>
      <c r="S29" s="775">
        <f t="shared" si="12"/>
        <v>100</v>
      </c>
      <c r="T29" s="774" t="s">
        <v>17</v>
      </c>
      <c r="U29" s="775">
        <f t="shared" si="13"/>
        <v>100</v>
      </c>
      <c r="V29" s="774" t="s">
        <v>17</v>
      </c>
      <c r="W29" s="775">
        <f t="shared" si="14"/>
        <v>100</v>
      </c>
      <c r="X29" s="1805"/>
      <c r="Y29" s="3209"/>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2" t="str">
        <f t="shared" si="11"/>
        <v>建筑面积</v>
      </c>
      <c r="R30" s="774" t="s">
        <v>17</v>
      </c>
      <c r="S30" s="775" t="e">
        <f t="shared" si="12"/>
        <v>#N/A</v>
      </c>
      <c r="T30" s="774" t="s">
        <v>17</v>
      </c>
      <c r="U30" s="775" t="e">
        <f t="shared" si="13"/>
        <v>#N/A</v>
      </c>
      <c r="V30" s="774" t="s">
        <v>17</v>
      </c>
      <c r="W30" s="775" t="e">
        <f t="shared" si="14"/>
        <v>#N/A</v>
      </c>
      <c r="X30" s="1805"/>
      <c r="Y30" s="3209"/>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87"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2564</v>
      </c>
      <c r="Q32" s="1802">
        <f t="shared" si="11"/>
        <v>111</v>
      </c>
      <c r="R32" s="774" t="s">
        <v>17</v>
      </c>
      <c r="S32" s="775">
        <f t="shared" si="12"/>
        <v>100</v>
      </c>
      <c r="T32" s="774" t="s">
        <v>17</v>
      </c>
      <c r="U32" s="775">
        <f t="shared" si="13"/>
        <v>100</v>
      </c>
      <c r="V32" s="774" t="s">
        <v>17</v>
      </c>
      <c r="W32" s="775">
        <f t="shared" si="14"/>
        <v>100</v>
      </c>
      <c r="X32" s="1805"/>
      <c r="Y32" s="3209"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2">
        <f t="shared" si="11"/>
        <v>111</v>
      </c>
      <c r="R33" s="774" t="s">
        <v>17</v>
      </c>
      <c r="S33" s="775">
        <f t="shared" si="12"/>
        <v>100</v>
      </c>
      <c r="T33" s="774" t="s">
        <v>17</v>
      </c>
      <c r="U33" s="775">
        <f t="shared" si="13"/>
        <v>100</v>
      </c>
      <c r="V33" s="774" t="s">
        <v>17</v>
      </c>
      <c r="W33" s="775">
        <f t="shared" si="14"/>
        <v>100</v>
      </c>
      <c r="X33" s="1805"/>
      <c r="Y33" s="3209"/>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09"/>
      <c r="Q34" s="1802">
        <f t="shared" si="11"/>
        <v>111</v>
      </c>
      <c r="R34" s="774" t="s">
        <v>17</v>
      </c>
      <c r="S34" s="775">
        <f t="shared" si="12"/>
        <v>100</v>
      </c>
      <c r="T34" s="774" t="s">
        <v>17</v>
      </c>
      <c r="U34" s="775">
        <f t="shared" si="13"/>
        <v>100</v>
      </c>
      <c r="V34" s="774" t="s">
        <v>17</v>
      </c>
      <c r="W34" s="775">
        <f t="shared" si="14"/>
        <v>100</v>
      </c>
      <c r="X34" s="1805"/>
      <c r="Y34" s="3209"/>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15" t="s">
        <v>2647</v>
      </c>
      <c r="AC4" s="3214" t="s">
        <v>2648</v>
      </c>
    </row>
    <row r="5" spans="1:30" ht="15">
      <c r="A5" s="404"/>
      <c r="B5" s="405"/>
      <c r="C5" s="3236" t="s">
        <v>2541</v>
      </c>
      <c r="D5" s="3237"/>
      <c r="E5" s="3243" t="s">
        <v>2542</v>
      </c>
      <c r="F5" s="3244"/>
      <c r="G5" s="3236" t="s">
        <v>2543</v>
      </c>
      <c r="H5" s="3237"/>
      <c r="I5" s="3236" t="s">
        <v>2544</v>
      </c>
      <c r="J5" s="3237"/>
      <c r="K5" s="610"/>
      <c r="L5" s="1130"/>
      <c r="M5" s="1131"/>
      <c r="N5" s="1131"/>
      <c r="O5" s="1131"/>
      <c r="P5" s="3223"/>
      <c r="Q5" s="3224"/>
      <c r="R5" s="3229"/>
      <c r="S5" s="3230"/>
      <c r="T5" s="3229"/>
      <c r="U5" s="3230"/>
      <c r="V5" s="3233"/>
      <c r="W5" s="3233"/>
      <c r="X5" s="1805"/>
      <c r="Y5" s="3229"/>
      <c r="Z5" s="3230"/>
      <c r="AA5" s="3215"/>
      <c r="AB5" s="3215"/>
      <c r="AC5" s="3215"/>
    </row>
    <row r="6" spans="1:30" ht="15.75" thickBot="1">
      <c r="A6" s="406"/>
      <c r="B6" s="407"/>
      <c r="C6" s="3234" t="s">
        <v>2545</v>
      </c>
      <c r="D6" s="3235"/>
      <c r="E6" s="3241" t="s">
        <v>2545</v>
      </c>
      <c r="F6" s="3242"/>
      <c r="G6" s="3234" t="s">
        <v>2545</v>
      </c>
      <c r="H6" s="3235"/>
      <c r="I6" s="3234" t="s">
        <v>2545</v>
      </c>
      <c r="J6" s="3235"/>
      <c r="K6" s="610" t="s">
        <v>2546</v>
      </c>
      <c r="L6" s="1130"/>
      <c r="M6" s="1131"/>
      <c r="N6" s="1131"/>
      <c r="O6" s="1131"/>
      <c r="P6" s="3225"/>
      <c r="Q6" s="3226"/>
      <c r="R6" s="3229"/>
      <c r="S6" s="3230"/>
      <c r="T6" s="3231"/>
      <c r="U6" s="3232"/>
      <c r="V6" s="3233"/>
      <c r="W6" s="3233"/>
      <c r="X6" s="1805"/>
      <c r="Y6" s="3231"/>
      <c r="Z6" s="3232"/>
      <c r="AA6" s="3216"/>
      <c r="AB6" s="3216"/>
      <c r="AC6" s="3216"/>
    </row>
    <row r="7" spans="1:30" s="117" customFormat="1" ht="15.75" thickBot="1">
      <c r="A7" s="408" t="s">
        <v>2547</v>
      </c>
      <c r="B7" s="409"/>
      <c r="C7" s="410">
        <f>'数据-取费表'!B2</f>
        <v>43978</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02"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02"/>
      <c r="Q10" s="1787" t="str">
        <f t="shared" si="6"/>
        <v>土地使用年限（年）</v>
      </c>
      <c r="R10" s="770" t="s">
        <v>17</v>
      </c>
      <c r="S10" s="771">
        <f t="shared" si="0"/>
        <v>110</v>
      </c>
      <c r="T10" s="770" t="s">
        <v>17</v>
      </c>
      <c r="U10" s="771">
        <f t="shared" si="1"/>
        <v>110</v>
      </c>
      <c r="V10" s="770" t="s">
        <v>17</v>
      </c>
      <c r="W10" s="771">
        <f t="shared" si="2"/>
        <v>110</v>
      </c>
      <c r="X10" s="772"/>
      <c r="Y10" s="3025"/>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78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787"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787">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787">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2559</v>
      </c>
      <c r="Q15" s="1802" t="str">
        <f t="shared" si="6"/>
        <v>居住社区成熟度</v>
      </c>
      <c r="R15" s="774" t="s">
        <v>17</v>
      </c>
      <c r="S15" s="775">
        <f t="shared" si="0"/>
        <v>100</v>
      </c>
      <c r="T15" s="774" t="s">
        <v>17</v>
      </c>
      <c r="U15" s="775">
        <f t="shared" si="1"/>
        <v>100</v>
      </c>
      <c r="V15" s="774" t="s">
        <v>17</v>
      </c>
      <c r="W15" s="775">
        <f t="shared" si="2"/>
        <v>100</v>
      </c>
      <c r="X15" s="1805"/>
      <c r="Y15" s="3204"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05"/>
      <c r="Q16" s="1802"/>
      <c r="R16" s="774"/>
      <c r="S16" s="775"/>
      <c r="T16" s="774"/>
      <c r="U16" s="775"/>
      <c r="V16" s="774"/>
      <c r="W16" s="775"/>
      <c r="X16" s="1805"/>
      <c r="Y16" s="3205"/>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802" t="str">
        <f>B17</f>
        <v>商业繁华度</v>
      </c>
      <c r="R17" s="774" t="s">
        <v>17</v>
      </c>
      <c r="S17" s="775">
        <f>F17</f>
        <v>100</v>
      </c>
      <c r="T17" s="774" t="s">
        <v>17</v>
      </c>
      <c r="U17" s="775">
        <f>H17</f>
        <v>100</v>
      </c>
      <c r="V17" s="774" t="s">
        <v>17</v>
      </c>
      <c r="W17" s="775">
        <f>J17</f>
        <v>100</v>
      </c>
      <c r="X17" s="1805"/>
      <c r="Y17" s="3205"/>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05"/>
      <c r="Q18" s="1802"/>
      <c r="R18" s="774"/>
      <c r="S18" s="775"/>
      <c r="T18" s="774"/>
      <c r="U18" s="775"/>
      <c r="V18" s="774"/>
      <c r="W18" s="775"/>
      <c r="X18" s="1805"/>
      <c r="Y18" s="3205"/>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802" t="str">
        <f>B19</f>
        <v>办公集聚程度</v>
      </c>
      <c r="R19" s="774" t="s">
        <v>17</v>
      </c>
      <c r="S19" s="775">
        <f>F19</f>
        <v>100</v>
      </c>
      <c r="T19" s="774" t="s">
        <v>17</v>
      </c>
      <c r="U19" s="775">
        <f>H19</f>
        <v>100</v>
      </c>
      <c r="V19" s="774" t="s">
        <v>17</v>
      </c>
      <c r="W19" s="775">
        <f>J19</f>
        <v>100</v>
      </c>
      <c r="X19" s="1805"/>
      <c r="Y19" s="3205"/>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05"/>
      <c r="Q20" s="1802"/>
      <c r="R20" s="774"/>
      <c r="S20" s="775"/>
      <c r="T20" s="774"/>
      <c r="U20" s="775"/>
      <c r="V20" s="774"/>
      <c r="W20" s="775"/>
      <c r="X20" s="1805"/>
      <c r="Y20" s="3205"/>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802" t="str">
        <f>B21</f>
        <v>交通便捷度</v>
      </c>
      <c r="R21" s="774" t="s">
        <v>17</v>
      </c>
      <c r="S21" s="775">
        <f>F21</f>
        <v>100</v>
      </c>
      <c r="T21" s="774" t="s">
        <v>17</v>
      </c>
      <c r="U21" s="775">
        <f>H21</f>
        <v>100</v>
      </c>
      <c r="V21" s="774" t="s">
        <v>17</v>
      </c>
      <c r="W21" s="775">
        <f>J21</f>
        <v>100</v>
      </c>
      <c r="X21" s="1805"/>
      <c r="Y21" s="3205"/>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05"/>
      <c r="Q22" s="1802"/>
      <c r="R22" s="774"/>
      <c r="S22" s="775"/>
      <c r="T22" s="774"/>
      <c r="U22" s="775"/>
      <c r="V22" s="774"/>
      <c r="W22" s="775"/>
      <c r="X22" s="1805"/>
      <c r="Y22" s="3205"/>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802" t="str">
        <f t="shared" ref="Q23:Q37" si="8">B23</f>
        <v>区域土地利用方向</v>
      </c>
      <c r="R23" s="774" t="s">
        <v>17</v>
      </c>
      <c r="S23" s="775">
        <f>F23</f>
        <v>100</v>
      </c>
      <c r="T23" s="774" t="s">
        <v>17</v>
      </c>
      <c r="U23" s="775">
        <f>H23</f>
        <v>100</v>
      </c>
      <c r="V23" s="774" t="s">
        <v>17</v>
      </c>
      <c r="W23" s="775">
        <f>J23</f>
        <v>100</v>
      </c>
      <c r="X23" s="1805"/>
      <c r="Y23" s="3205"/>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05"/>
      <c r="Q24" s="1802"/>
      <c r="R24" s="774"/>
      <c r="S24" s="775"/>
      <c r="T24" s="774"/>
      <c r="U24" s="775"/>
      <c r="V24" s="774"/>
      <c r="W24" s="775"/>
      <c r="X24" s="1805"/>
      <c r="Y24" s="3205"/>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802" t="str">
        <f t="shared" si="8"/>
        <v>自然及人文环境状况</v>
      </c>
      <c r="R25" s="774" t="s">
        <v>17</v>
      </c>
      <c r="S25" s="775">
        <f>F25</f>
        <v>100</v>
      </c>
      <c r="T25" s="774" t="s">
        <v>17</v>
      </c>
      <c r="U25" s="775">
        <f>H25</f>
        <v>100</v>
      </c>
      <c r="V25" s="774" t="s">
        <v>17</v>
      </c>
      <c r="W25" s="775">
        <f>J25</f>
        <v>100</v>
      </c>
      <c r="X25" s="1805"/>
      <c r="Y25" s="3205"/>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05"/>
      <c r="Q26" s="1802"/>
      <c r="R26" s="774"/>
      <c r="S26" s="775"/>
      <c r="T26" s="774"/>
      <c r="U26" s="775"/>
      <c r="V26" s="774"/>
      <c r="W26" s="775"/>
      <c r="X26" s="1805"/>
      <c r="Y26" s="3205"/>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787" t="str">
        <f t="shared" si="8"/>
        <v>公共配套设施</v>
      </c>
      <c r="R27" s="770" t="s">
        <v>17</v>
      </c>
      <c r="S27" s="771">
        <f>F27</f>
        <v>100</v>
      </c>
      <c r="T27" s="770" t="s">
        <v>17</v>
      </c>
      <c r="U27" s="771">
        <f>H27</f>
        <v>100</v>
      </c>
      <c r="V27" s="770" t="s">
        <v>17</v>
      </c>
      <c r="W27" s="771">
        <f>J27</f>
        <v>100</v>
      </c>
      <c r="X27" s="772"/>
      <c r="Y27" s="3205"/>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05"/>
      <c r="Q28" s="1787"/>
      <c r="R28" s="770"/>
      <c r="S28" s="771"/>
      <c r="T28" s="770"/>
      <c r="U28" s="771"/>
      <c r="V28" s="770"/>
      <c r="W28" s="771"/>
      <c r="X28" s="772"/>
      <c r="Y28" s="3205"/>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787" t="str">
        <f t="shared" ref="Q29" si="9">B29</f>
        <v>基础设施水平</v>
      </c>
      <c r="R29" s="770" t="s">
        <v>17</v>
      </c>
      <c r="S29" s="771">
        <f>F29</f>
        <v>100</v>
      </c>
      <c r="T29" s="770" t="s">
        <v>17</v>
      </c>
      <c r="U29" s="771">
        <f>H29</f>
        <v>100</v>
      </c>
      <c r="V29" s="770" t="s">
        <v>17</v>
      </c>
      <c r="W29" s="771">
        <f>J29</f>
        <v>100</v>
      </c>
      <c r="X29" s="772"/>
      <c r="Y29" s="3205"/>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05"/>
      <c r="Q30" s="1787"/>
      <c r="R30" s="770"/>
      <c r="S30" s="771"/>
      <c r="T30" s="770"/>
      <c r="U30" s="771"/>
      <c r="V30" s="770"/>
      <c r="W30" s="771"/>
      <c r="X30" s="772"/>
      <c r="Y30" s="3205"/>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05"/>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802" t="str">
        <f t="shared" si="8"/>
        <v>毗邻道路的类型与等级</v>
      </c>
      <c r="R32" s="774" t="s">
        <v>17</v>
      </c>
      <c r="S32" s="775">
        <f t="shared" si="10"/>
        <v>100</v>
      </c>
      <c r="T32" s="774" t="s">
        <v>17</v>
      </c>
      <c r="U32" s="775">
        <f t="shared" si="11"/>
        <v>100</v>
      </c>
      <c r="V32" s="774" t="s">
        <v>17</v>
      </c>
      <c r="W32" s="775">
        <f t="shared" si="12"/>
        <v>100</v>
      </c>
      <c r="X32" s="1805"/>
      <c r="Y32" s="3205"/>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05"/>
      <c r="Q33" s="1802"/>
      <c r="R33" s="774"/>
      <c r="S33" s="775"/>
      <c r="T33" s="774"/>
      <c r="U33" s="775"/>
      <c r="V33" s="774"/>
      <c r="W33" s="775"/>
      <c r="X33" s="1805"/>
      <c r="Y33" s="3205"/>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802" t="str">
        <f t="shared" si="8"/>
        <v>土地级别</v>
      </c>
      <c r="R34" s="774" t="s">
        <v>17</v>
      </c>
      <c r="S34" s="775">
        <f t="shared" si="10"/>
        <v>100</v>
      </c>
      <c r="T34" s="774" t="s">
        <v>17</v>
      </c>
      <c r="U34" s="775">
        <f t="shared" si="11"/>
        <v>100</v>
      </c>
      <c r="V34" s="774" t="s">
        <v>17</v>
      </c>
      <c r="W34" s="775">
        <f t="shared" si="12"/>
        <v>100</v>
      </c>
      <c r="X34" s="1805"/>
      <c r="Y34" s="320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802">
        <f t="shared" si="8"/>
        <v>111</v>
      </c>
      <c r="R35" s="774" t="s">
        <v>17</v>
      </c>
      <c r="S35" s="775">
        <f t="shared" si="10"/>
        <v>100</v>
      </c>
      <c r="T35" s="774" t="s">
        <v>17</v>
      </c>
      <c r="U35" s="775">
        <f t="shared" si="11"/>
        <v>100</v>
      </c>
      <c r="V35" s="774" t="s">
        <v>17</v>
      </c>
      <c r="W35" s="775">
        <f t="shared" si="12"/>
        <v>100</v>
      </c>
      <c r="X35" s="1805"/>
      <c r="Y35" s="320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2564</v>
      </c>
      <c r="Q36" s="1802">
        <f t="shared" si="8"/>
        <v>111</v>
      </c>
      <c r="R36" s="774" t="s">
        <v>17</v>
      </c>
      <c r="S36" s="775">
        <f t="shared" si="10"/>
        <v>100</v>
      </c>
      <c r="T36" s="774" t="s">
        <v>17</v>
      </c>
      <c r="U36" s="775">
        <f t="shared" si="11"/>
        <v>100</v>
      </c>
      <c r="V36" s="774" t="s">
        <v>17</v>
      </c>
      <c r="W36" s="775">
        <f t="shared" si="12"/>
        <v>100</v>
      </c>
      <c r="X36" s="1805"/>
      <c r="Y36" s="3209"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2">
        <f t="shared" si="8"/>
        <v>111</v>
      </c>
      <c r="R37" s="777" t="s">
        <v>17</v>
      </c>
      <c r="S37" s="778">
        <f t="shared" si="10"/>
        <v>100</v>
      </c>
      <c r="T37" s="777" t="s">
        <v>17</v>
      </c>
      <c r="U37" s="778">
        <f t="shared" si="11"/>
        <v>100</v>
      </c>
      <c r="V37" s="777" t="s">
        <v>17</v>
      </c>
      <c r="W37" s="778">
        <f t="shared" si="12"/>
        <v>100</v>
      </c>
      <c r="X37" s="779"/>
      <c r="Y37" s="3209"/>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802" t="str">
        <f>B38</f>
        <v>宗地面积</v>
      </c>
      <c r="R38" s="774" t="s">
        <v>17</v>
      </c>
      <c r="S38" s="775" t="e">
        <f t="shared" si="10"/>
        <v>#N/A</v>
      </c>
      <c r="T38" s="774" t="s">
        <v>17</v>
      </c>
      <c r="U38" s="775" t="e">
        <f t="shared" si="11"/>
        <v>#N/A</v>
      </c>
      <c r="V38" s="774" t="s">
        <v>17</v>
      </c>
      <c r="W38" s="775" t="e">
        <f t="shared" si="12"/>
        <v>#N/A</v>
      </c>
      <c r="X38" s="1805"/>
      <c r="Y38" s="3209"/>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09"/>
      <c r="Q39" s="1802" t="str">
        <f t="shared" ref="Q39:Q45" si="14">B39</f>
        <v>宗地形状</v>
      </c>
      <c r="R39" s="774" t="s">
        <v>17</v>
      </c>
      <c r="S39" s="775">
        <f t="shared" si="10"/>
        <v>100</v>
      </c>
      <c r="T39" s="774" t="s">
        <v>17</v>
      </c>
      <c r="U39" s="775">
        <f t="shared" si="11"/>
        <v>100</v>
      </c>
      <c r="V39" s="774" t="s">
        <v>17</v>
      </c>
      <c r="W39" s="775">
        <f t="shared" si="12"/>
        <v>100</v>
      </c>
      <c r="X39" s="1805"/>
      <c r="Y39" s="3209"/>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09"/>
      <c r="Q40" s="1802" t="str">
        <f t="shared" si="14"/>
        <v>临街宽度及深度</v>
      </c>
      <c r="R40" s="774" t="s">
        <v>17</v>
      </c>
      <c r="S40" s="775">
        <f t="shared" si="10"/>
        <v>100</v>
      </c>
      <c r="T40" s="774" t="s">
        <v>17</v>
      </c>
      <c r="U40" s="775">
        <f t="shared" si="11"/>
        <v>100</v>
      </c>
      <c r="V40" s="774" t="s">
        <v>17</v>
      </c>
      <c r="W40" s="775">
        <f t="shared" si="12"/>
        <v>100</v>
      </c>
      <c r="X40" s="1805"/>
      <c r="Y40" s="3209"/>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09"/>
      <c r="Q41" s="1802"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09" t="s">
        <v>2564</v>
      </c>
      <c r="Q42" s="1802" t="str">
        <f t="shared" si="14"/>
        <v>工程地质条件</v>
      </c>
      <c r="R42" s="774" t="s">
        <v>17</v>
      </c>
      <c r="S42" s="775">
        <f t="shared" si="10"/>
        <v>100</v>
      </c>
      <c r="T42" s="774" t="s">
        <v>17</v>
      </c>
      <c r="U42" s="775">
        <f t="shared" si="11"/>
        <v>100</v>
      </c>
      <c r="V42" s="774" t="s">
        <v>17</v>
      </c>
      <c r="W42" s="775">
        <f t="shared" si="12"/>
        <v>100</v>
      </c>
      <c r="X42" s="1805"/>
      <c r="Y42" s="3209"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2">
        <f t="shared" si="14"/>
        <v>111</v>
      </c>
      <c r="R43" s="774" t="s">
        <v>17</v>
      </c>
      <c r="S43" s="775">
        <f t="shared" si="10"/>
        <v>100</v>
      </c>
      <c r="T43" s="774" t="s">
        <v>17</v>
      </c>
      <c r="U43" s="775">
        <f t="shared" si="11"/>
        <v>100</v>
      </c>
      <c r="V43" s="774" t="s">
        <v>17</v>
      </c>
      <c r="W43" s="775">
        <f t="shared" si="12"/>
        <v>100</v>
      </c>
      <c r="X43" s="1805"/>
      <c r="Y43" s="320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2">
        <f t="shared" si="14"/>
        <v>111</v>
      </c>
      <c r="R44" s="774" t="s">
        <v>17</v>
      </c>
      <c r="S44" s="775">
        <f t="shared" si="10"/>
        <v>100</v>
      </c>
      <c r="T44" s="774" t="s">
        <v>17</v>
      </c>
      <c r="U44" s="775">
        <f t="shared" si="11"/>
        <v>100</v>
      </c>
      <c r="V44" s="774" t="s">
        <v>17</v>
      </c>
      <c r="W44" s="775">
        <f t="shared" si="12"/>
        <v>100</v>
      </c>
      <c r="X44" s="1805"/>
      <c r="Y44" s="3209"/>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2">
        <f t="shared" si="14"/>
        <v>111</v>
      </c>
      <c r="R45" s="777" t="s">
        <v>17</v>
      </c>
      <c r="S45" s="778">
        <f t="shared" si="10"/>
        <v>100</v>
      </c>
      <c r="T45" s="777" t="s">
        <v>17</v>
      </c>
      <c r="U45" s="778">
        <f t="shared" si="11"/>
        <v>100</v>
      </c>
      <c r="V45" s="777" t="s">
        <v>17</v>
      </c>
      <c r="W45" s="778">
        <f t="shared" si="12"/>
        <v>100</v>
      </c>
      <c r="X45" s="779"/>
      <c r="Y45" s="3209"/>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9" t="str">
        <f>A48</f>
        <v>估价对象XX用房的比较价值（楼面单价，元/平方米）</v>
      </c>
      <c r="Q48" s="3200"/>
      <c r="R48" s="3264" t="e">
        <f>ROUND(AVERAGE(R47:V47),0)</f>
        <v>#DIV/0!</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17" t="s">
        <v>2763</v>
      </c>
      <c r="H55" s="3265"/>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1398.7300000000002</v>
      </c>
      <c r="F56" s="1103" t="e">
        <f t="shared" ref="F56:F65" si="15">ROUND(B56*E56/10000,0)</f>
        <v>#DIV/0!</v>
      </c>
      <c r="G56" s="3213"/>
      <c r="H56" s="3202"/>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6"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05"/>
      <c r="Y4" s="3227" t="s">
        <v>2650</v>
      </c>
      <c r="Z4" s="3228"/>
      <c r="AA4" s="3214" t="s">
        <v>2646</v>
      </c>
      <c r="AB4" s="3215" t="s">
        <v>2647</v>
      </c>
      <c r="AC4" s="3214" t="s">
        <v>2648</v>
      </c>
    </row>
    <row r="5" spans="1:29" ht="15">
      <c r="A5" s="404"/>
      <c r="B5" s="405"/>
      <c r="C5" s="3236" t="s">
        <v>2541</v>
      </c>
      <c r="D5" s="3237"/>
      <c r="E5" s="3243" t="s">
        <v>2542</v>
      </c>
      <c r="F5" s="3244"/>
      <c r="G5" s="3236" t="s">
        <v>2543</v>
      </c>
      <c r="H5" s="3237"/>
      <c r="I5" s="3236" t="s">
        <v>2544</v>
      </c>
      <c r="J5" s="3237"/>
      <c r="K5" s="610"/>
      <c r="L5" s="1130"/>
      <c r="M5" s="1131"/>
      <c r="N5" s="1131"/>
      <c r="O5" s="1131"/>
      <c r="P5" s="3223"/>
      <c r="Q5" s="3224"/>
      <c r="R5" s="3229"/>
      <c r="S5" s="3230"/>
      <c r="T5" s="3229"/>
      <c r="U5" s="3230"/>
      <c r="V5" s="3233"/>
      <c r="W5" s="3233"/>
      <c r="X5" s="1805"/>
      <c r="Y5" s="3229"/>
      <c r="Z5" s="3230"/>
      <c r="AA5" s="3215"/>
      <c r="AB5" s="3215"/>
      <c r="AC5" s="3215"/>
    </row>
    <row r="6" spans="1:29" ht="15.75" thickBot="1">
      <c r="A6" s="406"/>
      <c r="B6" s="407"/>
      <c r="C6" s="3267" t="s">
        <v>2796</v>
      </c>
      <c r="D6" s="3268"/>
      <c r="E6" s="3269" t="s">
        <v>2796</v>
      </c>
      <c r="F6" s="3270"/>
      <c r="G6" s="3267" t="s">
        <v>2796</v>
      </c>
      <c r="H6" s="3268"/>
      <c r="I6" s="3267" t="s">
        <v>2796</v>
      </c>
      <c r="J6" s="3268"/>
      <c r="K6" s="610" t="s">
        <v>2546</v>
      </c>
      <c r="L6" s="1130"/>
      <c r="M6" s="1131"/>
      <c r="N6" s="1131"/>
      <c r="O6" s="1131"/>
      <c r="P6" s="3225"/>
      <c r="Q6" s="3226"/>
      <c r="R6" s="3229"/>
      <c r="S6" s="3230"/>
      <c r="T6" s="3231"/>
      <c r="U6" s="3232"/>
      <c r="V6" s="3233"/>
      <c r="W6" s="3233"/>
      <c r="X6" s="1805"/>
      <c r="Y6" s="3231"/>
      <c r="Z6" s="3232"/>
      <c r="AA6" s="3216"/>
      <c r="AB6" s="3216"/>
      <c r="AC6" s="3216"/>
    </row>
    <row r="7" spans="1:29" s="117" customFormat="1" ht="15.75" thickBot="1">
      <c r="A7" s="408" t="s">
        <v>2547</v>
      </c>
      <c r="B7" s="409"/>
      <c r="C7" s="410">
        <f>'数据-取费表'!B2</f>
        <v>43978</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2" t="s">
        <v>2554</v>
      </c>
      <c r="Q9" s="1787"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02"/>
      <c r="Q10" s="1787" t="str">
        <f t="shared" si="6"/>
        <v>土地使用年限（年）</v>
      </c>
      <c r="R10" s="770" t="s">
        <v>17</v>
      </c>
      <c r="S10" s="771">
        <f t="shared" si="0"/>
        <v>110</v>
      </c>
      <c r="T10" s="770" t="s">
        <v>17</v>
      </c>
      <c r="U10" s="771">
        <f t="shared" si="1"/>
        <v>110</v>
      </c>
      <c r="V10" s="770" t="s">
        <v>17</v>
      </c>
      <c r="W10" s="771">
        <f t="shared" si="2"/>
        <v>110</v>
      </c>
      <c r="X10" s="772"/>
      <c r="Y10" s="3025"/>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78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78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78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78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2559</v>
      </c>
      <c r="Q15" s="1802" t="str">
        <f t="shared" si="6"/>
        <v>产业集聚程度</v>
      </c>
      <c r="R15" s="774" t="s">
        <v>17</v>
      </c>
      <c r="S15" s="775">
        <f t="shared" si="0"/>
        <v>100</v>
      </c>
      <c r="T15" s="774" t="s">
        <v>17</v>
      </c>
      <c r="U15" s="775">
        <f t="shared" si="1"/>
        <v>100</v>
      </c>
      <c r="V15" s="774" t="s">
        <v>17</v>
      </c>
      <c r="W15" s="775">
        <f t="shared" si="2"/>
        <v>100</v>
      </c>
      <c r="X15" s="1805"/>
      <c r="Y15" s="3204"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05"/>
      <c r="Q16" s="1802"/>
      <c r="R16" s="774"/>
      <c r="S16" s="775"/>
      <c r="T16" s="774"/>
      <c r="U16" s="775"/>
      <c r="V16" s="774"/>
      <c r="W16" s="775"/>
      <c r="X16" s="1805"/>
      <c r="Y16" s="3205"/>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802" t="str">
        <f>B17</f>
        <v>交通便捷度</v>
      </c>
      <c r="R17" s="774" t="s">
        <v>17</v>
      </c>
      <c r="S17" s="775">
        <f>F17</f>
        <v>100</v>
      </c>
      <c r="T17" s="774" t="s">
        <v>17</v>
      </c>
      <c r="U17" s="775">
        <f>H17</f>
        <v>100</v>
      </c>
      <c r="V17" s="774" t="s">
        <v>17</v>
      </c>
      <c r="W17" s="775">
        <f>J17</f>
        <v>100</v>
      </c>
      <c r="X17" s="1805"/>
      <c r="Y17" s="3205"/>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05"/>
      <c r="Q18" s="1802"/>
      <c r="R18" s="774"/>
      <c r="S18" s="775"/>
      <c r="T18" s="774"/>
      <c r="U18" s="775"/>
      <c r="V18" s="774"/>
      <c r="W18" s="775"/>
      <c r="X18" s="1805"/>
      <c r="Y18" s="3205"/>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802" t="str">
        <f t="shared" ref="Q19:Q33" si="8">B19</f>
        <v>区域土地利用方向</v>
      </c>
      <c r="R19" s="774" t="s">
        <v>17</v>
      </c>
      <c r="S19" s="775">
        <f>F19</f>
        <v>100</v>
      </c>
      <c r="T19" s="774" t="s">
        <v>17</v>
      </c>
      <c r="U19" s="775">
        <f>H19</f>
        <v>100</v>
      </c>
      <c r="V19" s="774" t="s">
        <v>17</v>
      </c>
      <c r="W19" s="775">
        <f>J19</f>
        <v>100</v>
      </c>
      <c r="X19" s="1805"/>
      <c r="Y19" s="3205"/>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05"/>
      <c r="Q20" s="1802"/>
      <c r="R20" s="774"/>
      <c r="S20" s="775"/>
      <c r="T20" s="774"/>
      <c r="U20" s="775"/>
      <c r="V20" s="774"/>
      <c r="W20" s="775"/>
      <c r="X20" s="1805"/>
      <c r="Y20" s="3205"/>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802" t="str">
        <f t="shared" si="8"/>
        <v>环境状况</v>
      </c>
      <c r="R21" s="774" t="s">
        <v>17</v>
      </c>
      <c r="S21" s="775">
        <f>F21</f>
        <v>100</v>
      </c>
      <c r="T21" s="774" t="s">
        <v>17</v>
      </c>
      <c r="U21" s="775">
        <f>H21</f>
        <v>100</v>
      </c>
      <c r="V21" s="774" t="s">
        <v>17</v>
      </c>
      <c r="W21" s="775">
        <f>J21</f>
        <v>100</v>
      </c>
      <c r="X21" s="1805"/>
      <c r="Y21" s="3205"/>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05"/>
      <c r="Q22" s="1802"/>
      <c r="R22" s="774"/>
      <c r="S22" s="775"/>
      <c r="T22" s="774"/>
      <c r="U22" s="775"/>
      <c r="V22" s="774"/>
      <c r="W22" s="775"/>
      <c r="X22" s="1805"/>
      <c r="Y22" s="3205"/>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787" t="str">
        <f t="shared" si="8"/>
        <v>公共配套设施</v>
      </c>
      <c r="R23" s="770" t="s">
        <v>17</v>
      </c>
      <c r="S23" s="771">
        <f>F23</f>
        <v>100</v>
      </c>
      <c r="T23" s="770" t="s">
        <v>17</v>
      </c>
      <c r="U23" s="771">
        <f>H23</f>
        <v>100</v>
      </c>
      <c r="V23" s="770" t="s">
        <v>17</v>
      </c>
      <c r="W23" s="771">
        <f>J23</f>
        <v>100</v>
      </c>
      <c r="X23" s="772"/>
      <c r="Y23" s="3205"/>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05"/>
      <c r="Q24" s="1787"/>
      <c r="R24" s="770"/>
      <c r="S24" s="771"/>
      <c r="T24" s="770"/>
      <c r="U24" s="771"/>
      <c r="V24" s="770"/>
      <c r="W24" s="771"/>
      <c r="X24" s="772"/>
      <c r="Y24" s="3205"/>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787" t="str">
        <f t="shared" ref="Q25" si="9">B25</f>
        <v>基础设施水平</v>
      </c>
      <c r="R25" s="770" t="s">
        <v>17</v>
      </c>
      <c r="S25" s="771">
        <f>F25</f>
        <v>100</v>
      </c>
      <c r="T25" s="770" t="s">
        <v>17</v>
      </c>
      <c r="U25" s="771">
        <f>H25</f>
        <v>100</v>
      </c>
      <c r="V25" s="770" t="s">
        <v>17</v>
      </c>
      <c r="W25" s="771">
        <f>J25</f>
        <v>100</v>
      </c>
      <c r="X25" s="772"/>
      <c r="Y25" s="3205"/>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05"/>
      <c r="Q26" s="1787"/>
      <c r="R26" s="770"/>
      <c r="S26" s="771"/>
      <c r="T26" s="770"/>
      <c r="U26" s="771"/>
      <c r="V26" s="770"/>
      <c r="W26" s="771"/>
      <c r="X26" s="772"/>
      <c r="Y26" s="320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05"/>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802" t="str">
        <f t="shared" si="8"/>
        <v>毗邻道路的类型与等级</v>
      </c>
      <c r="R28" s="774" t="s">
        <v>17</v>
      </c>
      <c r="S28" s="775">
        <f t="shared" si="10"/>
        <v>100</v>
      </c>
      <c r="T28" s="774" t="s">
        <v>17</v>
      </c>
      <c r="U28" s="775">
        <f t="shared" si="11"/>
        <v>100</v>
      </c>
      <c r="V28" s="774" t="s">
        <v>17</v>
      </c>
      <c r="W28" s="775">
        <f t="shared" si="12"/>
        <v>100</v>
      </c>
      <c r="X28" s="1805"/>
      <c r="Y28" s="3205"/>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05"/>
      <c r="Q29" s="1802"/>
      <c r="R29" s="774"/>
      <c r="S29" s="775"/>
      <c r="T29" s="774"/>
      <c r="U29" s="775"/>
      <c r="V29" s="774"/>
      <c r="W29" s="775"/>
      <c r="X29" s="1805"/>
      <c r="Y29" s="3205"/>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802" t="str">
        <f t="shared" si="8"/>
        <v>土地级别</v>
      </c>
      <c r="R30" s="774" t="s">
        <v>17</v>
      </c>
      <c r="S30" s="775">
        <f t="shared" si="10"/>
        <v>100</v>
      </c>
      <c r="T30" s="774" t="s">
        <v>17</v>
      </c>
      <c r="U30" s="775">
        <f t="shared" si="11"/>
        <v>100</v>
      </c>
      <c r="V30" s="774" t="s">
        <v>17</v>
      </c>
      <c r="W30" s="775">
        <f t="shared" si="12"/>
        <v>100</v>
      </c>
      <c r="X30" s="1805"/>
      <c r="Y30" s="3205"/>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802">
        <f t="shared" si="8"/>
        <v>111</v>
      </c>
      <c r="R31" s="774" t="s">
        <v>17</v>
      </c>
      <c r="S31" s="775">
        <f t="shared" si="10"/>
        <v>100</v>
      </c>
      <c r="T31" s="774" t="s">
        <v>17</v>
      </c>
      <c r="U31" s="775">
        <f t="shared" si="11"/>
        <v>100</v>
      </c>
      <c r="V31" s="774" t="s">
        <v>17</v>
      </c>
      <c r="W31" s="775">
        <f t="shared" si="12"/>
        <v>100</v>
      </c>
      <c r="X31" s="1805"/>
      <c r="Y31" s="3205"/>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2564</v>
      </c>
      <c r="Q32" s="1802">
        <f t="shared" si="8"/>
        <v>111</v>
      </c>
      <c r="R32" s="774" t="s">
        <v>17</v>
      </c>
      <c r="S32" s="775">
        <f t="shared" si="10"/>
        <v>100</v>
      </c>
      <c r="T32" s="774" t="s">
        <v>17</v>
      </c>
      <c r="U32" s="775">
        <f t="shared" si="11"/>
        <v>100</v>
      </c>
      <c r="V32" s="774" t="s">
        <v>17</v>
      </c>
      <c r="W32" s="775">
        <f t="shared" si="12"/>
        <v>100</v>
      </c>
      <c r="X32" s="1805"/>
      <c r="Y32" s="3209"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2">
        <f t="shared" si="8"/>
        <v>111</v>
      </c>
      <c r="R33" s="777" t="s">
        <v>17</v>
      </c>
      <c r="S33" s="778">
        <f t="shared" si="10"/>
        <v>100</v>
      </c>
      <c r="T33" s="777" t="s">
        <v>17</v>
      </c>
      <c r="U33" s="778">
        <f t="shared" si="11"/>
        <v>100</v>
      </c>
      <c r="V33" s="777" t="s">
        <v>17</v>
      </c>
      <c r="W33" s="778">
        <f t="shared" si="12"/>
        <v>100</v>
      </c>
      <c r="X33" s="779"/>
      <c r="Y33" s="3209"/>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2" t="str">
        <f>B34</f>
        <v>宗地面积</v>
      </c>
      <c r="R34" s="774" t="s">
        <v>17</v>
      </c>
      <c r="S34" s="775" t="e">
        <f t="shared" si="10"/>
        <v>#N/A</v>
      </c>
      <c r="T34" s="774" t="s">
        <v>17</v>
      </c>
      <c r="U34" s="775" t="e">
        <f t="shared" si="11"/>
        <v>#N/A</v>
      </c>
      <c r="V34" s="774" t="s">
        <v>17</v>
      </c>
      <c r="W34" s="775" t="e">
        <f t="shared" si="12"/>
        <v>#N/A</v>
      </c>
      <c r="X34" s="1805"/>
      <c r="Y34" s="3209"/>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09"/>
      <c r="Q35" s="1802" t="str">
        <f t="shared" ref="Q35:Q40" si="14">B35</f>
        <v>宗地形状</v>
      </c>
      <c r="R35" s="774" t="s">
        <v>17</v>
      </c>
      <c r="S35" s="775">
        <f t="shared" si="10"/>
        <v>100</v>
      </c>
      <c r="T35" s="774" t="s">
        <v>17</v>
      </c>
      <c r="U35" s="775">
        <f t="shared" si="11"/>
        <v>100</v>
      </c>
      <c r="V35" s="774" t="s">
        <v>17</v>
      </c>
      <c r="W35" s="775">
        <f t="shared" si="12"/>
        <v>100</v>
      </c>
      <c r="X35" s="1805"/>
      <c r="Y35" s="3209"/>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09"/>
      <c r="Q36" s="1802"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09" t="s">
        <v>2564</v>
      </c>
      <c r="Q37" s="1802" t="str">
        <f t="shared" si="14"/>
        <v>工程地质条件</v>
      </c>
      <c r="R37" s="774" t="s">
        <v>17</v>
      </c>
      <c r="S37" s="775">
        <f t="shared" si="10"/>
        <v>100</v>
      </c>
      <c r="T37" s="774" t="s">
        <v>17</v>
      </c>
      <c r="U37" s="775">
        <f t="shared" si="11"/>
        <v>100</v>
      </c>
      <c r="V37" s="774" t="s">
        <v>17</v>
      </c>
      <c r="W37" s="775">
        <f t="shared" si="12"/>
        <v>100</v>
      </c>
      <c r="X37" s="1805"/>
      <c r="Y37" s="3209"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2">
        <f t="shared" si="14"/>
        <v>111</v>
      </c>
      <c r="R38" s="774" t="s">
        <v>17</v>
      </c>
      <c r="S38" s="775">
        <f t="shared" si="10"/>
        <v>100</v>
      </c>
      <c r="T38" s="774" t="s">
        <v>17</v>
      </c>
      <c r="U38" s="775">
        <f t="shared" si="11"/>
        <v>100</v>
      </c>
      <c r="V38" s="774" t="s">
        <v>17</v>
      </c>
      <c r="W38" s="775">
        <f t="shared" si="12"/>
        <v>100</v>
      </c>
      <c r="X38" s="1805"/>
      <c r="Y38" s="320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2">
        <f t="shared" si="14"/>
        <v>111</v>
      </c>
      <c r="R39" s="774" t="s">
        <v>17</v>
      </c>
      <c r="S39" s="775">
        <f t="shared" si="10"/>
        <v>100</v>
      </c>
      <c r="T39" s="774" t="s">
        <v>17</v>
      </c>
      <c r="U39" s="775">
        <f t="shared" si="11"/>
        <v>100</v>
      </c>
      <c r="V39" s="774" t="s">
        <v>17</v>
      </c>
      <c r="W39" s="775">
        <f t="shared" si="12"/>
        <v>100</v>
      </c>
      <c r="X39" s="1805"/>
      <c r="Y39" s="3209"/>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2">
        <f t="shared" si="14"/>
        <v>111</v>
      </c>
      <c r="R40" s="777" t="s">
        <v>17</v>
      </c>
      <c r="S40" s="778">
        <f t="shared" si="10"/>
        <v>100</v>
      </c>
      <c r="T40" s="777" t="s">
        <v>17</v>
      </c>
      <c r="U40" s="778">
        <f t="shared" si="11"/>
        <v>100</v>
      </c>
      <c r="V40" s="777" t="s">
        <v>17</v>
      </c>
      <c r="W40" s="778">
        <f t="shared" si="12"/>
        <v>100</v>
      </c>
      <c r="X40" s="779"/>
      <c r="Y40" s="3209"/>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17" t="s">
        <v>2763</v>
      </c>
      <c r="H50" s="3265"/>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1398.7300000000002</v>
      </c>
      <c r="F51" s="691" t="e">
        <f t="shared" ref="F51:F60" si="15">ROUND(B51*E51/10000,0)</f>
        <v>#DIV/0!</v>
      </c>
      <c r="G51" s="3213"/>
      <c r="H51" s="3202"/>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0"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0</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5" t="s">
        <v>2812</v>
      </c>
      <c r="D2" s="2716" t="s">
        <v>2813</v>
      </c>
      <c r="E2" s="2717"/>
      <c r="F2" s="2716" t="s">
        <v>2814</v>
      </c>
      <c r="G2" s="2718">
        <f>IF(E2="商业",项目基本情况!B37,IF(E2="办公",项目基本情况!C37,IF(E2="住宅",项目基本情况!D37,项目基本情况!E37)))</f>
        <v>0</v>
      </c>
      <c r="H2" s="2716" t="s">
        <v>2815</v>
      </c>
      <c r="I2" s="2718">
        <f>IF(E2="商业",项目基本情况!B38,IF(E2="办公",项目基本情况!C38,IF(E2="住宅",项目基本情况!D38,项目基本情况!E38)))</f>
        <v>0</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5" t="s">
        <v>2818</v>
      </c>
      <c r="D3" s="2716" t="s">
        <v>2819</v>
      </c>
      <c r="E3" s="2721"/>
      <c r="F3" s="2722" t="s">
        <v>2820</v>
      </c>
      <c r="G3" s="916">
        <f>IF(F3="宗地容积率",'数据-汇总表'!I4,IF(F3="估价对象容积率",'数据-汇总表'!I6,'数据-汇总表'!I7))</f>
        <v>1.0900000000000001</v>
      </c>
      <c r="H3" s="198" t="s">
        <v>2821</v>
      </c>
      <c r="I3" s="944"/>
      <c r="J3" s="2719" t="s">
        <v>2822</v>
      </c>
      <c r="K3" s="1370"/>
      <c r="L3" s="2720"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20"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2825</v>
      </c>
      <c r="C5" s="917" t="e">
        <f>ROUND(IF(E2="商业",C6*C7+C16,(IF(E2="住宅",C6*C12+C16,C6+C16))),0)</f>
        <v>#DIV/0!</v>
      </c>
      <c r="D5" s="1779" t="e">
        <f>ROUND(C6+C16,0)</f>
        <v>#DIV/0!</v>
      </c>
      <c r="E5" s="1779"/>
      <c r="F5" s="2725"/>
      <c r="G5" s="2726"/>
      <c r="H5" s="2726"/>
      <c r="I5" s="2726"/>
      <c r="J5" s="2727"/>
      <c r="K5" s="2728"/>
      <c r="L5" s="2720"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2827</v>
      </c>
      <c r="B6" s="2734" t="s">
        <v>2828</v>
      </c>
      <c r="C6" s="918">
        <f>SUMIF(L1:L12,G2,M1:M12)</f>
        <v>0</v>
      </c>
      <c r="D6" s="2735" t="s">
        <v>2829</v>
      </c>
      <c r="E6" s="2736"/>
      <c r="F6" s="2736"/>
      <c r="G6" s="2737"/>
      <c r="H6" s="2737"/>
      <c r="I6" s="2737"/>
      <c r="J6" s="2738"/>
      <c r="K6" s="1834"/>
      <c r="L6" s="2720"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78" t="str">
        <f>IF(E2="商业",IF(C8="不临58条商业街","",2),"")</f>
        <v/>
      </c>
      <c r="B7" s="2739" t="s">
        <v>2831</v>
      </c>
      <c r="C7" s="919" t="e">
        <f>IF(C8="不临58条商业街",1,ROUND(1+(1.6*E8+1.2*E9+0.8*E10+0.4*E11)*C9,4))</f>
        <v>#DIV/0!</v>
      </c>
      <c r="D7" s="2740" t="s">
        <v>2832</v>
      </c>
      <c r="E7" s="945"/>
      <c r="F7" s="2741"/>
      <c r="G7" s="2742"/>
      <c r="H7" s="2742"/>
      <c r="I7" s="2742"/>
      <c r="J7" s="2743"/>
      <c r="K7" s="1834"/>
      <c r="L7" s="2720"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8" t="s">
        <v>2834</v>
      </c>
      <c r="X7" s="1604">
        <f>G2</f>
        <v>0</v>
      </c>
      <c r="Y7" s="1604" t="s">
        <v>2835</v>
      </c>
      <c r="Z7" s="1605">
        <f>G3</f>
        <v>1.0900000000000001</v>
      </c>
      <c r="AA7" s="1606"/>
      <c r="AB7" s="1606"/>
      <c r="AC7" s="1607"/>
      <c r="AD7" s="1608"/>
      <c r="AE7" s="1608"/>
      <c r="AF7" s="1608"/>
      <c r="AG7" s="1608"/>
      <c r="AH7" s="1608"/>
      <c r="AI7" s="1608"/>
      <c r="AJ7" s="1609"/>
    </row>
    <row r="8" spans="1:36" ht="15">
      <c r="A8" s="3279"/>
      <c r="B8" s="198" t="s">
        <v>2836</v>
      </c>
      <c r="C8" s="2744"/>
      <c r="D8" s="920" t="s">
        <v>139</v>
      </c>
      <c r="E8" s="921" t="e">
        <f>ROUND(C11/E7,4)</f>
        <v>#DIV/0!</v>
      </c>
      <c r="F8" s="2745" t="s">
        <v>2837</v>
      </c>
      <c r="G8" s="2746"/>
      <c r="H8" s="2746"/>
      <c r="I8" s="2746"/>
      <c r="J8" s="2747"/>
      <c r="K8" s="1370"/>
      <c r="L8" s="2720"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1" t="s">
        <v>2839</v>
      </c>
      <c r="X8" s="327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9"/>
      <c r="B9" s="198" t="s">
        <v>2852</v>
      </c>
      <c r="C9" s="922">
        <f>SUMIF(修正!C59:C119,C8,修正!E59:E119)</f>
        <v>0</v>
      </c>
      <c r="D9" s="200" t="s">
        <v>140</v>
      </c>
      <c r="E9" s="200" t="e">
        <f>ROUND(C11/E7,4)</f>
        <v>#DIV/0!</v>
      </c>
      <c r="F9" s="2745" t="s">
        <v>2853</v>
      </c>
      <c r="G9" s="2746"/>
      <c r="H9" s="2746"/>
      <c r="I9" s="2746"/>
      <c r="J9" s="2747"/>
      <c r="K9" s="1370"/>
      <c r="L9" s="2720"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3"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2857</v>
      </c>
      <c r="C10" s="200">
        <f>SUMIF(修正!C59:C119,C8,修正!F59:F119)</f>
        <v>0</v>
      </c>
      <c r="D10" s="200" t="s">
        <v>141</v>
      </c>
      <c r="E10" s="200" t="e">
        <f>ROUND(C11/E7,4)</f>
        <v>#DIV/0!</v>
      </c>
      <c r="F10" s="2745" t="s">
        <v>2858</v>
      </c>
      <c r="G10" s="2746"/>
      <c r="H10" s="2746"/>
      <c r="I10" s="2746"/>
      <c r="J10" s="2747"/>
      <c r="K10" s="1370"/>
      <c r="L10" s="2720"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48" t="s">
        <v>2860</v>
      </c>
      <c r="C11" s="923">
        <f>C10/4</f>
        <v>0</v>
      </c>
      <c r="D11" s="923" t="s">
        <v>142</v>
      </c>
      <c r="E11" s="923" t="e">
        <f>ROUND(C11/E7,4)</f>
        <v>#DIV/0!</v>
      </c>
      <c r="F11" s="2749" t="s">
        <v>2861</v>
      </c>
      <c r="G11" s="2750"/>
      <c r="H11" s="2750"/>
      <c r="I11" s="2750"/>
      <c r="J11" s="2751"/>
      <c r="K11" s="1370"/>
      <c r="L11" s="2720"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3" t="s">
        <v>2863</v>
      </c>
      <c r="X11" s="1614" t="s">
        <v>2864</v>
      </c>
      <c r="Y11" s="1615">
        <f>$G$3</f>
        <v>1.0900000000000001</v>
      </c>
      <c r="Z11" s="1615">
        <f t="shared" ref="Z11:AJ11" si="3">$G$3</f>
        <v>1.0900000000000001</v>
      </c>
      <c r="AA11" s="1615">
        <f t="shared" si="3"/>
        <v>1.0900000000000001</v>
      </c>
      <c r="AB11" s="1615">
        <f t="shared" si="3"/>
        <v>1.0900000000000001</v>
      </c>
      <c r="AC11" s="1615">
        <f t="shared" si="3"/>
        <v>1.0900000000000001</v>
      </c>
      <c r="AD11" s="1615">
        <f t="shared" si="3"/>
        <v>1.0900000000000001</v>
      </c>
      <c r="AE11" s="1615">
        <f t="shared" si="3"/>
        <v>1.0900000000000001</v>
      </c>
      <c r="AF11" s="1615">
        <f t="shared" si="3"/>
        <v>1.0900000000000001</v>
      </c>
      <c r="AG11" s="1615">
        <f t="shared" si="3"/>
        <v>1.0900000000000001</v>
      </c>
      <c r="AH11" s="1615">
        <f t="shared" si="3"/>
        <v>1.0900000000000001</v>
      </c>
      <c r="AI11" s="1615">
        <f t="shared" si="3"/>
        <v>1.0900000000000001</v>
      </c>
      <c r="AJ11" s="1615">
        <f t="shared" si="3"/>
        <v>1.0900000000000001</v>
      </c>
    </row>
    <row r="12" spans="1:36" ht="25.5" thickBot="1">
      <c r="A12" s="3278" t="s">
        <v>2865</v>
      </c>
      <c r="B12" s="2752" t="s">
        <v>2866</v>
      </c>
      <c r="C12" s="919">
        <f>ROUND(C15*D15*E15*F15*G15*H15*I15*J15,4)</f>
        <v>1</v>
      </c>
      <c r="D12" s="2753" t="s">
        <v>2867</v>
      </c>
      <c r="E12" s="2754"/>
      <c r="F12" s="2754"/>
      <c r="G12" s="2755"/>
      <c r="H12" s="2755"/>
      <c r="I12" s="2755"/>
      <c r="J12" s="2756"/>
      <c r="K12" s="1370"/>
      <c r="L12" s="2757"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58" t="s">
        <v>2870</v>
      </c>
      <c r="C13" s="2759" t="s">
        <v>2871</v>
      </c>
      <c r="D13" s="1800" t="s">
        <v>2872</v>
      </c>
      <c r="E13" s="1800" t="s">
        <v>2873</v>
      </c>
      <c r="F13" s="30" t="s">
        <v>2874</v>
      </c>
      <c r="G13" s="2760" t="s">
        <v>2875</v>
      </c>
      <c r="H13" s="2760" t="s">
        <v>2875</v>
      </c>
      <c r="I13" s="2760" t="s">
        <v>2875</v>
      </c>
      <c r="J13" s="2761" t="s">
        <v>2875</v>
      </c>
      <c r="K13" s="1370"/>
      <c r="L13" s="1370"/>
      <c r="M13" s="1370"/>
      <c r="N13" s="1370"/>
      <c r="O13" s="1370"/>
      <c r="P13" s="1370"/>
      <c r="Q13" s="1370"/>
      <c r="R13" s="1602">
        <v>12</v>
      </c>
      <c r="S13" s="1603"/>
      <c r="T13" s="1602" t="e">
        <f t="shared" si="0"/>
        <v>#DIV/0!</v>
      </c>
      <c r="U13" s="1603"/>
      <c r="V13" s="1602" t="e">
        <f t="shared" si="1"/>
        <v>#DIV/0!</v>
      </c>
      <c r="W13" s="3273"/>
      <c r="X13" s="1616"/>
      <c r="Y13" s="1613">
        <f>(-0.163*(Y12^2)-0.59*Y12+7617)*(10^(-4))/Y11</f>
        <v>0.69880733944954132</v>
      </c>
      <c r="Z13" s="1613">
        <f t="shared" ref="Z13:AJ13" si="5">(-0.163*(Z12^2)-0.59*Z12+7617)*(10^(-4))/Z11</f>
        <v>0.69880733944954132</v>
      </c>
      <c r="AA13" s="1613">
        <f t="shared" si="5"/>
        <v>0.69880733944954132</v>
      </c>
      <c r="AB13" s="1613">
        <f t="shared" si="5"/>
        <v>0.69880733944954132</v>
      </c>
      <c r="AC13" s="1613">
        <f t="shared" si="5"/>
        <v>0.69880733944954132</v>
      </c>
      <c r="AD13" s="1613">
        <f t="shared" si="5"/>
        <v>0.69880733944954132</v>
      </c>
      <c r="AE13" s="1613">
        <f t="shared" si="5"/>
        <v>0.69880733944954132</v>
      </c>
      <c r="AF13" s="1613">
        <f t="shared" si="5"/>
        <v>0.69880733944954132</v>
      </c>
      <c r="AG13" s="1613">
        <f t="shared" si="5"/>
        <v>0.69880733944954132</v>
      </c>
      <c r="AH13" s="1613">
        <f t="shared" si="5"/>
        <v>0.69880733944954132</v>
      </c>
      <c r="AI13" s="1613">
        <f t="shared" si="5"/>
        <v>0.69880733944954132</v>
      </c>
      <c r="AJ13" s="1613">
        <f t="shared" si="5"/>
        <v>0.69880733944954132</v>
      </c>
    </row>
    <row r="14" spans="1:36" ht="15">
      <c r="A14" s="3280"/>
      <c r="B14" s="2762"/>
      <c r="C14" s="2763"/>
      <c r="D14" s="2764"/>
      <c r="E14" s="2764"/>
      <c r="F14" s="2765"/>
      <c r="G14" s="2766" t="s">
        <v>2876</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70"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8" t="s">
        <v>2882</v>
      </c>
      <c r="B16" s="2739" t="s">
        <v>2883</v>
      </c>
      <c r="C16" s="2926" t="e">
        <f>ROUND(IF(F17="与级别开发程度一致",0,(G17-E17)/C17),0)</f>
        <v>#DIV/0!</v>
      </c>
      <c r="D16" s="3292" t="s">
        <v>2887</v>
      </c>
      <c r="E16" s="3293"/>
      <c r="F16" s="3292" t="s">
        <v>2884</v>
      </c>
      <c r="G16" s="3293"/>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2"/>
      <c r="B17" s="2937" t="s">
        <v>2886</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2889</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2890</v>
      </c>
      <c r="C19" s="924" t="e">
        <f>ROUND(IF(H19="按公示增长率计算",SUMPRODUCT((地价!A3:A30=YEAR(G19)&amp;"-"&amp;ROUNDUP(MONTH(G19)/3,0))*(地价!X2:AB2=E2)*(地价!X3:AB30)),IF(H19="地价指数",M20/M19,(1+I19)^O19)),4)</f>
        <v>#VALUE!</v>
      </c>
      <c r="D19" s="2783" t="s">
        <v>2891</v>
      </c>
      <c r="E19" s="925">
        <v>41640</v>
      </c>
      <c r="F19" s="2783" t="s">
        <v>2892</v>
      </c>
      <c r="G19" s="926">
        <f>'数据-取费表'!B2</f>
        <v>43978</v>
      </c>
      <c r="H19" s="2784"/>
      <c r="I19" s="927" t="str">
        <f>IF(H19="季度增幅（自定义）",SUMIF(N21:N24,E2,O21:O24),"")</f>
        <v/>
      </c>
      <c r="J19" s="2781"/>
      <c r="K19" s="1377"/>
      <c r="L19" s="2785" t="s">
        <v>2893</v>
      </c>
      <c r="M19" s="1734">
        <f>ROUND(SUMIF(地价!B2:F2,E2,地价!B30:F30),0)</f>
        <v>0</v>
      </c>
      <c r="N19" s="2786"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2895</v>
      </c>
      <c r="C20" s="929" t="e">
        <f>ROUND(POWER(1+G20,J20-I20)*(POWER(1+G20,I20)-1)/(POWER(1+G20,J20)-1),4)</f>
        <v>#DIV/0!</v>
      </c>
      <c r="D20" s="2792" t="s">
        <v>2896</v>
      </c>
      <c r="E20" s="1760">
        <f ca="1">存贷款利率!D4/100</f>
        <v>4.3499999999999997E-2</v>
      </c>
      <c r="F20" s="2792" t="s">
        <v>2888</v>
      </c>
      <c r="G20" s="934">
        <f>SUMIF(M26:P26,E2,M28:P28)</f>
        <v>0</v>
      </c>
      <c r="H20" s="2792" t="s">
        <v>2897</v>
      </c>
      <c r="I20" s="935" t="e">
        <f>SUMIF('数据-取费表'!C6:C15,E2,'数据-取费表'!F6:F15)/COUNTIF('数据-取费表'!C6:C15,E2)</f>
        <v>#DIV/0!</v>
      </c>
      <c r="J20" s="936">
        <f>IF(E2="住宅",70,IF(E2="商业",40,50))</f>
        <v>50</v>
      </c>
      <c r="K20" s="1377"/>
      <c r="L20" s="2793" t="s">
        <v>2898</v>
      </c>
      <c r="M20" s="1735">
        <f>ROUND(SUMPRODUCT((地价!A4:A30=YEAR(G19)&amp;"-"&amp;ROUNDUP(MONTH(G19)/3,0))*(地价!B2:F2=E2)*(地价!B4:F30)),0)</f>
        <v>0</v>
      </c>
      <c r="N20" s="2794" t="s">
        <v>2899</v>
      </c>
      <c r="O20" s="2795" t="s">
        <v>2900</v>
      </c>
      <c r="P20" s="2796" t="s">
        <v>2901</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2902</v>
      </c>
      <c r="C21" s="937">
        <f>IF(B21="容积率修正",IF(G3&lt;=10,D22,J22),C23)</f>
        <v>0</v>
      </c>
      <c r="D21" s="2799"/>
      <c r="E21" s="2799"/>
      <c r="F21" s="2799"/>
      <c r="G21" s="2799"/>
      <c r="H21" s="2799"/>
      <c r="I21" s="2799"/>
      <c r="J21" s="2800"/>
      <c r="K21" s="1377"/>
      <c r="N21" s="2801"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2904</v>
      </c>
      <c r="B22" s="2802" t="s">
        <v>2905</v>
      </c>
      <c r="C22" s="1802" t="s">
        <v>2906</v>
      </c>
      <c r="D22" s="1802">
        <f>IF(E22=G22,F22,IF(G3&lt;=10,ROUND(F22+(H22-F22)*(G3-E22)/(G22-E22),4),"——"))</f>
        <v>0</v>
      </c>
      <c r="E22" s="916">
        <f>ROUNDDOWN(G3,1)</f>
        <v>1</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8" t="str">
        <f>IF(G3&gt;10,D113,"——")</f>
        <v>——</v>
      </c>
      <c r="K22" s="1377"/>
      <c r="N22" s="2801"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8" t="s">
        <v>2908</v>
      </c>
      <c r="B23" s="2803" t="s">
        <v>2909</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2911</v>
      </c>
      <c r="C24" s="924">
        <f>SUMIF(A45:A88,E2,B45:B88)</f>
        <v>0</v>
      </c>
      <c r="D24" s="2780"/>
      <c r="E24" s="2809"/>
      <c r="F24" s="2809"/>
      <c r="G24" s="2809"/>
      <c r="H24" s="2809"/>
      <c r="I24" s="2809"/>
      <c r="J24" s="2810"/>
      <c r="K24" s="1377"/>
      <c r="N24" s="2811"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2913</v>
      </c>
      <c r="C25" s="930"/>
      <c r="D25" s="2742"/>
      <c r="E25" s="2742"/>
      <c r="F25" s="2813"/>
      <c r="G25" s="2742"/>
      <c r="H25" s="2742"/>
      <c r="I25" s="2742"/>
      <c r="J25" s="2743"/>
      <c r="K25" s="1370"/>
      <c r="N25" s="2814"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5"/>
      <c r="B26" s="2802" t="s">
        <v>2915</v>
      </c>
      <c r="C26" s="206" t="e">
        <f>E29+SUM(E33:E39)</f>
        <v>#DIV/0!</v>
      </c>
      <c r="D26" s="2816"/>
      <c r="E26" s="2767"/>
      <c r="F26" s="2817"/>
      <c r="G26" s="2767"/>
      <c r="H26" s="2767"/>
      <c r="I26" s="2767"/>
      <c r="J26" s="2818"/>
      <c r="K26" s="1370"/>
      <c r="L26" s="2771" t="s">
        <v>2813</v>
      </c>
      <c r="M26" s="920" t="s">
        <v>2878</v>
      </c>
      <c r="N26" s="920" t="s">
        <v>2879</v>
      </c>
      <c r="O26" s="920" t="s">
        <v>2880</v>
      </c>
      <c r="P26" s="2772" t="s">
        <v>2881</v>
      </c>
      <c r="R26" s="1376"/>
      <c r="S26" s="1376"/>
      <c r="T26" s="1371"/>
      <c r="U26" s="1371"/>
      <c r="V26" s="1371"/>
      <c r="W26" s="1370"/>
      <c r="X26" s="1370"/>
      <c r="Y26" s="1370"/>
      <c r="Z26" s="1377"/>
      <c r="AA26" s="1378"/>
      <c r="AB26" s="1378"/>
      <c r="AC26" s="1378"/>
      <c r="AD26" s="1378"/>
    </row>
    <row r="27" spans="1:37" ht="15.75" thickBot="1">
      <c r="A27" s="2815"/>
      <c r="B27" s="2819" t="s">
        <v>2916</v>
      </c>
      <c r="C27" s="931" t="e">
        <f>E30+SUM(I33:I39)</f>
        <v>#DIV/0!</v>
      </c>
      <c r="D27" s="2820"/>
      <c r="E27" s="2821"/>
      <c r="F27" s="2822"/>
      <c r="G27" s="2821"/>
      <c r="H27" s="2821"/>
      <c r="I27" s="2821"/>
      <c r="J27" s="2823"/>
      <c r="K27" s="1370"/>
      <c r="L27" s="2775"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2917</v>
      </c>
      <c r="C28" s="2826" t="s">
        <v>2918</v>
      </c>
      <c r="D28" s="2826" t="s">
        <v>2919</v>
      </c>
      <c r="E28" s="2827" t="s">
        <v>2920</v>
      </c>
      <c r="F28" s="2828"/>
      <c r="G28" s="2755"/>
      <c r="H28" s="2755"/>
      <c r="I28" s="2755"/>
      <c r="J28" s="2756"/>
      <c r="K28" s="1370"/>
      <c r="L28" s="2776"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2921</v>
      </c>
      <c r="C29" s="206" t="e">
        <f>ROUND(C5*C18*C19*C20*C21*C24,0)</f>
        <v>#DIV/0!</v>
      </c>
      <c r="D29" s="2831"/>
      <c r="E29" s="942" t="e">
        <f>ROUND(C29*D29/10000,0)</f>
        <v>#DIV/0!</v>
      </c>
      <c r="F29" s="2832" t="s">
        <v>2922</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2923</v>
      </c>
      <c r="C30" s="229" t="e">
        <f>ROUND(IF(E2="工业",C29*M39,C29*M38),0)</f>
        <v>#DIV/0!</v>
      </c>
      <c r="D30" s="2837"/>
      <c r="E30" s="942" t="e">
        <f>ROUND(C30*D30/10000,0)</f>
        <v>#DIV/0!</v>
      </c>
      <c r="F30" s="2838" t="s">
        <v>2924</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2925</v>
      </c>
      <c r="C31" s="2843" t="s">
        <v>2926</v>
      </c>
      <c r="D31" s="2755"/>
      <c r="E31" s="2843"/>
      <c r="F31" s="2843"/>
      <c r="G31" s="2753" t="s">
        <v>2927</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2918</v>
      </c>
      <c r="D32" s="498" t="s">
        <v>2919</v>
      </c>
      <c r="E32" s="498" t="s">
        <v>2920</v>
      </c>
      <c r="F32" s="388" t="s">
        <v>2928</v>
      </c>
      <c r="G32" s="2846" t="s">
        <v>2918</v>
      </c>
      <c r="H32" s="2846" t="s">
        <v>2919</v>
      </c>
      <c r="I32" s="284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89" t="s">
        <v>2929</v>
      </c>
      <c r="B33" s="2847" t="s">
        <v>2930</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0"/>
      <c r="B34" s="2759" t="s">
        <v>2931</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0"/>
      <c r="B35" s="2759" t="s">
        <v>2932</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91"/>
      <c r="B36" s="2759" t="s">
        <v>2933</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2934</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2935</v>
      </c>
      <c r="M37" s="2851"/>
      <c r="N37" s="1370"/>
      <c r="O37" s="1370"/>
      <c r="P37" s="1370"/>
      <c r="Q37" s="1370"/>
      <c r="R37" s="1370"/>
      <c r="S37" s="1370"/>
      <c r="T37" s="1370"/>
      <c r="U37" s="1370"/>
      <c r="V37" s="1370"/>
      <c r="W37" s="1370"/>
      <c r="X37" s="1370"/>
      <c r="Y37" s="1370"/>
      <c r="Z37" s="1371"/>
    </row>
    <row r="38" spans="1:37">
      <c r="A38" s="2849"/>
      <c r="B38" s="2759" t="s">
        <v>2936</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2937</v>
      </c>
      <c r="M38" s="2852">
        <v>0.25</v>
      </c>
      <c r="N38" s="1370"/>
      <c r="O38" s="1370"/>
      <c r="P38" s="1370"/>
      <c r="Q38" s="1370"/>
      <c r="R38" s="1370"/>
      <c r="S38" s="1370"/>
      <c r="T38" s="1370"/>
      <c r="U38" s="1370"/>
      <c r="V38" s="1370"/>
      <c r="W38" s="1370"/>
      <c r="X38" s="1370"/>
      <c r="Y38" s="1370"/>
      <c r="Z38" s="1371"/>
    </row>
    <row r="39" spans="1:37" ht="13.5" thickBot="1">
      <c r="A39" s="2835"/>
      <c r="B39" s="2853" t="s">
        <v>2938</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2881</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t="e">
        <f>ROUND(POWER(1+E41,H41-G41)*(POWER(1+E41,G41)-1)/(POWER(1+E41,H41)-1),4)</f>
        <v>#DIV/0!</v>
      </c>
      <c r="D41" s="200" t="s">
        <v>2888</v>
      </c>
      <c r="E41" s="2923">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2939</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2940</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2941</v>
      </c>
      <c r="B47" s="1801" t="s">
        <v>2942</v>
      </c>
      <c r="C47" s="1801" t="s">
        <v>2943</v>
      </c>
      <c r="D47" s="1801" t="s">
        <v>2944</v>
      </c>
      <c r="E47" s="819" t="s">
        <v>2945</v>
      </c>
      <c r="F47" s="2865" t="s">
        <v>2946</v>
      </c>
      <c r="G47" s="1801" t="s">
        <v>754</v>
      </c>
      <c r="H47" s="2866" t="s">
        <v>2947</v>
      </c>
      <c r="I47" s="1801"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2949</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2950</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2951</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2952</v>
      </c>
      <c r="B51" s="2869" t="s">
        <v>2953</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2954</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2955</v>
      </c>
      <c r="B53" s="2870" t="s">
        <v>2956</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2957</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2958</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2959</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2960</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2941</v>
      </c>
      <c r="B58" s="1801"/>
      <c r="C58" s="1801" t="s">
        <v>2943</v>
      </c>
      <c r="D58" s="1801" t="s">
        <v>2944</v>
      </c>
      <c r="E58" s="819" t="s">
        <v>2945</v>
      </c>
      <c r="F58" s="2865" t="s">
        <v>2961</v>
      </c>
      <c r="G58" s="1801" t="s">
        <v>754</v>
      </c>
      <c r="H58" s="2866" t="s">
        <v>2947</v>
      </c>
      <c r="I58" s="1801"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2962</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2950</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2951</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2952</v>
      </c>
      <c r="B62" s="2869" t="s">
        <v>2953</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2954</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2955</v>
      </c>
      <c r="B64" s="2870" t="s">
        <v>2956</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2957</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2958</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2959</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2963</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2941</v>
      </c>
      <c r="B69" s="1801"/>
      <c r="C69" s="1801" t="s">
        <v>2943</v>
      </c>
      <c r="D69" s="1801" t="s">
        <v>2944</v>
      </c>
      <c r="E69" s="819" t="s">
        <v>2945</v>
      </c>
      <c r="F69" s="2865" t="s">
        <v>2961</v>
      </c>
      <c r="G69" s="1801" t="s">
        <v>754</v>
      </c>
      <c r="H69" s="2866" t="s">
        <v>2947</v>
      </c>
      <c r="I69" s="1801"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2964</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2950</v>
      </c>
      <c r="B71" s="2868" t="str">
        <f>估价对象房地状况!C18</f>
        <v>估价对象周边道路状况、公共交通通达情况、停车便捷程度，综合评价交通便捷度较好</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2951</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2965</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2957</v>
      </c>
      <c r="B74" s="1725" t="str">
        <f>估价对象房地状况!C21</f>
        <v>估价对象所在区域公共配套设施齐备情况</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2958</v>
      </c>
      <c r="B75" s="1725" t="str">
        <f>估价对象房地状况!C22</f>
        <v>估价对象所在区域基础设施水平</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2955</v>
      </c>
      <c r="B76" s="2870" t="s">
        <v>2956</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2959</v>
      </c>
      <c r="B77" s="2867" t="str">
        <f>估价对象房地状况!C20</f>
        <v>区域自然环境：；人文环境；综合评价环境状况一般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2966</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2967</v>
      </c>
      <c r="B79" s="2861">
        <f>1+E81</f>
        <v>1</v>
      </c>
      <c r="C79" s="814"/>
      <c r="D79" s="814"/>
      <c r="E79" s="815"/>
      <c r="F79" s="2863"/>
      <c r="G79" s="6"/>
      <c r="H79" s="6"/>
      <c r="I79" s="6"/>
      <c r="J79" s="7"/>
      <c r="K79" s="7"/>
      <c r="L79" s="7"/>
      <c r="M79" s="7"/>
      <c r="N79" s="7"/>
      <c r="Z79" s="2714"/>
      <c r="AA79" s="2782"/>
      <c r="AG79" s="1372"/>
      <c r="AK79" s="2782"/>
    </row>
    <row r="80" spans="1:37" ht="24.75">
      <c r="A80" s="2864" t="s">
        <v>2941</v>
      </c>
      <c r="B80" s="1801"/>
      <c r="C80" s="1801" t="s">
        <v>2943</v>
      </c>
      <c r="D80" s="1801" t="s">
        <v>2944</v>
      </c>
      <c r="E80" s="819" t="s">
        <v>2945</v>
      </c>
      <c r="F80" s="2865" t="s">
        <v>2961</v>
      </c>
      <c r="G80" s="1801" t="s">
        <v>754</v>
      </c>
      <c r="H80" s="2866" t="s">
        <v>2947</v>
      </c>
      <c r="I80" s="1801" t="s">
        <v>2948</v>
      </c>
      <c r="J80" s="603" t="s">
        <v>2596</v>
      </c>
      <c r="K80" s="603" t="s">
        <v>2597</v>
      </c>
      <c r="L80" s="603" t="s">
        <v>2598</v>
      </c>
      <c r="M80" s="603" t="s">
        <v>2599</v>
      </c>
      <c r="N80" s="603" t="s">
        <v>2600</v>
      </c>
      <c r="Z80" s="2714"/>
      <c r="AA80" s="2782"/>
      <c r="AG80" s="1372"/>
      <c r="AK80" s="2782"/>
    </row>
    <row r="81" spans="1:37" ht="38.25">
      <c r="A81" s="2864" t="s">
        <v>2968</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2950</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2951</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2965</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2957</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2958</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2955</v>
      </c>
      <c r="B87" s="2870" t="s">
        <v>2969</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2970</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83" t="s">
        <v>2971</v>
      </c>
      <c r="B90" s="3283"/>
      <c r="C90" s="3283"/>
      <c r="D90" s="3283"/>
      <c r="E90" s="3283"/>
      <c r="F90" s="3283"/>
      <c r="G90" s="3283"/>
      <c r="H90" s="3283"/>
      <c r="I90" s="3283"/>
      <c r="J90" s="3283"/>
      <c r="K90" s="2878"/>
      <c r="L90" s="2878"/>
      <c r="M90" s="2878"/>
      <c r="N90" s="2878"/>
    </row>
    <row r="91" spans="1:37">
      <c r="A91" s="3285" t="s">
        <v>2972</v>
      </c>
      <c r="B91" s="3285" t="s">
        <v>2973</v>
      </c>
      <c r="C91" s="2832" t="s">
        <v>2974</v>
      </c>
      <c r="D91" s="2833"/>
      <c r="E91" s="2833"/>
      <c r="F91" s="2833"/>
      <c r="G91" s="2833"/>
      <c r="H91" s="2833"/>
      <c r="I91" s="2833"/>
      <c r="J91" s="2879"/>
      <c r="K91" s="2880"/>
      <c r="L91" s="2880"/>
      <c r="M91" s="2880"/>
      <c r="N91" s="2880"/>
    </row>
    <row r="92" spans="1:37">
      <c r="A92" s="3285"/>
      <c r="B92" s="328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6" t="s">
        <v>2975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87"/>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87"/>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87"/>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87"/>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87"/>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87"/>
      <c r="B99" s="2881" t="s">
        <v>2856</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88"/>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86" t="s">
        <v>2976</v>
      </c>
      <c r="B101" s="2885" t="s">
        <v>2977</v>
      </c>
      <c r="C101" s="2886">
        <f>$G$3</f>
        <v>1.0900000000000001</v>
      </c>
      <c r="D101" s="2886">
        <f t="shared" ref="D101:N101" si="31">$G$3</f>
        <v>1.0900000000000001</v>
      </c>
      <c r="E101" s="2886">
        <f t="shared" si="31"/>
        <v>1.0900000000000001</v>
      </c>
      <c r="F101" s="2886">
        <f t="shared" si="31"/>
        <v>1.0900000000000001</v>
      </c>
      <c r="G101" s="2886">
        <f t="shared" si="31"/>
        <v>1.0900000000000001</v>
      </c>
      <c r="H101" s="2886">
        <f t="shared" si="31"/>
        <v>1.0900000000000001</v>
      </c>
      <c r="I101" s="2886">
        <f t="shared" si="31"/>
        <v>1.0900000000000001</v>
      </c>
      <c r="J101" s="2886">
        <f t="shared" si="31"/>
        <v>1.0900000000000001</v>
      </c>
      <c r="K101" s="2886">
        <f t="shared" si="31"/>
        <v>1.0900000000000001</v>
      </c>
      <c r="L101" s="2886">
        <f t="shared" si="31"/>
        <v>1.0900000000000001</v>
      </c>
      <c r="M101" s="2886">
        <f t="shared" si="31"/>
        <v>1.0900000000000001</v>
      </c>
      <c r="N101" s="2886">
        <f t="shared" si="31"/>
        <v>1.0900000000000001</v>
      </c>
    </row>
    <row r="102" spans="1:14">
      <c r="A102" s="3287"/>
      <c r="B102" s="2881">
        <v>1</v>
      </c>
      <c r="C102" s="2882">
        <f>1.9362/C101</f>
        <v>1.7763302752293575</v>
      </c>
      <c r="D102" s="2882">
        <f>1.9362/D101</f>
        <v>1.7763302752293575</v>
      </c>
      <c r="E102" s="2882">
        <f>1.8629/E101</f>
        <v>1.7090825688073392</v>
      </c>
      <c r="F102" s="2882">
        <f>1.8629/F101</f>
        <v>1.7090825688073392</v>
      </c>
      <c r="G102" s="2882">
        <f>1.8629/G101</f>
        <v>1.7090825688073392</v>
      </c>
      <c r="H102" s="2882">
        <f>1.8629/H101</f>
        <v>1.7090825688073392</v>
      </c>
      <c r="I102" s="2882">
        <f>1.8629/I101</f>
        <v>1.7090825688073392</v>
      </c>
      <c r="J102" s="2882">
        <f>1.942/J101</f>
        <v>1.7816513761467889</v>
      </c>
      <c r="K102" s="2882">
        <f>1.942/K101</f>
        <v>1.7816513761467889</v>
      </c>
      <c r="L102" s="2882">
        <f>1.942/L101</f>
        <v>1.7816513761467889</v>
      </c>
      <c r="M102" s="2882">
        <f>1.942/M101</f>
        <v>1.7816513761467889</v>
      </c>
      <c r="N102" s="2882">
        <f>1.942/N101</f>
        <v>1.7816513761467889</v>
      </c>
    </row>
    <row r="103" spans="1:14">
      <c r="A103" s="3287"/>
      <c r="B103" s="2881">
        <v>2</v>
      </c>
      <c r="C103" s="2882">
        <f>1.4198/C101</f>
        <v>1.3025688073394495</v>
      </c>
      <c r="D103" s="2882">
        <f>1.4198/D101</f>
        <v>1.3025688073394495</v>
      </c>
      <c r="E103" s="2882">
        <f>1.3372/E101</f>
        <v>1.2267889908256879</v>
      </c>
      <c r="F103" s="2882">
        <f>1.3372/F101</f>
        <v>1.2267889908256879</v>
      </c>
      <c r="G103" s="2882">
        <f>1.3372/G101</f>
        <v>1.2267889908256879</v>
      </c>
      <c r="H103" s="2882">
        <f>1.3372/H101</f>
        <v>1.2267889908256879</v>
      </c>
      <c r="I103" s="2882">
        <f>1.3372/I101</f>
        <v>1.2267889908256879</v>
      </c>
      <c r="J103" s="2882">
        <f>1.2799/J101</f>
        <v>1.1742201834862385</v>
      </c>
      <c r="K103" s="2882">
        <f>1.2799/K101</f>
        <v>1.1742201834862385</v>
      </c>
      <c r="L103" s="2882">
        <f>1.2799/L101</f>
        <v>1.1742201834862385</v>
      </c>
      <c r="M103" s="2882">
        <f>1.2799/M101</f>
        <v>1.1742201834862385</v>
      </c>
      <c r="N103" s="2882">
        <f>1.2799/N101</f>
        <v>1.1742201834862385</v>
      </c>
    </row>
    <row r="104" spans="1:14">
      <c r="A104" s="3287"/>
      <c r="B104" s="2881">
        <v>3</v>
      </c>
      <c r="C104" s="2882">
        <f>1.1594/C101</f>
        <v>1.0636697247706421</v>
      </c>
      <c r="D104" s="2882">
        <f>1.1594/D101</f>
        <v>1.0636697247706421</v>
      </c>
      <c r="E104" s="2882">
        <f>1.0788/E101</f>
        <v>0.98972477064220177</v>
      </c>
      <c r="F104" s="2882">
        <f>1.0788/F101</f>
        <v>0.98972477064220177</v>
      </c>
      <c r="G104" s="2882">
        <f>1.0788/G101</f>
        <v>0.98972477064220177</v>
      </c>
      <c r="H104" s="2882">
        <f>1.0788/H101</f>
        <v>0.98972477064220177</v>
      </c>
      <c r="I104" s="2882">
        <f>1.0788/I101</f>
        <v>0.98972477064220177</v>
      </c>
      <c r="J104" s="2882">
        <f>1.0072/J101</f>
        <v>0.92403669724770643</v>
      </c>
      <c r="K104" s="2882">
        <f>1.0072/K101</f>
        <v>0.92403669724770643</v>
      </c>
      <c r="L104" s="2882">
        <f>1.0072/L101</f>
        <v>0.92403669724770643</v>
      </c>
      <c r="M104" s="2882">
        <f>1.0072/M101</f>
        <v>0.92403669724770643</v>
      </c>
      <c r="N104" s="2882">
        <f>1.0072/N101</f>
        <v>0.92403669724770643</v>
      </c>
    </row>
    <row r="105" spans="1:14">
      <c r="A105" s="3287"/>
      <c r="B105" s="2881">
        <v>4</v>
      </c>
      <c r="C105" s="2882">
        <f>0.9622/C101</f>
        <v>0.88275229357798168</v>
      </c>
      <c r="D105" s="2882">
        <f>0.9622/D101</f>
        <v>0.88275229357798168</v>
      </c>
      <c r="E105" s="2882">
        <f>0.8656/E101</f>
        <v>0.7941284403669725</v>
      </c>
      <c r="F105" s="2882">
        <f>0.8656/F101</f>
        <v>0.7941284403669725</v>
      </c>
      <c r="G105" s="2882">
        <f>0.8656/G101</f>
        <v>0.7941284403669725</v>
      </c>
      <c r="H105" s="2882">
        <f>0.8656/H101</f>
        <v>0.7941284403669725</v>
      </c>
      <c r="I105" s="2882">
        <f>0.8656/I101</f>
        <v>0.7941284403669725</v>
      </c>
      <c r="J105" s="2882">
        <f>0.7525/J101</f>
        <v>0.69036697247706413</v>
      </c>
      <c r="K105" s="2882">
        <f>0.7525/K101</f>
        <v>0.69036697247706413</v>
      </c>
      <c r="L105" s="2882">
        <f>0.7525/L101</f>
        <v>0.69036697247706413</v>
      </c>
      <c r="M105" s="2882">
        <f>0.7525/M101</f>
        <v>0.69036697247706413</v>
      </c>
      <c r="N105" s="2882">
        <f>0.7525/N101</f>
        <v>0.69036697247706413</v>
      </c>
    </row>
    <row r="106" spans="1:14">
      <c r="A106" s="3287"/>
      <c r="B106" s="2881">
        <v>5</v>
      </c>
      <c r="C106" s="2882">
        <f>0.8417/C101</f>
        <v>0.77220183486238525</v>
      </c>
      <c r="D106" s="2882">
        <f>0.8417/D101</f>
        <v>0.77220183486238525</v>
      </c>
      <c r="E106" s="2882">
        <f>0.7371/E101</f>
        <v>0.67623853211009166</v>
      </c>
      <c r="F106" s="2882">
        <f>0.7371/F101</f>
        <v>0.67623853211009166</v>
      </c>
      <c r="G106" s="2882">
        <f>0.7371/G101</f>
        <v>0.67623853211009166</v>
      </c>
      <c r="H106" s="2882">
        <f>0.7371/H101</f>
        <v>0.67623853211009166</v>
      </c>
      <c r="I106" s="2882">
        <f>0.7371/I101</f>
        <v>0.67623853211009166</v>
      </c>
      <c r="J106" s="2882">
        <f>0.5659/J101</f>
        <v>0.51917431192660546</v>
      </c>
      <c r="K106" s="2882">
        <f>0.5659/K101</f>
        <v>0.51917431192660546</v>
      </c>
      <c r="L106" s="2882">
        <f>0.5659/L101</f>
        <v>0.51917431192660546</v>
      </c>
      <c r="M106" s="2882">
        <f>0.5659/M101</f>
        <v>0.51917431192660546</v>
      </c>
      <c r="N106" s="2882">
        <f>0.5659/N101</f>
        <v>0.51917431192660546</v>
      </c>
    </row>
    <row r="107" spans="1:14">
      <c r="A107" s="3287"/>
      <c r="B107" s="2881">
        <v>6</v>
      </c>
      <c r="C107" s="2882">
        <f>0.7608/C101</f>
        <v>0.69798165137614676</v>
      </c>
      <c r="D107" s="2882">
        <f>0.7608/D101</f>
        <v>0.69798165137614676</v>
      </c>
      <c r="E107" s="2882">
        <f>0.6482/E101</f>
        <v>0.59467889908256877</v>
      </c>
      <c r="F107" s="2882">
        <f>0.6482/F101</f>
        <v>0.59467889908256877</v>
      </c>
      <c r="G107" s="2882">
        <f>0.6482/G101</f>
        <v>0.59467889908256877</v>
      </c>
      <c r="H107" s="2882">
        <f>0.6482/H101</f>
        <v>0.59467889908256877</v>
      </c>
      <c r="I107" s="2882">
        <f>0.6482/I101</f>
        <v>0.59467889908256877</v>
      </c>
      <c r="J107" s="2882">
        <f>0.4525/J101</f>
        <v>0.41513761467889909</v>
      </c>
      <c r="K107" s="2882">
        <f>0.4525/K101</f>
        <v>0.41513761467889909</v>
      </c>
      <c r="L107" s="2882">
        <f>0.4525/L101</f>
        <v>0.41513761467889909</v>
      </c>
      <c r="M107" s="2882">
        <f>0.4525/M101</f>
        <v>0.41513761467889909</v>
      </c>
      <c r="N107" s="2882">
        <f>0.4525/N101</f>
        <v>0.41513761467889909</v>
      </c>
    </row>
    <row r="108" spans="1:14">
      <c r="A108" s="3287"/>
      <c r="B108" s="3140" t="s">
        <v>2978</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88"/>
      <c r="B109" s="3141"/>
      <c r="C109" s="2884">
        <f>(-0.163*(C108^2)-0.59*C108+7617)*(10^(-4))/C101</f>
        <v>0.69880733944954132</v>
      </c>
      <c r="D109" s="2884">
        <f>(-0.163*(D108^2)-0.59*D108+7617)*(10^(-4))/D101</f>
        <v>0.69880733944954132</v>
      </c>
      <c r="E109" s="2884">
        <f>(-0.161*(E108^2)-7.509*E108+6533)*(10^(-4))/E101</f>
        <v>0.59935779816513757</v>
      </c>
      <c r="F109" s="2884">
        <f>(-0.161*(F108^2)-7.509*F108+6533)*(10^(-4))/F101</f>
        <v>0.59935779816513757</v>
      </c>
      <c r="G109" s="2884">
        <f>(-0.161*(G108^2)-7.509*G108+6533)*(10^(-4))/G101</f>
        <v>0.59935779816513757</v>
      </c>
      <c r="H109" s="2884">
        <f>(-0.161*(H108^2)-7.509*H108+6533)*(10^(-4))/H101</f>
        <v>0.59935779816513757</v>
      </c>
      <c r="I109" s="2884">
        <f>(-0.161*(I108^2)-7.509*I108+6533)*(10^(-4))/I101</f>
        <v>0.59935779816513757</v>
      </c>
      <c r="J109" s="2884">
        <f>(-0.214*(J108^2)-21.991*J108+4665)*(10^(-4))/J101</f>
        <v>0.4279816513761468</v>
      </c>
      <c r="K109" s="2884">
        <f>(-0.214*(K108^2)-21.991*K108+4665)*(10^(-4))/K101</f>
        <v>0.4279816513761468</v>
      </c>
      <c r="L109" s="2884">
        <f>(-0.214*(L108^2)-21.991*L108+4665)*(10^(-4))/L101</f>
        <v>0.4279816513761468</v>
      </c>
      <c r="M109" s="2884">
        <f>(-0.214*(M108^2)-21.991*M108+4665)*(10^(-4))/M101</f>
        <v>0.4279816513761468</v>
      </c>
      <c r="N109" s="2884">
        <f>(-0.214*(N108^2)-21.991*N108+4665)*(10^(-4))/N101</f>
        <v>0.4279816513761468</v>
      </c>
    </row>
    <row r="110" spans="1:14">
      <c r="A110" s="3284" t="s">
        <v>2979</v>
      </c>
      <c r="B110" s="3284"/>
      <c r="C110" s="3284"/>
      <c r="D110" s="3284"/>
      <c r="E110" s="3284"/>
      <c r="F110" s="3284"/>
      <c r="G110" s="3284"/>
      <c r="H110" s="3284"/>
      <c r="I110" s="3284"/>
      <c r="J110" s="3284"/>
      <c r="K110" s="2887"/>
      <c r="L110" s="2887"/>
      <c r="M110" s="2887"/>
      <c r="N110" s="2887"/>
    </row>
    <row r="112" spans="1:14" ht="13.5" thickBot="1"/>
    <row r="113" spans="1:13" ht="25.5" thickBot="1">
      <c r="A113" s="903" t="s">
        <v>2980</v>
      </c>
      <c r="B113" s="1287">
        <f>G3</f>
        <v>1.0900000000000001</v>
      </c>
      <c r="C113" s="904" t="s">
        <v>2981</v>
      </c>
      <c r="D113" s="905">
        <f>SUMPRODUCT((A115:A118=F113)*(B114:M114=H113)*B115:M118)</f>
        <v>0</v>
      </c>
      <c r="E113" s="2718" t="s">
        <v>2813</v>
      </c>
      <c r="F113" s="2889">
        <f>E2</f>
        <v>0</v>
      </c>
      <c r="G113" s="2718" t="s">
        <v>2814</v>
      </c>
      <c r="H113" s="2889">
        <f>G2</f>
        <v>0</v>
      </c>
      <c r="I113" s="2718"/>
      <c r="J113" s="2890"/>
      <c r="K113" s="2890"/>
      <c r="L113" s="2890"/>
      <c r="M113" s="2890"/>
    </row>
    <row r="114" spans="1:13">
      <c r="A114" s="908"/>
      <c r="B114" s="2891" t="s">
        <v>2982</v>
      </c>
      <c r="C114" s="2891" t="s">
        <v>2983</v>
      </c>
      <c r="D114" s="2891" t="s">
        <v>2984</v>
      </c>
      <c r="E114" s="2892" t="s">
        <v>2985</v>
      </c>
      <c r="F114" s="2892" t="s">
        <v>2986</v>
      </c>
      <c r="G114" s="2892" t="s">
        <v>2987</v>
      </c>
      <c r="H114" s="2893" t="s">
        <v>2988</v>
      </c>
      <c r="I114" s="2893" t="s">
        <v>2989</v>
      </c>
      <c r="J114" s="2894" t="s">
        <v>2990</v>
      </c>
      <c r="K114" s="2894" t="s">
        <v>2991</v>
      </c>
      <c r="L114" s="2894" t="s">
        <v>2992</v>
      </c>
      <c r="M114" s="2895" t="s">
        <v>2993</v>
      </c>
    </row>
    <row r="115" spans="1:13">
      <c r="A115" s="909" t="s">
        <v>2878</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2879</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2880</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2881</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3002</v>
      </c>
    </row>
    <row r="2" spans="1:5" ht="15.75">
      <c r="A2" s="2896" t="s">
        <v>2994</v>
      </c>
      <c r="B2" s="2897" t="e">
        <f ca="1">SUMIF(B6:B13,"&lt;&gt;#ref!",B6:B13)</f>
        <v>#DIV/0!</v>
      </c>
      <c r="C2" s="2896" t="s">
        <v>2995</v>
      </c>
      <c r="D2" s="2896" t="s">
        <v>2996</v>
      </c>
      <c r="E2" s="2897">
        <f ca="1">SUMIF(E6:E13,"&lt;&gt;#ref!",E6:E13)</f>
        <v>0</v>
      </c>
    </row>
    <row r="3" spans="1:5" ht="15.75">
      <c r="A3" s="2896" t="s">
        <v>2997</v>
      </c>
      <c r="B3" s="2897" t="e">
        <f ca="1">ROUND(B2*10000/E2,0)</f>
        <v>#DIV/0!</v>
      </c>
      <c r="C3" s="2896" t="s">
        <v>3003</v>
      </c>
      <c r="D3" s="2898"/>
      <c r="E3" s="2898"/>
    </row>
    <row r="4" spans="1:5" ht="15.75">
      <c r="A4" s="2899"/>
      <c r="B4" s="2898"/>
      <c r="C4" s="2898"/>
      <c r="D4" s="2898"/>
      <c r="E4" s="2898"/>
    </row>
    <row r="5" spans="1:5" ht="28.5">
      <c r="A5" s="2900" t="s">
        <v>2998</v>
      </c>
      <c r="B5" s="2896" t="s">
        <v>2999</v>
      </c>
      <c r="C5" s="2897"/>
      <c r="D5" s="2898"/>
      <c r="E5" s="2896" t="s">
        <v>3000</v>
      </c>
    </row>
    <row r="6" spans="1:5" ht="15.75">
      <c r="A6" s="2901" t="s">
        <v>3001</v>
      </c>
      <c r="B6" s="2897" t="e">
        <f ca="1">SUMIF(INDIRECT("'"&amp;A6&amp;"'"&amp;"!A:A"),"总价",INDIRECT("'"&amp;A6&amp;"'"&amp;"!B:B"))</f>
        <v>#DIV/0!</v>
      </c>
      <c r="C6" s="2896" t="s">
        <v>2995</v>
      </c>
      <c r="D6" s="2898"/>
      <c r="E6" s="2569">
        <f ca="1">SUMIF(INDIRECT("'"&amp;A6&amp;"'"&amp;"!C:C"),"建筑面积",INDIRECT("'"&amp;A6&amp;"'"&amp;"!D:D"))</f>
        <v>0</v>
      </c>
    </row>
    <row r="7" spans="1:5" ht="15.75">
      <c r="A7" s="2901"/>
      <c r="B7" s="2897" t="e">
        <f ca="1">SUMIF(INDIRECT("'"&amp;A7&amp;"'"&amp;"!A:A"),"总价",INDIRECT("'"&amp;A7&amp;"'"&amp;"!B:B"))</f>
        <v>#REF!</v>
      </c>
      <c r="C7" s="2896" t="s">
        <v>2995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2995</v>
      </c>
      <c r="D8" s="2898"/>
      <c r="E8" s="2569" t="e">
        <f t="shared" ca="1" si="0"/>
        <v>#REF!</v>
      </c>
    </row>
    <row r="9" spans="1:5" ht="15.75">
      <c r="A9" s="2901"/>
      <c r="B9" s="2897" t="e">
        <f t="shared" ca="1" si="1"/>
        <v>#REF!</v>
      </c>
      <c r="C9" s="2896" t="s">
        <v>2995</v>
      </c>
      <c r="D9" s="2898"/>
      <c r="E9" s="2569" t="e">
        <f t="shared" ca="1" si="0"/>
        <v>#REF!</v>
      </c>
    </row>
    <row r="10" spans="1:5" ht="15.75">
      <c r="A10" s="2901"/>
      <c r="B10" s="2897" t="e">
        <f t="shared" ca="1" si="1"/>
        <v>#REF!</v>
      </c>
      <c r="C10" s="2896" t="s">
        <v>2995</v>
      </c>
      <c r="D10" s="2898"/>
      <c r="E10" s="2569" t="e">
        <f t="shared" ca="1" si="0"/>
        <v>#REF!</v>
      </c>
    </row>
    <row r="11" spans="1:5" ht="15.75">
      <c r="A11" s="2901"/>
      <c r="B11" s="2897" t="e">
        <f t="shared" ca="1" si="1"/>
        <v>#REF!</v>
      </c>
      <c r="C11" s="2896" t="s">
        <v>2995</v>
      </c>
      <c r="D11" s="2898"/>
      <c r="E11" s="2569" t="e">
        <f t="shared" ca="1" si="0"/>
        <v>#REF!</v>
      </c>
    </row>
    <row r="12" spans="1:5" ht="15.75">
      <c r="A12" s="2901"/>
      <c r="B12" s="2897" t="e">
        <f t="shared" ca="1" si="1"/>
        <v>#REF!</v>
      </c>
      <c r="C12" s="2896" t="s">
        <v>2995</v>
      </c>
      <c r="D12" s="2898"/>
      <c r="E12" s="2569" t="e">
        <f t="shared" ca="1" si="0"/>
        <v>#REF!</v>
      </c>
    </row>
    <row r="13" spans="1:5" ht="15.75">
      <c r="A13" s="2901"/>
      <c r="B13" s="2897" t="e">
        <f t="shared" ca="1" si="1"/>
        <v>#REF!</v>
      </c>
      <c r="C13" s="2896" t="s">
        <v>2995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1145</v>
      </c>
      <c r="C1" s="3300"/>
      <c r="D1" s="3300"/>
      <c r="E1" s="3300"/>
      <c r="F1" s="3300"/>
      <c r="G1" s="3299" t="s">
        <v>1146</v>
      </c>
      <c r="H1" s="3299"/>
      <c r="I1" s="3299"/>
      <c r="J1" s="3299"/>
      <c r="K1" s="3299"/>
      <c r="L1" s="3299"/>
      <c r="N1" s="3299" t="s">
        <v>1147</v>
      </c>
      <c r="O1" s="3299"/>
      <c r="P1" s="3299"/>
      <c r="Q1" s="3299"/>
      <c r="R1" s="1446"/>
      <c r="S1" s="3299" t="s">
        <v>1148</v>
      </c>
      <c r="T1" s="3299"/>
      <c r="U1" s="3299"/>
      <c r="V1" s="3299"/>
      <c r="X1" s="3298" t="s">
        <v>1149</v>
      </c>
      <c r="Y1" s="3299"/>
      <c r="Z1" s="3299"/>
      <c r="AA1" s="3299"/>
      <c r="AB1" s="3299"/>
      <c r="AD1" s="3298" t="s">
        <v>1150</v>
      </c>
      <c r="AE1" s="3299"/>
      <c r="AF1" s="3299"/>
      <c r="AG1" s="3299"/>
      <c r="AH1" s="329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3048</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29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9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9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5"/>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3031</v>
      </c>
      <c r="B15" s="1469">
        <v>439</v>
      </c>
      <c r="C15" s="1469">
        <v>327</v>
      </c>
      <c r="D15" s="1469">
        <f>C15</f>
        <v>327</v>
      </c>
      <c r="E15" s="1469">
        <v>627</v>
      </c>
      <c r="F15" s="1470">
        <v>283</v>
      </c>
      <c r="G15" s="3301">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9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9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5"/>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01">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9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9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9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9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9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9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9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9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9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2">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3"/>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3"/>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4"/>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9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9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9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9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9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9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9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9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9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9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9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9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9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9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9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9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9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9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9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9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9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9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9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9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9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9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9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9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9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9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9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9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9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33" sqref="A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7" t="s">
        <v>3005</v>
      </c>
      <c r="D1" s="3308"/>
      <c r="E1" s="3308"/>
      <c r="F1" s="3308"/>
      <c r="G1" s="3308"/>
      <c r="H1" s="3308"/>
      <c r="I1" s="3308"/>
      <c r="J1" s="3308"/>
      <c r="K1" s="3308"/>
      <c r="L1" s="3308"/>
      <c r="M1" s="3308"/>
      <c r="N1" s="3308"/>
      <c r="O1" s="3308"/>
      <c r="P1" s="3308"/>
      <c r="Q1" s="3308"/>
      <c r="R1" s="3308"/>
      <c r="S1" s="3309"/>
      <c r="T1" s="1204" t="s">
        <v>3006</v>
      </c>
    </row>
    <row r="2" spans="1:45" s="707" customFormat="1" ht="25.5">
      <c r="A2" s="1205"/>
      <c r="B2" s="703" t="s">
        <v>3007</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1761" t="s">
        <v>3008</v>
      </c>
      <c r="C5" s="2966" t="s">
        <v>3080</v>
      </c>
      <c r="D5" s="2967" t="s">
        <v>3081</v>
      </c>
      <c r="E5" s="2967" t="s">
        <v>3082</v>
      </c>
      <c r="F5" s="1711"/>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3014</v>
      </c>
      <c r="B17" s="2903" t="s">
        <v>3015</v>
      </c>
      <c r="C17" s="1231" t="s">
        <v>3083</v>
      </c>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3016</v>
      </c>
      <c r="E19" s="1784"/>
      <c r="F19" s="1784"/>
      <c r="G19" s="1784"/>
      <c r="H19" s="1280"/>
      <c r="I19" s="168"/>
      <c r="J19" s="168"/>
      <c r="K19" s="168"/>
      <c r="L19" s="168"/>
      <c r="M19" s="168"/>
      <c r="N19" s="168"/>
      <c r="O19" s="168"/>
      <c r="P19" s="168"/>
      <c r="Q19" s="168"/>
      <c r="R19" s="788"/>
      <c r="S19" s="138"/>
    </row>
    <row r="20" spans="1:45" ht="16.5" thickBot="1">
      <c r="A20" s="715" t="s">
        <v>3017</v>
      </c>
      <c r="B20" s="338">
        <f>IF(D20="——",S22,S22-F20)</f>
        <v>4967</v>
      </c>
      <c r="C20" s="168"/>
      <c r="D20" s="2905" t="s">
        <v>70</v>
      </c>
      <c r="E20" s="1785"/>
      <c r="F20" s="1204" t="e">
        <f ca="1">SUMIF(INDIRECT("'"&amp;H20&amp;"'"&amp;"!A:A"),"承租人权益价值",INDIRECT("'"&amp;H20&amp;"'"&amp;"!c:c"))</f>
        <v>#REF!</v>
      </c>
      <c r="G20" s="1204" t="s">
        <v>3018</v>
      </c>
      <c r="H20" s="2906"/>
      <c r="I20" s="168"/>
      <c r="J20" s="168"/>
      <c r="K20" s="168"/>
      <c r="L20" s="168"/>
      <c r="M20" s="168"/>
      <c r="N20" s="168"/>
      <c r="O20" s="168"/>
      <c r="P20" s="168"/>
      <c r="Q20" s="168"/>
      <c r="R20" s="788"/>
      <c r="S20" s="138"/>
    </row>
    <row r="21" spans="1:45" ht="15.75">
      <c r="A21" s="715" t="s">
        <v>3019</v>
      </c>
      <c r="B21" s="338">
        <f>ROUND(B20*10000/B22,0)</f>
        <v>35511</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1398.7300000000002</v>
      </c>
      <c r="C22" s="3162" t="s">
        <v>33</v>
      </c>
      <c r="D22" s="3163"/>
      <c r="E22" s="3163"/>
      <c r="F22" s="3163"/>
      <c r="G22" s="3163"/>
      <c r="H22" s="3163"/>
      <c r="I22" s="3163"/>
      <c r="J22" s="3163"/>
      <c r="K22" s="3163"/>
      <c r="L22" s="3163"/>
      <c r="M22" s="3163"/>
      <c r="N22" s="3163"/>
      <c r="O22" s="3163"/>
      <c r="P22" s="3163"/>
      <c r="Q22" s="3306"/>
      <c r="R22" s="716">
        <f>ROUND(S22*10000/B22,0)</f>
        <v>35511</v>
      </c>
      <c r="S22" s="24">
        <f>SUM(S24:S10000)</f>
        <v>4967</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2968" t="s">
        <v>3084</v>
      </c>
      <c r="E24" s="719">
        <v>1</v>
      </c>
      <c r="F24" s="720"/>
      <c r="G24" s="719">
        <v>1</v>
      </c>
      <c r="H24" s="720"/>
      <c r="I24" s="719">
        <v>1</v>
      </c>
      <c r="J24" s="720"/>
      <c r="K24" s="719">
        <v>1</v>
      </c>
      <c r="L24" s="720"/>
      <c r="M24" s="719">
        <v>1</v>
      </c>
      <c r="N24" s="720"/>
      <c r="O24" s="719">
        <v>1</v>
      </c>
      <c r="P24" s="720"/>
      <c r="Q24" s="719">
        <v>1</v>
      </c>
      <c r="R24" s="721">
        <f>'比较法-商业'!C49</f>
        <v>34919</v>
      </c>
      <c r="S24" s="719">
        <f t="shared" ref="S24:S54" si="11">ROUND(R24*B24/10000,0)</f>
        <v>1021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2968" t="s">
        <v>3084</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34919</v>
      </c>
      <c r="S25" s="361">
        <f t="shared" si="11"/>
        <v>548</v>
      </c>
    </row>
    <row r="26" spans="1:45">
      <c r="A26" s="718">
        <f>'数据-基础表'!C15</f>
        <v>103</v>
      </c>
      <c r="B26" s="718">
        <f>'数据-基础表'!I15</f>
        <v>144.93</v>
      </c>
      <c r="C26" s="24">
        <f t="shared" ref="C26:C89" si="12">IF(B26="",1,(LOOKUP(B26,$3:$3,$4:$4)-LOOKUP($B$24,$3:$3,$4:$4)+100)/100)</f>
        <v>1.03</v>
      </c>
      <c r="D26" s="2968" t="s">
        <v>3084</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35967</v>
      </c>
      <c r="S26" s="361">
        <f t="shared" si="11"/>
        <v>521</v>
      </c>
    </row>
    <row r="27" spans="1:45">
      <c r="A27" s="718">
        <f>'数据-基础表'!C16</f>
        <v>110</v>
      </c>
      <c r="B27" s="718">
        <f>'数据-基础表'!I16</f>
        <v>119.6</v>
      </c>
      <c r="C27" s="24">
        <f t="shared" si="12"/>
        <v>1.03</v>
      </c>
      <c r="D27" s="2968" t="s">
        <v>3084</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35967</v>
      </c>
      <c r="S27" s="361">
        <f t="shared" si="11"/>
        <v>430</v>
      </c>
    </row>
    <row r="28" spans="1:45">
      <c r="A28" s="718">
        <f>'数据-基础表'!C17</f>
        <v>111</v>
      </c>
      <c r="B28" s="718">
        <f>'数据-基础表'!I17</f>
        <v>131.99</v>
      </c>
      <c r="C28" s="24">
        <f t="shared" si="12"/>
        <v>1.03</v>
      </c>
      <c r="D28" s="2968" t="s">
        <v>3084</v>
      </c>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35967</v>
      </c>
      <c r="S28" s="361">
        <f t="shared" si="11"/>
        <v>475</v>
      </c>
    </row>
    <row r="29" spans="1:45">
      <c r="A29" s="718">
        <f>'数据-基础表'!C18</f>
        <v>112</v>
      </c>
      <c r="B29" s="718">
        <f>'数据-基础表'!I18</f>
        <v>131.99</v>
      </c>
      <c r="C29" s="24">
        <f t="shared" si="12"/>
        <v>1.03</v>
      </c>
      <c r="D29" s="2968" t="s">
        <v>3084</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35967</v>
      </c>
      <c r="S29" s="361">
        <f t="shared" si="11"/>
        <v>475</v>
      </c>
    </row>
    <row r="30" spans="1:45">
      <c r="A30" s="718">
        <f>'数据-基础表'!C19</f>
        <v>113</v>
      </c>
      <c r="B30" s="718">
        <f>'数据-基础表'!I19</f>
        <v>131.99</v>
      </c>
      <c r="C30" s="24">
        <f t="shared" si="12"/>
        <v>1.03</v>
      </c>
      <c r="D30" s="2968" t="s">
        <v>3084</v>
      </c>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35967</v>
      </c>
      <c r="S30" s="361">
        <f t="shared" si="11"/>
        <v>475</v>
      </c>
    </row>
    <row r="31" spans="1:45">
      <c r="A31" s="718">
        <f>'数据-基础表'!C20</f>
        <v>114</v>
      </c>
      <c r="B31" s="718">
        <f>'数据-基础表'!I20</f>
        <v>162.61000000000001</v>
      </c>
      <c r="C31" s="24">
        <f t="shared" si="12"/>
        <v>1</v>
      </c>
      <c r="D31" s="2968" t="s">
        <v>3084</v>
      </c>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34919</v>
      </c>
      <c r="S31" s="361">
        <f t="shared" si="11"/>
        <v>568</v>
      </c>
    </row>
    <row r="32" spans="1:45">
      <c r="A32" s="718">
        <f>'数据-基础表'!C21</f>
        <v>107</v>
      </c>
      <c r="B32" s="718">
        <f>'数据-基础表'!I21</f>
        <v>126.36</v>
      </c>
      <c r="C32" s="24">
        <f t="shared" si="12"/>
        <v>1.03</v>
      </c>
      <c r="D32" s="2968" t="s">
        <v>3084</v>
      </c>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35967</v>
      </c>
      <c r="S32" s="361">
        <f t="shared" si="11"/>
        <v>454</v>
      </c>
    </row>
    <row r="33" spans="1:19">
      <c r="A33" s="159"/>
      <c r="B33" s="718"/>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52"/>
      <c r="B4" s="2985" t="s">
        <v>1624</v>
      </c>
      <c r="C4" s="2985"/>
      <c r="D4" s="2985"/>
      <c r="E4" s="1952"/>
    </row>
    <row r="5" spans="1:5" ht="16.5" thickTop="1">
      <c r="A5" s="1950"/>
      <c r="B5" s="2983" t="s">
        <v>1616</v>
      </c>
      <c r="C5" s="1953" t="s">
        <v>1617</v>
      </c>
      <c r="D5" s="1040">
        <f ca="1">结果表!H101</f>
        <v>4327</v>
      </c>
      <c r="E5" s="1950"/>
    </row>
    <row r="6" spans="1:5" ht="15.75">
      <c r="A6" s="1950"/>
      <c r="B6" s="2983"/>
      <c r="C6" s="1953" t="s">
        <v>1618</v>
      </c>
      <c r="D6" s="1040" t="str">
        <f ca="1">NUMBERSTRING(INT(D5*10000),2)&amp;"元整"</f>
        <v>肆仟叁佰贰拾柒万元整</v>
      </c>
      <c r="E6" s="1950"/>
    </row>
    <row r="7" spans="1:5" ht="15.75">
      <c r="A7" s="1950"/>
      <c r="B7" s="2988"/>
      <c r="C7" s="1954" t="s">
        <v>1619</v>
      </c>
      <c r="D7" s="1041">
        <f ca="1">结果表!H102</f>
        <v>30935</v>
      </c>
      <c r="E7" s="1950"/>
    </row>
    <row r="8" spans="1:5" ht="15.75">
      <c r="A8" s="1950"/>
      <c r="B8" s="2989" t="str">
        <f>结果表!E103</f>
        <v>2.估价师知悉的法定优先受偿款</v>
      </c>
      <c r="C8" s="1955" t="s">
        <v>1620</v>
      </c>
      <c r="D8" s="1041">
        <f>结果表!H103</f>
        <v>0</v>
      </c>
      <c r="E8" s="1950"/>
    </row>
    <row r="9" spans="1:5" ht="15.75">
      <c r="A9" s="1950"/>
      <c r="B9" s="299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82" t="str">
        <f>结果表!E107</f>
        <v>3.房地产抵押价值</v>
      </c>
      <c r="C13" s="1958" t="s">
        <v>1617</v>
      </c>
      <c r="D13" s="1043">
        <f ca="1">结果表!H107</f>
        <v>4327</v>
      </c>
      <c r="E13" s="1950"/>
    </row>
    <row r="14" spans="1:5" ht="15.75">
      <c r="A14" s="1950"/>
      <c r="B14" s="2983"/>
      <c r="C14" s="1953" t="s">
        <v>1618</v>
      </c>
      <c r="D14" s="1040" t="str">
        <f ca="1">NUMBERSTRING(INT(D13*10000),2)&amp;"元整"</f>
        <v>肆仟叁佰贰拾柒万元整</v>
      </c>
      <c r="E14" s="1950"/>
    </row>
    <row r="15" spans="1:5" ht="15">
      <c r="A15" s="1950"/>
      <c r="B15" s="2988"/>
      <c r="C15" s="1954" t="s">
        <v>1628</v>
      </c>
      <c r="D15" s="1052">
        <f ca="1">结果表!H108</f>
        <v>30935</v>
      </c>
      <c r="E15" s="1950"/>
    </row>
    <row r="16" spans="1:5" ht="15">
      <c r="A16" s="1950"/>
      <c r="B16" s="2989" t="str">
        <f>结果表!E109</f>
        <v>——</v>
      </c>
      <c r="C16" s="1958" t="s">
        <v>1629</v>
      </c>
      <c r="D16" s="1959" t="str">
        <f>结果表!H109</f>
        <v>——</v>
      </c>
      <c r="E16" s="1950"/>
    </row>
    <row r="17" spans="1:5" ht="15.75">
      <c r="A17" s="1950"/>
      <c r="B17" s="2990"/>
      <c r="C17" s="1953" t="s">
        <v>1630</v>
      </c>
      <c r="D17" s="1040" t="e">
        <f>NUMBERSTRING(INT(D16*10000),2)&amp;"元整"</f>
        <v>#VALUE!</v>
      </c>
      <c r="E17" s="1950"/>
    </row>
    <row r="18" spans="1:5" ht="15">
      <c r="A18" s="1950"/>
      <c r="B18" s="2991"/>
      <c r="C18" s="1954" t="s">
        <v>1619</v>
      </c>
      <c r="D18" s="1052" t="str">
        <f>结果表!H110</f>
        <v>——</v>
      </c>
      <c r="E18" s="1950"/>
    </row>
    <row r="19" spans="1:5" ht="15.75">
      <c r="A19" s="1950"/>
      <c r="B19" s="2982" t="str">
        <f>结果表!E111</f>
        <v>——</v>
      </c>
      <c r="C19" s="1958" t="s">
        <v>1617</v>
      </c>
      <c r="D19" s="1041" t="str">
        <f>结果表!H111</f>
        <v>——</v>
      </c>
      <c r="E19" s="1950"/>
    </row>
    <row r="20" spans="1:5" ht="15.75">
      <c r="A20" s="1950"/>
      <c r="B20" s="2983"/>
      <c r="C20" s="1953" t="s">
        <v>1630</v>
      </c>
      <c r="D20" s="1040" t="e">
        <f>NUMBERSTRING(INT(D19*10000),2)&amp;"元整"</f>
        <v>#VALUE!</v>
      </c>
      <c r="E20" s="1950"/>
    </row>
    <row r="21" spans="1:5" ht="15.75" thickBot="1">
      <c r="A21" s="1950"/>
      <c r="B21" s="298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30151</v>
      </c>
      <c r="C2" s="2" t="s">
        <v>133</v>
      </c>
      <c r="D2" s="243"/>
      <c r="E2" s="243"/>
      <c r="F2" s="243"/>
      <c r="G2" s="243"/>
    </row>
    <row r="3" spans="1:7" s="244" customFormat="1" ht="18" customHeight="1" thickBot="1">
      <c r="A3" s="247" t="s">
        <v>85</v>
      </c>
      <c r="B3" s="248">
        <f ca="1">ROUND(B2*10000/'数据-汇总表'!E3,0)</f>
        <v>215560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28</v>
      </c>
      <c r="D19" s="1036">
        <f>'数据-汇总表'!E3</f>
        <v>1398.7300000000002</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4210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21</v>
      </c>
      <c r="D42" s="282"/>
      <c r="E42" s="282"/>
      <c r="F42" s="283"/>
      <c r="G42" s="3169" t="s">
        <v>121</v>
      </c>
    </row>
    <row r="43" spans="1:7" ht="13.5" customHeight="1">
      <c r="A43" s="951" t="s">
        <v>792</v>
      </c>
      <c r="B43" s="259" t="s">
        <v>1060</v>
      </c>
      <c r="C43" s="282">
        <f ca="1">ROUND(IF('数据-取费表'!B22&lt;=1,C39*F22*'数据-取费表'!B21/2,C39*(POWER((1+F22),'数据-取费表'!B21/2)-1)),0)</f>
        <v>0</v>
      </c>
      <c r="D43" s="282"/>
      <c r="E43" s="282"/>
      <c r="F43" s="283"/>
      <c r="G43" s="3170"/>
    </row>
    <row r="44" spans="1:7" ht="13.5" customHeight="1">
      <c r="A44" s="951" t="s">
        <v>793</v>
      </c>
      <c r="B44" s="259" t="s">
        <v>1062</v>
      </c>
      <c r="C44" s="282">
        <f ca="1">ROUND(IF('数据-取费表'!B22&lt;=1,C40*F22*'数据-取费表'!B21/2,C40*(POWER((1+F22),'数据-取费表'!B21/2)-1)),4)</f>
        <v>1E-3</v>
      </c>
      <c r="D44" s="282"/>
      <c r="E44" s="282"/>
      <c r="F44" s="283"/>
      <c r="G44" s="3171"/>
    </row>
    <row r="45" spans="1:7" s="258" customFormat="1" ht="13.5" customHeight="1">
      <c r="A45" s="948" t="s">
        <v>786</v>
      </c>
      <c r="B45" s="288" t="s">
        <v>112</v>
      </c>
      <c r="C45" s="289">
        <f>C46</f>
        <v>89</v>
      </c>
      <c r="D45" s="279">
        <f>C47</f>
        <v>4.0000000000000001E-3</v>
      </c>
      <c r="E45" s="280" t="s">
        <v>129</v>
      </c>
      <c r="F45" s="290"/>
      <c r="G45" s="291" t="s">
        <v>1068</v>
      </c>
    </row>
    <row r="46" spans="1:7" s="258" customFormat="1" ht="13.5" customHeight="1">
      <c r="A46" s="951" t="s">
        <v>794</v>
      </c>
      <c r="B46" s="292" t="s">
        <v>1061</v>
      </c>
      <c r="C46" s="293">
        <f>ROUND((C33+C39)*F27,0)</f>
        <v>89</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544</v>
      </c>
      <c r="D51" s="276"/>
      <c r="E51" s="276"/>
      <c r="F51" s="308"/>
      <c r="G51" s="278" t="s">
        <v>64</v>
      </c>
    </row>
    <row r="52" spans="1:7" s="252" customFormat="1" ht="16.5" thickBot="1">
      <c r="A52" s="309" t="s">
        <v>65</v>
      </c>
      <c r="B52" s="310"/>
      <c r="C52" s="311">
        <f ca="1">C31+C51</f>
        <v>30151</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867</v>
      </c>
      <c r="B1" s="331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K93" sqref="K93"/>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workbookViewId="0">
      <selection activeCell="F28" sqref="F28"/>
    </sheetView>
  </sheetViews>
  <sheetFormatPr defaultRowHeight="13.5"/>
  <cols>
    <col min="7" max="7" width="22.75" customWidth="1"/>
    <col min="9" max="10" width="10.25" bestFit="1" customWidth="1"/>
    <col min="12" max="12" width="20.625" customWidth="1"/>
    <col min="14" max="14" width="24.125" customWidth="1"/>
    <col min="15" max="15" width="18.25" customWidth="1"/>
    <col min="16" max="16" width="18.625" customWidth="1"/>
    <col min="17" max="17" width="17.5" customWidth="1"/>
  </cols>
  <sheetData>
    <row r="1" spans="1:27" s="3322" customFormat="1">
      <c r="A1" s="3314" t="s">
        <v>3114</v>
      </c>
      <c r="B1" s="3315" t="s">
        <v>3115</v>
      </c>
      <c r="C1" s="3315" t="s">
        <v>3116</v>
      </c>
      <c r="D1" s="3315" t="s">
        <v>3117</v>
      </c>
      <c r="E1" s="3315" t="s">
        <v>3118</v>
      </c>
      <c r="F1" s="3315" t="s">
        <v>3119</v>
      </c>
      <c r="G1" s="3316" t="s">
        <v>3120</v>
      </c>
      <c r="H1" s="3317" t="s">
        <v>3121</v>
      </c>
      <c r="I1" s="3317"/>
      <c r="J1" s="3317"/>
      <c r="K1" s="3317" t="s">
        <v>3122</v>
      </c>
      <c r="L1" s="3317"/>
      <c r="M1" s="3317" t="s">
        <v>3123</v>
      </c>
      <c r="N1" s="3317" t="s">
        <v>3124</v>
      </c>
      <c r="O1" s="3318" t="s">
        <v>3125</v>
      </c>
      <c r="P1" s="3319" t="s">
        <v>3126</v>
      </c>
      <c r="Q1" s="3318" t="s">
        <v>3127</v>
      </c>
      <c r="R1" s="3320"/>
      <c r="S1" s="3321"/>
      <c r="T1" s="3321"/>
      <c r="U1" s="3321"/>
      <c r="V1" s="3320"/>
      <c r="W1" s="3321"/>
      <c r="X1" s="3320"/>
      <c r="Y1" s="3321"/>
      <c r="Z1" s="3320"/>
      <c r="AA1" s="3321"/>
    </row>
    <row r="2" spans="1:27" s="3322" customFormat="1">
      <c r="A2" s="3323"/>
      <c r="B2" s="3324"/>
      <c r="C2" s="3324"/>
      <c r="D2" s="3324"/>
      <c r="E2" s="3324"/>
      <c r="F2" s="3324"/>
      <c r="G2" s="3325"/>
      <c r="H2" s="3326"/>
      <c r="I2" s="3326"/>
      <c r="J2" s="3326"/>
      <c r="K2" s="3326"/>
      <c r="L2" s="3326"/>
      <c r="M2" s="3326"/>
      <c r="N2" s="3326"/>
      <c r="O2" s="3327"/>
      <c r="P2" s="3328"/>
      <c r="Q2" s="3327"/>
      <c r="R2" s="3320"/>
      <c r="S2" s="3321"/>
      <c r="T2" s="3321"/>
      <c r="U2" s="3321"/>
      <c r="V2" s="3320"/>
      <c r="W2" s="3321"/>
      <c r="X2" s="3320"/>
      <c r="Y2" s="3321"/>
      <c r="Z2" s="3320"/>
      <c r="AA2" s="3321"/>
    </row>
    <row r="3" spans="1:27" s="3322" customFormat="1">
      <c r="A3" s="3323"/>
      <c r="B3" s="3324"/>
      <c r="C3" s="3324"/>
      <c r="D3" s="3324"/>
      <c r="E3" s="3324"/>
      <c r="F3" s="3324"/>
      <c r="G3" s="3325"/>
      <c r="H3" s="3329" t="s">
        <v>3128</v>
      </c>
      <c r="I3" s="3329" t="s">
        <v>3129</v>
      </c>
      <c r="J3" s="3329" t="s">
        <v>3130</v>
      </c>
      <c r="K3" s="3329" t="s">
        <v>3131</v>
      </c>
      <c r="L3" s="3329" t="s">
        <v>3132</v>
      </c>
      <c r="M3" s="3326"/>
      <c r="N3" s="3326"/>
      <c r="O3" s="3327"/>
      <c r="P3" s="3330"/>
      <c r="Q3" s="3327"/>
      <c r="R3" s="3320"/>
      <c r="S3" s="3321"/>
      <c r="T3" s="3321"/>
      <c r="U3" s="3321"/>
      <c r="V3" s="3320"/>
      <c r="W3" s="3321"/>
      <c r="X3" s="3320"/>
      <c r="Y3" s="3321"/>
      <c r="Z3" s="3320"/>
      <c r="AA3" s="3321"/>
    </row>
    <row r="4" spans="1:27">
      <c r="A4" s="3331">
        <v>1</v>
      </c>
      <c r="B4" s="3332" t="s">
        <v>3133</v>
      </c>
      <c r="C4" s="3333">
        <v>101</v>
      </c>
      <c r="D4" s="3334">
        <v>292.33999999999997</v>
      </c>
      <c r="E4" s="3332" t="s">
        <v>3134</v>
      </c>
      <c r="F4" s="3335" t="s">
        <v>3135</v>
      </c>
      <c r="G4" s="3336" t="s">
        <v>3136</v>
      </c>
      <c r="H4" s="3337" t="s">
        <v>3137</v>
      </c>
      <c r="I4" s="3337" t="s">
        <v>3138</v>
      </c>
      <c r="J4" s="3337" t="s">
        <v>3139</v>
      </c>
      <c r="K4" s="3337" t="s">
        <v>3140</v>
      </c>
      <c r="L4" s="3337" t="s">
        <v>3141</v>
      </c>
      <c r="M4" s="3338" t="s">
        <v>3142</v>
      </c>
      <c r="N4" s="3339" t="s">
        <v>3143</v>
      </c>
      <c r="O4" s="3340">
        <v>240084</v>
      </c>
      <c r="P4" s="3340">
        <v>498174.75</v>
      </c>
      <c r="Q4" s="3341">
        <v>516981</v>
      </c>
      <c r="R4" s="3342">
        <f>Q4/D4/365</f>
        <v>4.844996584011299</v>
      </c>
      <c r="S4" s="3342"/>
      <c r="T4" s="3342"/>
      <c r="U4" s="3342"/>
      <c r="V4" s="3342"/>
      <c r="W4" s="3342"/>
      <c r="X4" s="3342"/>
      <c r="Y4" s="3342"/>
      <c r="Z4" s="3342"/>
      <c r="AA4" s="3342"/>
    </row>
    <row r="5" spans="1:27">
      <c r="A5" s="3331">
        <v>2</v>
      </c>
      <c r="B5" s="3332" t="s">
        <v>3133</v>
      </c>
      <c r="C5" s="3333">
        <v>102</v>
      </c>
      <c r="D5" s="3334">
        <v>156.91999999999999</v>
      </c>
      <c r="E5" s="3332" t="s">
        <v>3134</v>
      </c>
      <c r="F5" s="3335" t="s">
        <v>3144</v>
      </c>
      <c r="G5" s="3336" t="s">
        <v>3136</v>
      </c>
      <c r="H5" s="3337" t="s">
        <v>3137</v>
      </c>
      <c r="I5" s="3337" t="s">
        <v>3138</v>
      </c>
      <c r="J5" s="3337" t="s">
        <v>3139</v>
      </c>
      <c r="K5" s="3337" t="s">
        <v>3140</v>
      </c>
      <c r="L5" s="3337" t="s">
        <v>3141</v>
      </c>
      <c r="M5" s="3338" t="s">
        <v>3142</v>
      </c>
      <c r="N5" s="3337" t="s">
        <v>3145</v>
      </c>
      <c r="O5" s="3340">
        <v>128870.5</v>
      </c>
      <c r="P5" s="3340">
        <v>267406.25</v>
      </c>
      <c r="Q5" s="3341">
        <v>280723</v>
      </c>
      <c r="R5" s="3342">
        <f t="shared" ref="R5:R11" si="0">Q5/D5/365</f>
        <v>4.9012497424741346</v>
      </c>
      <c r="S5" s="3342"/>
      <c r="T5" s="3342"/>
      <c r="U5" s="3342"/>
      <c r="V5" s="3342"/>
      <c r="W5" s="3342"/>
      <c r="X5" s="3342"/>
      <c r="Y5" s="3342"/>
      <c r="Z5" s="3342"/>
      <c r="AA5" s="3342"/>
    </row>
    <row r="6" spans="1:27">
      <c r="A6" s="3331">
        <v>3</v>
      </c>
      <c r="B6" s="3332" t="s">
        <v>3133</v>
      </c>
      <c r="C6" s="3333">
        <v>103</v>
      </c>
      <c r="D6" s="3334">
        <v>144.93</v>
      </c>
      <c r="E6" s="3332" t="s">
        <v>3134</v>
      </c>
      <c r="F6" s="3335" t="s">
        <v>3146</v>
      </c>
      <c r="G6" s="3336" t="s">
        <v>3147</v>
      </c>
      <c r="H6" s="3337" t="s">
        <v>3148</v>
      </c>
      <c r="I6" s="3337" t="s">
        <v>3149</v>
      </c>
      <c r="J6" s="3337" t="s">
        <v>3150</v>
      </c>
      <c r="K6" s="3337" t="s">
        <v>3151</v>
      </c>
      <c r="L6" s="3337" t="s">
        <v>3152</v>
      </c>
      <c r="M6" s="3338" t="s">
        <v>3153</v>
      </c>
      <c r="N6" s="3337" t="s">
        <v>3154</v>
      </c>
      <c r="O6" s="3340">
        <v>119023.5</v>
      </c>
      <c r="P6" s="3340">
        <v>119023.5</v>
      </c>
      <c r="Q6" s="3341">
        <v>238047</v>
      </c>
      <c r="R6" s="3342">
        <f t="shared" si="0"/>
        <v>4.4999900755111817</v>
      </c>
      <c r="S6" s="3342"/>
      <c r="T6" s="3342"/>
      <c r="U6" s="3342"/>
      <c r="V6" s="3342"/>
      <c r="W6" s="3342"/>
      <c r="X6" s="3342"/>
      <c r="Y6" s="3342"/>
      <c r="Z6" s="3342"/>
      <c r="AA6" s="3342"/>
    </row>
    <row r="7" spans="1:27">
      <c r="A7" s="3331">
        <v>4</v>
      </c>
      <c r="B7" s="3332" t="s">
        <v>3133</v>
      </c>
      <c r="C7" s="3332">
        <v>107</v>
      </c>
      <c r="D7" s="3334">
        <v>126.36</v>
      </c>
      <c r="E7" s="3332" t="s">
        <v>3134</v>
      </c>
      <c r="F7" s="3335" t="s">
        <v>3146</v>
      </c>
      <c r="G7" s="3336" t="s">
        <v>3155</v>
      </c>
      <c r="H7" s="3337" t="s">
        <v>3156</v>
      </c>
      <c r="I7" s="3337" t="s">
        <v>3157</v>
      </c>
      <c r="J7" s="3337" t="s">
        <v>3158</v>
      </c>
      <c r="K7" s="3337" t="s">
        <v>3151</v>
      </c>
      <c r="L7" s="3337" t="s">
        <v>3159</v>
      </c>
      <c r="M7" s="3338" t="s">
        <v>3153</v>
      </c>
      <c r="N7" s="3337" t="s">
        <v>3154</v>
      </c>
      <c r="O7" s="3340">
        <v>0</v>
      </c>
      <c r="P7" s="3340">
        <v>103773</v>
      </c>
      <c r="Q7" s="3341">
        <v>207466</v>
      </c>
      <c r="R7" s="3342">
        <f t="shared" si="0"/>
        <v>4.4982589427033872</v>
      </c>
      <c r="S7" s="3342"/>
      <c r="T7" s="3342"/>
      <c r="U7" s="3342"/>
      <c r="V7" s="3342"/>
      <c r="W7" s="3342"/>
      <c r="X7" s="3342"/>
      <c r="Y7" s="3342"/>
      <c r="Z7" s="3342"/>
      <c r="AA7" s="3342"/>
    </row>
    <row r="8" spans="1:27" s="3351" customFormat="1">
      <c r="A8" s="3343">
        <v>5</v>
      </c>
      <c r="B8" s="3344" t="s">
        <v>3133</v>
      </c>
      <c r="C8" s="3345">
        <v>110</v>
      </c>
      <c r="D8" s="3346">
        <v>119.6</v>
      </c>
      <c r="E8" s="3344" t="s">
        <v>3134</v>
      </c>
      <c r="F8" s="3335" t="s">
        <v>3146</v>
      </c>
      <c r="G8" s="3335" t="s">
        <v>3160</v>
      </c>
      <c r="H8" s="3347" t="s">
        <v>3161</v>
      </c>
      <c r="I8" s="3347" t="s">
        <v>3162</v>
      </c>
      <c r="J8" s="3347" t="s">
        <v>3163</v>
      </c>
      <c r="K8" s="3347" t="s">
        <v>3151</v>
      </c>
      <c r="L8" s="3347" t="s">
        <v>3164</v>
      </c>
      <c r="M8" s="2980" t="s">
        <v>3153</v>
      </c>
      <c r="N8" s="3347" t="s">
        <v>3165</v>
      </c>
      <c r="O8" s="3348">
        <v>147332.25</v>
      </c>
      <c r="P8" s="3348">
        <v>206265</v>
      </c>
      <c r="Q8" s="3349">
        <v>206265</v>
      </c>
      <c r="R8" s="3342">
        <f t="shared" si="0"/>
        <v>4.7249965638887614</v>
      </c>
      <c r="S8" s="3342"/>
      <c r="T8" s="3342"/>
      <c r="U8" s="3350"/>
      <c r="V8" s="3350"/>
      <c r="W8" s="3350"/>
      <c r="X8" s="3350"/>
      <c r="Y8" s="3350"/>
      <c r="Z8" s="3350"/>
      <c r="AA8" s="3350"/>
    </row>
    <row r="9" spans="1:27" s="3351" customFormat="1">
      <c r="A9" s="3343">
        <v>6</v>
      </c>
      <c r="B9" s="3344" t="s">
        <v>3133</v>
      </c>
      <c r="C9" s="3345">
        <v>111</v>
      </c>
      <c r="D9" s="3346">
        <v>131.99</v>
      </c>
      <c r="E9" s="3344" t="s">
        <v>3134</v>
      </c>
      <c r="F9" s="3335" t="s">
        <v>3146</v>
      </c>
      <c r="G9" s="3352" t="s">
        <v>3166</v>
      </c>
      <c r="H9" s="3337" t="s">
        <v>3167</v>
      </c>
      <c r="I9" s="3347" t="s">
        <v>3168</v>
      </c>
      <c r="J9" s="3347" t="s">
        <v>3169</v>
      </c>
      <c r="K9" s="3347" t="s">
        <v>3151</v>
      </c>
      <c r="L9" s="3347" t="s">
        <v>3170</v>
      </c>
      <c r="M9" s="2980" t="s">
        <v>3153</v>
      </c>
      <c r="N9" s="3347" t="s">
        <v>3171</v>
      </c>
      <c r="O9" s="3348">
        <v>57811.5</v>
      </c>
      <c r="P9" s="3348">
        <v>289057.5</v>
      </c>
      <c r="Q9" s="3349">
        <v>192705</v>
      </c>
      <c r="R9" s="3342">
        <f>Q9/D9/(365*7/12)</f>
        <v>6.8571286237215672</v>
      </c>
      <c r="S9" s="3342"/>
      <c r="T9" s="3342"/>
      <c r="U9" s="3350"/>
      <c r="V9" s="3350"/>
      <c r="W9" s="3350"/>
      <c r="X9" s="3350"/>
      <c r="Y9" s="3350"/>
      <c r="Z9" s="3350"/>
      <c r="AA9" s="3350"/>
    </row>
    <row r="10" spans="1:27" s="3351" customFormat="1">
      <c r="A10" s="3343">
        <v>7</v>
      </c>
      <c r="B10" s="3344" t="s">
        <v>3133</v>
      </c>
      <c r="C10" s="3345">
        <v>112</v>
      </c>
      <c r="D10" s="3346">
        <v>131.99</v>
      </c>
      <c r="E10" s="3344" t="s">
        <v>3134</v>
      </c>
      <c r="F10" s="3335" t="s">
        <v>3146</v>
      </c>
      <c r="G10" s="3352" t="s">
        <v>3166</v>
      </c>
      <c r="H10" s="3337" t="s">
        <v>3167</v>
      </c>
      <c r="I10" s="3347" t="s">
        <v>3168</v>
      </c>
      <c r="J10" s="3347" t="s">
        <v>3169</v>
      </c>
      <c r="K10" s="3347" t="s">
        <v>3151</v>
      </c>
      <c r="L10" s="3347" t="s">
        <v>3170</v>
      </c>
      <c r="M10" s="2980" t="s">
        <v>3153</v>
      </c>
      <c r="N10" s="3347" t="s">
        <v>3171</v>
      </c>
      <c r="O10" s="3348">
        <v>57811.5</v>
      </c>
      <c r="P10" s="3348">
        <v>289057.5</v>
      </c>
      <c r="Q10" s="3349">
        <v>192705</v>
      </c>
      <c r="R10" s="3342">
        <f>Q10/D10/(365*7/12)</f>
        <v>6.8571286237215672</v>
      </c>
      <c r="S10" s="3342"/>
      <c r="T10" s="3342"/>
      <c r="U10" s="3350"/>
      <c r="V10" s="3350"/>
      <c r="W10" s="3350"/>
      <c r="X10" s="3350"/>
      <c r="Y10" s="3350"/>
      <c r="Z10" s="3350"/>
      <c r="AA10" s="3350"/>
    </row>
    <row r="11" spans="1:27">
      <c r="A11" s="3331">
        <v>8</v>
      </c>
      <c r="B11" s="3332" t="s">
        <v>3133</v>
      </c>
      <c r="C11" s="3333">
        <v>113</v>
      </c>
      <c r="D11" s="3334">
        <v>131.99</v>
      </c>
      <c r="E11" s="3332" t="s">
        <v>3134</v>
      </c>
      <c r="F11" s="3335" t="s">
        <v>3146</v>
      </c>
      <c r="G11" s="3336" t="s">
        <v>3172</v>
      </c>
      <c r="H11" s="3337" t="s">
        <v>3167</v>
      </c>
      <c r="I11" s="3337" t="s">
        <v>3173</v>
      </c>
      <c r="J11" s="3337" t="s">
        <v>3174</v>
      </c>
      <c r="K11" s="3337" t="s">
        <v>3151</v>
      </c>
      <c r="L11" s="3337" t="s">
        <v>3175</v>
      </c>
      <c r="M11" s="3338" t="s">
        <v>3153</v>
      </c>
      <c r="N11" s="3337" t="s">
        <v>3176</v>
      </c>
      <c r="O11" s="3340">
        <v>108396.5</v>
      </c>
      <c r="P11" s="3340">
        <v>108396.5</v>
      </c>
      <c r="Q11" s="3341">
        <v>216793</v>
      </c>
      <c r="R11" s="3342">
        <f t="shared" si="0"/>
        <v>4.4999880646831896</v>
      </c>
      <c r="S11" s="3342"/>
      <c r="T11" s="3342"/>
      <c r="U11" s="3342"/>
      <c r="V11" s="3342"/>
      <c r="W11" s="3342"/>
      <c r="X11" s="3342"/>
      <c r="Y11" s="3342"/>
      <c r="Z11" s="3342"/>
      <c r="AA11" s="3342"/>
    </row>
    <row r="12" spans="1:27" s="3351" customFormat="1">
      <c r="A12" s="3343">
        <v>9</v>
      </c>
      <c r="B12" s="3344" t="s">
        <v>3133</v>
      </c>
      <c r="C12" s="3345">
        <v>114</v>
      </c>
      <c r="D12" s="3346">
        <v>162.61000000000001</v>
      </c>
      <c r="E12" s="3344" t="s">
        <v>3134</v>
      </c>
      <c r="F12" s="3335" t="s">
        <v>3146</v>
      </c>
      <c r="G12" s="3335" t="s">
        <v>3177</v>
      </c>
      <c r="H12" s="3337" t="s">
        <v>3167</v>
      </c>
      <c r="I12" s="3353" t="s">
        <v>3178</v>
      </c>
      <c r="J12" s="3353" t="s">
        <v>3179</v>
      </c>
      <c r="K12" s="3353" t="s">
        <v>3180</v>
      </c>
      <c r="L12" s="3353" t="s">
        <v>3181</v>
      </c>
      <c r="M12" s="3338" t="s">
        <v>3182</v>
      </c>
      <c r="N12" s="3353" t="s">
        <v>3183</v>
      </c>
      <c r="O12" s="3354">
        <v>0</v>
      </c>
      <c r="P12" s="3354">
        <v>0</v>
      </c>
      <c r="Q12" s="3349">
        <v>237408</v>
      </c>
      <c r="R12" s="3342">
        <f>Q12/D12/(365*9/12)</f>
        <v>5.3332749253824385</v>
      </c>
      <c r="S12" s="3342"/>
      <c r="T12" s="3342"/>
      <c r="U12" s="3350"/>
      <c r="V12" s="3350"/>
      <c r="W12" s="3350"/>
      <c r="X12" s="3350"/>
      <c r="Y12" s="3350"/>
      <c r="Z12" s="3350"/>
      <c r="AA12" s="3350"/>
    </row>
    <row r="13" spans="1:27" s="3322" customFormat="1">
      <c r="A13" s="3355" t="s">
        <v>3184</v>
      </c>
      <c r="B13" s="3356"/>
      <c r="C13" s="3357">
        <v>9</v>
      </c>
      <c r="D13" s="3358">
        <f>SUM(D4:D12)</f>
        <v>1398.73</v>
      </c>
      <c r="E13" s="3359"/>
      <c r="F13" s="3359"/>
      <c r="G13" s="3359"/>
      <c r="H13" s="3359"/>
      <c r="I13" s="3359"/>
      <c r="J13" s="3359"/>
      <c r="K13" s="3359"/>
      <c r="L13" s="3359"/>
      <c r="M13" s="3360"/>
      <c r="N13" s="3359"/>
      <c r="O13" s="3361">
        <f t="shared" ref="O13:Q13" si="1">SUM(O4:O12)</f>
        <v>859329.75</v>
      </c>
      <c r="P13" s="3361">
        <f t="shared" si="1"/>
        <v>1881154</v>
      </c>
      <c r="Q13" s="3362">
        <f t="shared" si="1"/>
        <v>2289093</v>
      </c>
      <c r="R13" s="3363"/>
      <c r="S13" s="3363"/>
      <c r="T13" s="3363"/>
      <c r="U13" s="3363"/>
      <c r="V13" s="3363"/>
      <c r="W13" s="3363"/>
      <c r="X13" s="3363"/>
      <c r="Y13" s="3363"/>
      <c r="Z13" s="3363"/>
      <c r="AA13" s="3363"/>
    </row>
    <row r="14" spans="1:27">
      <c r="A14" s="3364"/>
      <c r="B14" s="3364"/>
      <c r="C14" s="3364"/>
      <c r="D14" s="3364"/>
      <c r="E14" s="3364"/>
      <c r="F14" s="3364"/>
      <c r="G14" s="3364"/>
      <c r="H14" s="3364"/>
      <c r="I14" s="3364"/>
      <c r="J14" s="3364"/>
      <c r="K14" s="3364"/>
      <c r="L14" s="3364"/>
      <c r="M14" s="3364"/>
      <c r="N14" s="3364"/>
      <c r="O14" s="3342"/>
      <c r="P14" s="3342"/>
      <c r="Q14" s="3342"/>
      <c r="R14" s="3365"/>
      <c r="S14" s="3342"/>
      <c r="T14" s="3342"/>
      <c r="U14" s="3342"/>
      <c r="V14" s="3364"/>
      <c r="W14" s="3342"/>
      <c r="X14" s="3364"/>
      <c r="Y14" s="3342"/>
      <c r="Z14" s="3364"/>
      <c r="AA14" s="3342"/>
    </row>
    <row r="15" spans="1:27" ht="17.25" customHeight="1"/>
    <row r="16" spans="1:27">
      <c r="P16" s="3366"/>
    </row>
    <row r="17" spans="1:12" ht="17.25" customHeight="1"/>
    <row r="18" spans="1:12" ht="17.25" customHeight="1">
      <c r="C18">
        <v>2017</v>
      </c>
      <c r="D18">
        <v>2018</v>
      </c>
      <c r="E18">
        <v>2019</v>
      </c>
      <c r="F18">
        <v>2020</v>
      </c>
      <c r="G18" s="3367">
        <v>2021</v>
      </c>
      <c r="H18" s="3367">
        <v>2022</v>
      </c>
      <c r="I18" s="3367">
        <v>2023</v>
      </c>
      <c r="J18" s="3367">
        <v>2024</v>
      </c>
      <c r="K18" s="3368" t="s">
        <v>3185</v>
      </c>
      <c r="L18" s="3368" t="s">
        <v>3186</v>
      </c>
    </row>
    <row r="19" spans="1:12" ht="17.25" customHeight="1">
      <c r="B19">
        <f>C4</f>
        <v>101</v>
      </c>
      <c r="C19">
        <v>4.5</v>
      </c>
      <c r="D19">
        <f>C19*1.05</f>
        <v>4.7250000000000005</v>
      </c>
      <c r="E19">
        <v>4.96</v>
      </c>
      <c r="F19" s="3366">
        <f>E19*1.05</f>
        <v>5.2080000000000002</v>
      </c>
      <c r="G19" s="3366">
        <f t="shared" ref="G19:J21" si="2">F19*1.05</f>
        <v>5.4684000000000008</v>
      </c>
      <c r="H19" s="3366">
        <f t="shared" si="2"/>
        <v>5.7418200000000015</v>
      </c>
      <c r="I19" s="3366">
        <f t="shared" si="2"/>
        <v>6.0289110000000017</v>
      </c>
      <c r="J19" s="3366">
        <f t="shared" si="2"/>
        <v>6.3303565500000021</v>
      </c>
      <c r="K19" s="3366">
        <f ca="1">SUM(F19:K19)/6</f>
        <v>5.7554975100000005</v>
      </c>
      <c r="L19">
        <f>ROUND(D4/$D$13,2)</f>
        <v>0.21</v>
      </c>
    </row>
    <row r="20" spans="1:12" ht="17.25" customHeight="1">
      <c r="B20">
        <f t="shared" ref="B20:B27" si="3">C5</f>
        <v>102</v>
      </c>
      <c r="C20">
        <v>4.5</v>
      </c>
      <c r="D20">
        <v>4.7249999999999996</v>
      </c>
      <c r="E20" s="3366">
        <v>4.96</v>
      </c>
      <c r="F20" s="3366">
        <f>E20*1.05</f>
        <v>5.2080000000000002</v>
      </c>
      <c r="G20" s="3366">
        <f t="shared" si="2"/>
        <v>5.4684000000000008</v>
      </c>
      <c r="H20" s="3366">
        <f t="shared" si="2"/>
        <v>5.7418200000000015</v>
      </c>
      <c r="I20" s="3366">
        <f t="shared" si="2"/>
        <v>6.0289110000000017</v>
      </c>
      <c r="J20" s="3366">
        <f t="shared" si="2"/>
        <v>6.3303565500000021</v>
      </c>
      <c r="K20" s="3366">
        <f t="shared" ref="K20:K27" ca="1" si="4">SUM(F20:K20)/6</f>
        <v>5.7554975100000005</v>
      </c>
      <c r="L20">
        <f t="shared" ref="L20:L27" si="5">ROUND(D5/$D$13,2)</f>
        <v>0.11</v>
      </c>
    </row>
    <row r="21" spans="1:12" ht="17.25" customHeight="1">
      <c r="B21">
        <f t="shared" si="3"/>
        <v>103</v>
      </c>
      <c r="D21">
        <v>4.5</v>
      </c>
      <c r="E21" s="3366">
        <f t="shared" ref="E21:E26" si="6">R6</f>
        <v>4.4999900755111817</v>
      </c>
      <c r="F21" s="3369">
        <v>4.7249999999999996</v>
      </c>
      <c r="G21" s="3366">
        <v>4.96</v>
      </c>
      <c r="H21" s="3366">
        <v>5.2</v>
      </c>
      <c r="I21" s="3366">
        <v>5.46</v>
      </c>
      <c r="J21" s="3366">
        <f t="shared" si="2"/>
        <v>5.7330000000000005</v>
      </c>
      <c r="K21" s="3366">
        <f t="shared" ca="1" si="4"/>
        <v>5.2155999999999993</v>
      </c>
      <c r="L21">
        <v>0.11</v>
      </c>
    </row>
    <row r="22" spans="1:12" ht="17.25" customHeight="1">
      <c r="B22">
        <f t="shared" si="3"/>
        <v>107</v>
      </c>
      <c r="D22">
        <v>4.5</v>
      </c>
      <c r="E22" s="3366">
        <f t="shared" si="6"/>
        <v>4.4982589427033872</v>
      </c>
      <c r="F22" s="3369">
        <v>4.7249999999999996</v>
      </c>
      <c r="G22" s="3366">
        <v>4.96</v>
      </c>
      <c r="H22" s="3366">
        <v>5.2</v>
      </c>
      <c r="I22" s="3366">
        <f t="shared" ref="I22:J22" si="7">H22*1.05</f>
        <v>5.4600000000000009</v>
      </c>
      <c r="J22" s="3366">
        <f t="shared" si="7"/>
        <v>5.7330000000000014</v>
      </c>
      <c r="K22" s="3366">
        <f t="shared" ca="1" si="4"/>
        <v>5.2155999999999993</v>
      </c>
      <c r="L22">
        <f t="shared" si="5"/>
        <v>0.09</v>
      </c>
    </row>
    <row r="23" spans="1:12" ht="17.25" customHeight="1">
      <c r="B23">
        <f t="shared" si="3"/>
        <v>110</v>
      </c>
      <c r="C23">
        <v>4.5</v>
      </c>
      <c r="D23">
        <v>4.7249999999999996</v>
      </c>
      <c r="E23" s="3366">
        <v>4.96</v>
      </c>
      <c r="F23" s="3366">
        <v>5.21</v>
      </c>
      <c r="G23" s="3366">
        <v>5.47</v>
      </c>
      <c r="H23" s="3366">
        <f t="shared" ref="G23:J25" si="8">G23*1.05</f>
        <v>5.7435</v>
      </c>
      <c r="I23" s="3366">
        <f t="shared" si="8"/>
        <v>6.0306750000000005</v>
      </c>
      <c r="J23" s="3366">
        <f t="shared" si="8"/>
        <v>6.3322087500000004</v>
      </c>
      <c r="K23" s="3366">
        <f t="shared" ca="1" si="4"/>
        <v>5.7572767499999999</v>
      </c>
      <c r="L23">
        <f t="shared" si="5"/>
        <v>0.09</v>
      </c>
    </row>
    <row r="24" spans="1:12" ht="17.25" customHeight="1">
      <c r="B24">
        <f t="shared" si="3"/>
        <v>111</v>
      </c>
      <c r="E24" s="3366">
        <v>4</v>
      </c>
      <c r="F24" s="3366">
        <v>4</v>
      </c>
      <c r="G24" s="3366">
        <f t="shared" si="8"/>
        <v>4.2</v>
      </c>
      <c r="H24" s="3366">
        <f>G24</f>
        <v>4.2</v>
      </c>
      <c r="I24" s="3366">
        <f t="shared" si="8"/>
        <v>4.41</v>
      </c>
      <c r="J24" s="3366">
        <f>I24</f>
        <v>4.41</v>
      </c>
      <c r="K24" s="3366">
        <f t="shared" ca="1" si="4"/>
        <v>4.2439999999999998</v>
      </c>
      <c r="L24">
        <f t="shared" si="5"/>
        <v>0.09</v>
      </c>
    </row>
    <row r="25" spans="1:12" ht="17.25" customHeight="1">
      <c r="B25">
        <f t="shared" si="3"/>
        <v>112</v>
      </c>
      <c r="E25" s="3366">
        <v>4</v>
      </c>
      <c r="F25" s="3366">
        <f>E25</f>
        <v>4</v>
      </c>
      <c r="G25" s="3366">
        <f t="shared" si="8"/>
        <v>4.2</v>
      </c>
      <c r="H25" s="3366">
        <f>G25</f>
        <v>4.2</v>
      </c>
      <c r="I25" s="3366">
        <f t="shared" si="8"/>
        <v>4.41</v>
      </c>
      <c r="J25" s="3366">
        <f>I25</f>
        <v>4.41</v>
      </c>
      <c r="K25" s="3366">
        <f t="shared" ca="1" si="4"/>
        <v>4.2439999999999998</v>
      </c>
      <c r="L25">
        <f t="shared" si="5"/>
        <v>0.09</v>
      </c>
    </row>
    <row r="26" spans="1:12" ht="17.25" customHeight="1">
      <c r="B26">
        <f t="shared" si="3"/>
        <v>113</v>
      </c>
      <c r="E26" s="3366">
        <f t="shared" si="6"/>
        <v>4.4999880646831896</v>
      </c>
      <c r="F26" s="3366">
        <f>E26</f>
        <v>4.4999880646831896</v>
      </c>
      <c r="G26" s="3369">
        <f>F26*1.05</f>
        <v>4.7249874679173489</v>
      </c>
      <c r="H26" s="3366">
        <f t="shared" ref="H26:J27" si="9">G26*1.05</f>
        <v>4.9612368413132168</v>
      </c>
      <c r="I26" s="3366">
        <f t="shared" si="9"/>
        <v>5.2092986833788775</v>
      </c>
      <c r="J26" s="3366">
        <f t="shared" si="9"/>
        <v>5.4697636175478213</v>
      </c>
      <c r="K26" s="3366">
        <f t="shared" ca="1" si="4"/>
        <v>4.9730549349680899</v>
      </c>
      <c r="L26">
        <f t="shared" si="5"/>
        <v>0.09</v>
      </c>
    </row>
    <row r="27" spans="1:12" ht="17.25" customHeight="1">
      <c r="B27">
        <f t="shared" si="3"/>
        <v>114</v>
      </c>
      <c r="E27" s="3366">
        <v>4</v>
      </c>
      <c r="F27" s="3366">
        <v>4</v>
      </c>
      <c r="G27" s="3366">
        <v>4.2</v>
      </c>
      <c r="H27" s="3366">
        <v>4.41</v>
      </c>
      <c r="I27" s="3366">
        <v>4.63</v>
      </c>
      <c r="J27" s="3366">
        <f t="shared" si="9"/>
        <v>4.8615000000000004</v>
      </c>
      <c r="K27" s="3366">
        <f t="shared" ca="1" si="4"/>
        <v>4.4203000000000001</v>
      </c>
      <c r="L27">
        <f t="shared" si="5"/>
        <v>0.12</v>
      </c>
    </row>
    <row r="28" spans="1:12" ht="17.25" customHeight="1">
      <c r="E28" s="3366">
        <f>ROUND(E19*L19+E20*L20+E21*L21+E22*L22+E23*L23+E24*L24+E25*L25+E26*L26+E27*L27,2)</f>
        <v>4.54</v>
      </c>
      <c r="F28" s="3366">
        <f>ROUND(F19*L19+F20*L20+F21*L21+F22*L22+F23*L23+F24*L24+F25*L25+F26*L26+F27*L27,2)</f>
        <v>4.6900000000000004</v>
      </c>
      <c r="G28" s="3366"/>
      <c r="K28" s="3366">
        <f ca="1">ROUND(K19*L19+K20*L20+K21*L21+K22*L22+K23*L23+K24*L24+K25*L25+K26*L26+K27*L27,2)</f>
        <v>5.14</v>
      </c>
    </row>
    <row r="29" spans="1:12" ht="17.25" customHeight="1"/>
    <row r="30" spans="1:12" ht="17.25" customHeight="1"/>
    <row r="31" spans="1:12" ht="17.25" hidden="1" customHeight="1">
      <c r="A31" s="3370" t="s">
        <v>3187</v>
      </c>
      <c r="B31" s="3370"/>
      <c r="C31" s="3370"/>
      <c r="D31" s="3370"/>
      <c r="E31" s="3370"/>
      <c r="F31" s="3370"/>
      <c r="G31" s="3370"/>
      <c r="H31" s="3370"/>
      <c r="I31" s="3370"/>
      <c r="J31" s="3370"/>
      <c r="K31" s="3370"/>
      <c r="L31" s="3370"/>
    </row>
    <row r="32" spans="1:12" ht="17.25" hidden="1" customHeight="1">
      <c r="A32" s="3371" t="s">
        <v>3114</v>
      </c>
      <c r="B32" s="3372" t="s">
        <v>3115</v>
      </c>
      <c r="C32" s="3372" t="s">
        <v>3116</v>
      </c>
      <c r="D32" s="3372" t="s">
        <v>3117</v>
      </c>
      <c r="E32" s="3372" t="s">
        <v>3118</v>
      </c>
      <c r="F32" s="3373" t="s">
        <v>3188</v>
      </c>
      <c r="G32" s="3373" t="s">
        <v>3189</v>
      </c>
      <c r="H32" s="3374" t="s">
        <v>3190</v>
      </c>
      <c r="I32" s="3375"/>
      <c r="J32" s="3376"/>
      <c r="K32" s="3377" t="s">
        <v>3191</v>
      </c>
      <c r="L32" s="3378" t="s">
        <v>3192</v>
      </c>
    </row>
    <row r="33" spans="1:16" ht="17.25" hidden="1" customHeight="1">
      <c r="A33" s="3379"/>
      <c r="B33" s="3380"/>
      <c r="C33" s="3380"/>
      <c r="D33" s="3380"/>
      <c r="E33" s="3380"/>
      <c r="F33" s="3380"/>
      <c r="G33" s="3381"/>
      <c r="H33" s="3382" t="s">
        <v>3193</v>
      </c>
      <c r="I33" s="3382" t="s">
        <v>3194</v>
      </c>
      <c r="J33" s="3382" t="s">
        <v>3195</v>
      </c>
      <c r="K33" s="3383"/>
      <c r="L33" s="3384"/>
    </row>
    <row r="34" spans="1:16" ht="36" hidden="1">
      <c r="A34" s="3385">
        <v>1</v>
      </c>
      <c r="B34" s="3386" t="s">
        <v>3133</v>
      </c>
      <c r="C34" s="3387">
        <v>101</v>
      </c>
      <c r="D34" s="3388">
        <v>292.33999999999997</v>
      </c>
      <c r="E34" s="3386" t="s">
        <v>3134</v>
      </c>
      <c r="F34" s="3386" t="s">
        <v>3196</v>
      </c>
      <c r="G34" s="3389" t="s">
        <v>3197</v>
      </c>
      <c r="H34" s="3390" t="s">
        <v>3198</v>
      </c>
      <c r="I34" s="3390" t="s">
        <v>3199</v>
      </c>
      <c r="J34" s="3390" t="s">
        <v>3200</v>
      </c>
      <c r="K34" s="3391" t="s">
        <v>3201</v>
      </c>
      <c r="L34" s="3392">
        <v>516981</v>
      </c>
    </row>
    <row r="35" spans="1:16" ht="36" hidden="1">
      <c r="A35" s="3385">
        <v>2</v>
      </c>
      <c r="B35" s="3386" t="s">
        <v>3133</v>
      </c>
      <c r="C35" s="3387">
        <v>102</v>
      </c>
      <c r="D35" s="3388">
        <v>156.91999999999999</v>
      </c>
      <c r="E35" s="3386" t="s">
        <v>3134</v>
      </c>
      <c r="F35" s="3386" t="s">
        <v>3196</v>
      </c>
      <c r="G35" s="3389" t="s">
        <v>3197</v>
      </c>
      <c r="H35" s="3390" t="s">
        <v>3198</v>
      </c>
      <c r="I35" s="3390" t="s">
        <v>3199</v>
      </c>
      <c r="J35" s="3390" t="s">
        <v>3200</v>
      </c>
      <c r="K35" s="3390" t="s">
        <v>3202</v>
      </c>
      <c r="L35" s="3392">
        <v>280723</v>
      </c>
    </row>
    <row r="36" spans="1:16" ht="17.25" hidden="1" customHeight="1">
      <c r="A36" s="3385">
        <v>3</v>
      </c>
      <c r="B36" s="3386" t="s">
        <v>3133</v>
      </c>
      <c r="C36" s="3387">
        <v>103</v>
      </c>
      <c r="D36" s="3388">
        <v>144.93</v>
      </c>
      <c r="E36" s="3386" t="s">
        <v>3134</v>
      </c>
      <c r="F36" s="3386" t="s">
        <v>3196</v>
      </c>
      <c r="G36" s="3386" t="s">
        <v>3203</v>
      </c>
      <c r="H36" s="3390" t="s">
        <v>3204</v>
      </c>
      <c r="I36" s="3390" t="s">
        <v>3205</v>
      </c>
      <c r="J36" s="3390" t="s">
        <v>3206</v>
      </c>
      <c r="K36" s="3390" t="s">
        <v>3207</v>
      </c>
      <c r="L36" s="3392">
        <v>238047</v>
      </c>
    </row>
    <row r="37" spans="1:16" ht="17.25" hidden="1" customHeight="1">
      <c r="A37" s="3385">
        <v>4</v>
      </c>
      <c r="B37" s="3386" t="s">
        <v>3133</v>
      </c>
      <c r="C37" s="3386">
        <v>107</v>
      </c>
      <c r="D37" s="3388">
        <v>126.36</v>
      </c>
      <c r="E37" s="3386" t="s">
        <v>3134</v>
      </c>
      <c r="F37" s="3386" t="s">
        <v>3196</v>
      </c>
      <c r="G37" s="3386" t="s">
        <v>3208</v>
      </c>
      <c r="H37" s="3390" t="s">
        <v>3209</v>
      </c>
      <c r="I37" s="3390" t="s">
        <v>3210</v>
      </c>
      <c r="J37" s="3390" t="s">
        <v>3211</v>
      </c>
      <c r="K37" s="3390" t="s">
        <v>3207</v>
      </c>
      <c r="L37" s="3392">
        <v>207466</v>
      </c>
    </row>
    <row r="38" spans="1:16" ht="17.25" hidden="1" customHeight="1">
      <c r="A38" s="3385">
        <v>5</v>
      </c>
      <c r="B38" s="3386" t="s">
        <v>3133</v>
      </c>
      <c r="C38" s="3387">
        <v>110</v>
      </c>
      <c r="D38" s="3388">
        <v>119.6</v>
      </c>
      <c r="E38" s="3386" t="s">
        <v>3134</v>
      </c>
      <c r="F38" s="3386" t="s">
        <v>3196</v>
      </c>
      <c r="G38" s="3386" t="s">
        <v>3212</v>
      </c>
      <c r="H38" s="3390" t="s">
        <v>3213</v>
      </c>
      <c r="I38" s="3390" t="s">
        <v>3199</v>
      </c>
      <c r="J38" s="3390" t="s">
        <v>3214</v>
      </c>
      <c r="K38" s="3390" t="s">
        <v>3202</v>
      </c>
      <c r="L38" s="3392">
        <v>206265</v>
      </c>
    </row>
    <row r="39" spans="1:16" ht="36" hidden="1">
      <c r="A39" s="3385">
        <v>6</v>
      </c>
      <c r="B39" s="3386" t="s">
        <v>3133</v>
      </c>
      <c r="C39" s="3387">
        <v>111</v>
      </c>
      <c r="D39" s="3388">
        <v>131.99</v>
      </c>
      <c r="E39" s="3386" t="s">
        <v>3134</v>
      </c>
      <c r="F39" s="3386" t="s">
        <v>3196</v>
      </c>
      <c r="G39" s="3389" t="s">
        <v>3215</v>
      </c>
      <c r="H39" s="3390" t="s">
        <v>3216</v>
      </c>
      <c r="I39" s="3390" t="s">
        <v>3217</v>
      </c>
      <c r="J39" s="3390" t="s">
        <v>3218</v>
      </c>
      <c r="K39" s="3393" t="s">
        <v>3219</v>
      </c>
      <c r="L39" s="3392">
        <v>192705</v>
      </c>
    </row>
    <row r="40" spans="1:16" ht="36" hidden="1">
      <c r="A40" s="3385">
        <v>7</v>
      </c>
      <c r="B40" s="3386" t="s">
        <v>3133</v>
      </c>
      <c r="C40" s="3387">
        <v>112</v>
      </c>
      <c r="D40" s="3388">
        <v>131.99</v>
      </c>
      <c r="E40" s="3386" t="s">
        <v>3134</v>
      </c>
      <c r="F40" s="3386" t="s">
        <v>3196</v>
      </c>
      <c r="G40" s="3389" t="s">
        <v>3215</v>
      </c>
      <c r="H40" s="3390" t="s">
        <v>3216</v>
      </c>
      <c r="I40" s="3390" t="s">
        <v>3217</v>
      </c>
      <c r="J40" s="3390" t="s">
        <v>3218</v>
      </c>
      <c r="K40" s="3393" t="s">
        <v>3219</v>
      </c>
      <c r="L40" s="3392">
        <v>192705</v>
      </c>
    </row>
    <row r="41" spans="1:16" ht="17.25" hidden="1" customHeight="1">
      <c r="A41" s="3385">
        <v>8</v>
      </c>
      <c r="B41" s="3386" t="s">
        <v>3133</v>
      </c>
      <c r="C41" s="3387">
        <v>113</v>
      </c>
      <c r="D41" s="3388">
        <v>131.99</v>
      </c>
      <c r="E41" s="3386" t="s">
        <v>3134</v>
      </c>
      <c r="F41" s="3386" t="s">
        <v>3196</v>
      </c>
      <c r="G41" s="3386" t="s">
        <v>3220</v>
      </c>
      <c r="H41" s="3390" t="s">
        <v>3216</v>
      </c>
      <c r="I41" s="3390" t="s">
        <v>3221</v>
      </c>
      <c r="J41" s="3390" t="s">
        <v>3222</v>
      </c>
      <c r="K41" s="3390" t="s">
        <v>3223</v>
      </c>
      <c r="L41" s="3392">
        <v>216793</v>
      </c>
    </row>
    <row r="42" spans="1:16" ht="36" hidden="1">
      <c r="A42" s="3385">
        <v>9</v>
      </c>
      <c r="B42" s="3386" t="s">
        <v>3133</v>
      </c>
      <c r="C42" s="3387">
        <v>114</v>
      </c>
      <c r="D42" s="3388">
        <v>162.61000000000001</v>
      </c>
      <c r="E42" s="3386" t="s">
        <v>3134</v>
      </c>
      <c r="F42" s="3386" t="s">
        <v>3196</v>
      </c>
      <c r="G42" s="3386" t="s">
        <v>3224</v>
      </c>
      <c r="H42" s="3390" t="s">
        <v>3216</v>
      </c>
      <c r="I42" s="3394" t="s">
        <v>3225</v>
      </c>
      <c r="J42" s="3388" t="s">
        <v>3226</v>
      </c>
      <c r="K42" s="3395" t="s">
        <v>3227</v>
      </c>
      <c r="L42" s="3392">
        <v>237408</v>
      </c>
    </row>
    <row r="43" spans="1:16" s="3405" customFormat="1" ht="17.25" hidden="1" customHeight="1">
      <c r="A43" s="3396" t="s">
        <v>3228</v>
      </c>
      <c r="B43" s="3397"/>
      <c r="C43" s="3398"/>
      <c r="D43" s="3399">
        <f>SUM(D34:D42)</f>
        <v>1398.73</v>
      </c>
      <c r="E43" s="3400"/>
      <c r="F43" s="3400"/>
      <c r="G43" s="3400"/>
      <c r="H43" s="3400"/>
      <c r="I43" s="3400"/>
      <c r="J43" s="3400"/>
      <c r="K43" s="3400"/>
      <c r="L43" s="3401">
        <f>SUM(L34:L42)</f>
        <v>2289093</v>
      </c>
      <c r="M43" s="3402"/>
      <c r="N43" s="3403"/>
      <c r="O43" s="3404"/>
      <c r="P43" s="3404"/>
    </row>
    <row r="44" spans="1:16" ht="17.25" hidden="1" customHeight="1"/>
    <row r="45" spans="1:16" ht="17.25" customHeight="1"/>
    <row r="46" spans="1:16" ht="17.25" customHeight="1"/>
    <row r="47" spans="1:16" ht="17.25" customHeight="1"/>
    <row r="48" spans="1:16" ht="17.25" customHeight="1">
      <c r="A48" s="3370" t="s">
        <v>3187</v>
      </c>
      <c r="B48" s="3370"/>
      <c r="C48" s="3370"/>
      <c r="D48" s="3370"/>
      <c r="E48" s="3370"/>
      <c r="F48" s="3370"/>
      <c r="G48" s="3370"/>
      <c r="H48" s="3370"/>
      <c r="I48" s="3370"/>
      <c r="J48" s="3370"/>
      <c r="K48" s="3370"/>
      <c r="L48" s="3370"/>
    </row>
    <row r="49" spans="1:12" ht="17.25" customHeight="1">
      <c r="A49" s="3371" t="s">
        <v>3114</v>
      </c>
      <c r="B49" s="3372" t="s">
        <v>3115</v>
      </c>
      <c r="C49" s="3372" t="s">
        <v>3116</v>
      </c>
      <c r="D49" s="3372" t="s">
        <v>3117</v>
      </c>
      <c r="E49" s="3372" t="s">
        <v>3118</v>
      </c>
      <c r="F49" s="3373" t="s">
        <v>3188</v>
      </c>
      <c r="G49" s="3373" t="s">
        <v>3189</v>
      </c>
      <c r="H49" s="3374" t="s">
        <v>3190</v>
      </c>
      <c r="I49" s="3375"/>
      <c r="J49" s="3376"/>
      <c r="K49" s="3377" t="s">
        <v>3191</v>
      </c>
      <c r="L49" s="3378" t="s">
        <v>3229</v>
      </c>
    </row>
    <row r="50" spans="1:12" ht="17.25" customHeight="1">
      <c r="A50" s="3379"/>
      <c r="B50" s="3380"/>
      <c r="C50" s="3380"/>
      <c r="D50" s="3380"/>
      <c r="E50" s="3380"/>
      <c r="F50" s="3380"/>
      <c r="G50" s="3381"/>
      <c r="H50" s="3382" t="s">
        <v>3230</v>
      </c>
      <c r="I50" s="3382" t="s">
        <v>3231</v>
      </c>
      <c r="J50" s="3382" t="s">
        <v>3232</v>
      </c>
      <c r="K50" s="3383"/>
      <c r="L50" s="3384"/>
    </row>
    <row r="51" spans="1:12" ht="17.25" customHeight="1">
      <c r="A51" s="3385">
        <v>1</v>
      </c>
      <c r="B51" s="3386" t="s">
        <v>3133</v>
      </c>
      <c r="C51" s="3387">
        <v>101</v>
      </c>
      <c r="D51" s="3388">
        <v>292.33999999999997</v>
      </c>
      <c r="E51" s="3386" t="s">
        <v>3134</v>
      </c>
      <c r="F51" s="3386" t="s">
        <v>3144</v>
      </c>
      <c r="G51" s="3389" t="s">
        <v>3136</v>
      </c>
      <c r="H51" s="3390" t="s">
        <v>3137</v>
      </c>
      <c r="I51" s="3390" t="s">
        <v>3138</v>
      </c>
      <c r="J51" s="3390" t="s">
        <v>3139</v>
      </c>
      <c r="K51" s="3391" t="s">
        <v>3143</v>
      </c>
      <c r="L51" s="3392">
        <v>4.96</v>
      </c>
    </row>
    <row r="52" spans="1:12" ht="17.25" customHeight="1">
      <c r="A52" s="3385">
        <v>2</v>
      </c>
      <c r="B52" s="3386" t="s">
        <v>3133</v>
      </c>
      <c r="C52" s="3387">
        <v>102</v>
      </c>
      <c r="D52" s="3388">
        <v>156.91999999999999</v>
      </c>
      <c r="E52" s="3386" t="s">
        <v>3134</v>
      </c>
      <c r="F52" s="3386" t="s">
        <v>3144</v>
      </c>
      <c r="G52" s="3389" t="s">
        <v>3136</v>
      </c>
      <c r="H52" s="3390" t="s">
        <v>3137</v>
      </c>
      <c r="I52" s="3390" t="s">
        <v>3138</v>
      </c>
      <c r="J52" s="3390" t="s">
        <v>3139</v>
      </c>
      <c r="K52" s="3390" t="s">
        <v>3233</v>
      </c>
      <c r="L52" s="3392">
        <v>4.96</v>
      </c>
    </row>
    <row r="53" spans="1:12" ht="17.25" customHeight="1">
      <c r="A53" s="3385">
        <v>3</v>
      </c>
      <c r="B53" s="3386" t="s">
        <v>3133</v>
      </c>
      <c r="C53" s="3387">
        <v>103</v>
      </c>
      <c r="D53" s="3388">
        <v>144.93</v>
      </c>
      <c r="E53" s="3386" t="s">
        <v>3134</v>
      </c>
      <c r="F53" s="3386" t="s">
        <v>3144</v>
      </c>
      <c r="G53" s="3386" t="s">
        <v>3234</v>
      </c>
      <c r="H53" s="3390" t="s">
        <v>3235</v>
      </c>
      <c r="I53" s="3390" t="s">
        <v>3236</v>
      </c>
      <c r="J53" s="3390" t="s">
        <v>3237</v>
      </c>
      <c r="K53" s="3390" t="s">
        <v>3238</v>
      </c>
      <c r="L53" s="3392">
        <v>4.5</v>
      </c>
    </row>
    <row r="54" spans="1:12" ht="17.25" customHeight="1">
      <c r="A54" s="3385">
        <v>4</v>
      </c>
      <c r="B54" s="3386" t="s">
        <v>3133</v>
      </c>
      <c r="C54" s="3386">
        <v>107</v>
      </c>
      <c r="D54" s="3388">
        <v>126.36</v>
      </c>
      <c r="E54" s="3386" t="s">
        <v>3134</v>
      </c>
      <c r="F54" s="3386" t="s">
        <v>3144</v>
      </c>
      <c r="G54" s="3386" t="s">
        <v>3239</v>
      </c>
      <c r="H54" s="3390" t="s">
        <v>3240</v>
      </c>
      <c r="I54" s="3390" t="s">
        <v>3241</v>
      </c>
      <c r="J54" s="3390" t="s">
        <v>3242</v>
      </c>
      <c r="K54" s="3390" t="s">
        <v>3238</v>
      </c>
      <c r="L54" s="3392">
        <v>4.5</v>
      </c>
    </row>
    <row r="55" spans="1:12" ht="17.25" customHeight="1">
      <c r="A55" s="3385">
        <v>5</v>
      </c>
      <c r="B55" s="3386" t="s">
        <v>3133</v>
      </c>
      <c r="C55" s="3387">
        <v>110</v>
      </c>
      <c r="D55" s="3388">
        <v>119.6</v>
      </c>
      <c r="E55" s="3386" t="s">
        <v>3134</v>
      </c>
      <c r="F55" s="3386" t="s">
        <v>3144</v>
      </c>
      <c r="G55" s="3386" t="s">
        <v>3243</v>
      </c>
      <c r="H55" s="3390" t="s">
        <v>3244</v>
      </c>
      <c r="I55" s="3390" t="s">
        <v>3138</v>
      </c>
      <c r="J55" s="3390" t="s">
        <v>3245</v>
      </c>
      <c r="K55" s="3390" t="s">
        <v>3233</v>
      </c>
      <c r="L55" s="3392">
        <v>4.96</v>
      </c>
    </row>
    <row r="56" spans="1:12" ht="17.25" customHeight="1">
      <c r="A56" s="3385">
        <v>6</v>
      </c>
      <c r="B56" s="3386" t="s">
        <v>3133</v>
      </c>
      <c r="C56" s="3387">
        <v>111</v>
      </c>
      <c r="D56" s="3388">
        <v>131.99</v>
      </c>
      <c r="E56" s="3386" t="s">
        <v>3134</v>
      </c>
      <c r="F56" s="3386" t="s">
        <v>3144</v>
      </c>
      <c r="G56" s="3389" t="s">
        <v>3246</v>
      </c>
      <c r="H56" s="3390" t="s">
        <v>3247</v>
      </c>
      <c r="I56" s="3390" t="s">
        <v>3248</v>
      </c>
      <c r="J56" s="3390" t="s">
        <v>3249</v>
      </c>
      <c r="K56" s="3393" t="s">
        <v>3250</v>
      </c>
      <c r="L56" s="3392">
        <v>4</v>
      </c>
    </row>
    <row r="57" spans="1:12" ht="17.25" customHeight="1">
      <c r="A57" s="3385">
        <v>7</v>
      </c>
      <c r="B57" s="3386" t="s">
        <v>3133</v>
      </c>
      <c r="C57" s="3387">
        <v>112</v>
      </c>
      <c r="D57" s="3388">
        <v>131.99</v>
      </c>
      <c r="E57" s="3386" t="s">
        <v>3134</v>
      </c>
      <c r="F57" s="3386" t="s">
        <v>3144</v>
      </c>
      <c r="G57" s="3389" t="s">
        <v>3246</v>
      </c>
      <c r="H57" s="3390" t="s">
        <v>3247</v>
      </c>
      <c r="I57" s="3390" t="s">
        <v>3248</v>
      </c>
      <c r="J57" s="3390" t="s">
        <v>3249</v>
      </c>
      <c r="K57" s="3393" t="s">
        <v>3250</v>
      </c>
      <c r="L57" s="3392">
        <v>4</v>
      </c>
    </row>
    <row r="58" spans="1:12" ht="17.25" customHeight="1">
      <c r="A58" s="3385">
        <v>8</v>
      </c>
      <c r="B58" s="3386" t="s">
        <v>3133</v>
      </c>
      <c r="C58" s="3387">
        <v>113</v>
      </c>
      <c r="D58" s="3388">
        <v>131.99</v>
      </c>
      <c r="E58" s="3386" t="s">
        <v>3134</v>
      </c>
      <c r="F58" s="3386" t="s">
        <v>3144</v>
      </c>
      <c r="G58" s="3386" t="s">
        <v>3251</v>
      </c>
      <c r="H58" s="3390" t="s">
        <v>3247</v>
      </c>
      <c r="I58" s="3390" t="s">
        <v>3252</v>
      </c>
      <c r="J58" s="3390" t="s">
        <v>3253</v>
      </c>
      <c r="K58" s="3390" t="s">
        <v>3254</v>
      </c>
      <c r="L58" s="3392">
        <v>4.5</v>
      </c>
    </row>
    <row r="59" spans="1:12" ht="17.25" customHeight="1">
      <c r="A59" s="3385">
        <v>9</v>
      </c>
      <c r="B59" s="3386" t="s">
        <v>3133</v>
      </c>
      <c r="C59" s="3387">
        <v>114</v>
      </c>
      <c r="D59" s="3388">
        <v>162.61000000000001</v>
      </c>
      <c r="E59" s="3386" t="s">
        <v>3134</v>
      </c>
      <c r="F59" s="3386" t="s">
        <v>3144</v>
      </c>
      <c r="G59" s="3386" t="s">
        <v>3255</v>
      </c>
      <c r="H59" s="3390" t="s">
        <v>3247</v>
      </c>
      <c r="I59" s="3394" t="s">
        <v>3256</v>
      </c>
      <c r="J59" s="3388" t="s">
        <v>3257</v>
      </c>
      <c r="K59" s="3395" t="s">
        <v>3258</v>
      </c>
      <c r="L59" s="3392">
        <v>4</v>
      </c>
    </row>
    <row r="60" spans="1:12" ht="17.25" customHeight="1">
      <c r="A60" s="3396" t="s">
        <v>3259</v>
      </c>
      <c r="B60" s="3397"/>
      <c r="C60" s="3398"/>
      <c r="D60" s="3399">
        <f>SUM(D51:D59)</f>
        <v>1398.73</v>
      </c>
      <c r="E60" s="3400"/>
      <c r="F60" s="3400"/>
      <c r="G60" s="3400"/>
      <c r="H60" s="3400"/>
      <c r="I60" s="3400"/>
      <c r="J60" s="3400"/>
      <c r="K60" s="3400"/>
      <c r="L60" s="3401"/>
    </row>
    <row r="61" spans="1:12" ht="17.25" customHeight="1"/>
  </sheetData>
  <mergeCells count="39">
    <mergeCell ref="G49:G50"/>
    <mergeCell ref="H49:J49"/>
    <mergeCell ref="K49:K50"/>
    <mergeCell ref="L49:L50"/>
    <mergeCell ref="A60:B60"/>
    <mergeCell ref="A49:A50"/>
    <mergeCell ref="B49:B50"/>
    <mergeCell ref="C49:C50"/>
    <mergeCell ref="D49:D50"/>
    <mergeCell ref="E49:E50"/>
    <mergeCell ref="F49:F50"/>
    <mergeCell ref="G32:G33"/>
    <mergeCell ref="H32:J32"/>
    <mergeCell ref="K32:K33"/>
    <mergeCell ref="L32:L33"/>
    <mergeCell ref="A43:B43"/>
    <mergeCell ref="A48:L48"/>
    <mergeCell ref="P1:P3"/>
    <mergeCell ref="Q1:Q3"/>
    <mergeCell ref="A13:B13"/>
    <mergeCell ref="A31:L31"/>
    <mergeCell ref="A32:A33"/>
    <mergeCell ref="B32:B33"/>
    <mergeCell ref="C32:C33"/>
    <mergeCell ref="D32:D33"/>
    <mergeCell ref="E32:E33"/>
    <mergeCell ref="F32:F33"/>
    <mergeCell ref="G1:G3"/>
    <mergeCell ref="H1:J2"/>
    <mergeCell ref="K1:L2"/>
    <mergeCell ref="M1:M3"/>
    <mergeCell ref="N1:N3"/>
    <mergeCell ref="O1:O3"/>
    <mergeCell ref="A1:A3"/>
    <mergeCell ref="B1:B3"/>
    <mergeCell ref="C1:C3"/>
    <mergeCell ref="D1:D3"/>
    <mergeCell ref="E1:E3"/>
    <mergeCell ref="F1:F3"/>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1635</v>
      </c>
      <c r="B2" s="3002" t="s">
        <v>1636</v>
      </c>
      <c r="C2" s="3002" t="s">
        <v>1637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4" t="s">
        <v>1632</v>
      </c>
      <c r="E3" s="1044" t="s">
        <v>1638</v>
      </c>
      <c r="F3" s="1044" t="s">
        <v>1632</v>
      </c>
      <c r="G3" s="1044" t="s">
        <v>1633</v>
      </c>
      <c r="H3" s="1044" t="s">
        <v>1632</v>
      </c>
      <c r="I3" s="1044" t="s">
        <v>1633</v>
      </c>
    </row>
    <row r="4" spans="1:9" ht="15">
      <c r="A4" s="1964" t="str">
        <f>项目基本情况!S2</f>
        <v>北京市房地产</v>
      </c>
      <c r="B4" s="1044">
        <f>项目基本情况!C17</f>
        <v>1398.7300000000002</v>
      </c>
      <c r="C4" s="1044">
        <f>项目基本情况!C18</f>
        <v>1281.4000000000001</v>
      </c>
      <c r="D4" s="1044">
        <f ca="1">结果表!D118</f>
        <v>303</v>
      </c>
      <c r="E4" s="1044">
        <f ca="1">结果表!E118</f>
        <v>2166</v>
      </c>
      <c r="F4" s="1044">
        <f ca="1">结果表!F118</f>
        <v>4024</v>
      </c>
      <c r="G4" s="1044">
        <f ca="1">结果表!G118</f>
        <v>28769</v>
      </c>
      <c r="H4" s="1044">
        <f ca="1">结果表!H118</f>
        <v>4327</v>
      </c>
      <c r="I4" s="1044">
        <f ca="1">结果表!I118</f>
        <v>30935</v>
      </c>
    </row>
    <row r="5" spans="1:9" ht="30" customHeight="1">
      <c r="A5" s="2996" t="s">
        <v>1634</v>
      </c>
      <c r="B5" s="2996"/>
      <c r="C5" s="2996"/>
      <c r="D5" s="2997" t="str">
        <f ca="1">结果表!D119</f>
        <v>叁佰零叁万元整</v>
      </c>
      <c r="E5" s="2997"/>
      <c r="F5" s="2997" t="str">
        <f ca="1">结果表!F119</f>
        <v>肆仟零贰拾肆万元整</v>
      </c>
      <c r="G5" s="2997"/>
      <c r="H5" s="2997" t="str">
        <f ca="1">结果表!H119</f>
        <v>肆仟叁佰贰拾柒万元整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1634</v>
      </c>
      <c r="B7" s="2996"/>
      <c r="C7" s="2996"/>
      <c r="D7" s="2998" t="str">
        <f>结果表!D121</f>
        <v>零元整</v>
      </c>
      <c r="E7" s="2999"/>
      <c r="F7" s="2999"/>
      <c r="G7" s="2999"/>
      <c r="H7" s="2999"/>
      <c r="I7" s="3000"/>
    </row>
    <row r="8" spans="1:9" ht="15.75">
      <c r="A8" s="2995" t="str">
        <f>结果表!A122</f>
        <v>房地产抵押价值</v>
      </c>
      <c r="B8" s="2995"/>
      <c r="C8" s="2995"/>
      <c r="D8" s="2995">
        <f ca="1">结果表!D122</f>
        <v>4327</v>
      </c>
      <c r="E8" s="2995"/>
      <c r="F8" s="2995"/>
      <c r="G8" s="2995"/>
      <c r="H8" s="2995"/>
      <c r="I8" s="2995"/>
    </row>
    <row r="9" spans="1:9" ht="15">
      <c r="A9" s="2996" t="s">
        <v>1634</v>
      </c>
      <c r="B9" s="2996"/>
      <c r="C9" s="2996"/>
      <c r="D9" s="2997" t="str">
        <f ca="1">结果表!D123</f>
        <v>肆仟叁佰贰拾柒万元整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1634</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1634</v>
      </c>
      <c r="B13" s="2992"/>
      <c r="C13" s="2992"/>
      <c r="D13" s="2993" t="e">
        <f>结果表!D127</f>
        <v>#VALUE!</v>
      </c>
      <c r="E13" s="2993"/>
      <c r="F13" s="2993"/>
      <c r="G13" s="2993"/>
      <c r="H13" s="2993"/>
      <c r="I13" s="2993"/>
    </row>
    <row r="14" spans="1:9" ht="15" thickTop="1">
      <c r="A14" s="2994" t="s">
        <v>1639</v>
      </c>
      <c r="B14" s="2994"/>
      <c r="C14" s="2994"/>
      <c r="D14" s="2994"/>
      <c r="E14" s="2994"/>
      <c r="F14" s="2994"/>
      <c r="G14" s="2994"/>
      <c r="H14" s="2994"/>
      <c r="I14" s="299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9" t="s">
        <v>1656</v>
      </c>
      <c r="B1" s="3009"/>
      <c r="C1" s="3009"/>
      <c r="D1" s="3009"/>
    </row>
    <row r="2" spans="1:4" ht="18">
      <c r="A2" s="3010" t="s">
        <v>1640</v>
      </c>
      <c r="B2" s="3010"/>
      <c r="C2" s="3010"/>
      <c r="D2" s="3010"/>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10" t="s">
        <v>1646</v>
      </c>
      <c r="B6" s="3010"/>
      <c r="C6" s="3010"/>
      <c r="D6" s="301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11" t="s">
        <v>1649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1650</v>
      </c>
      <c r="B16" s="3005"/>
      <c r="C16" s="3005"/>
      <c r="D16" s="3005"/>
    </row>
    <row r="17" spans="1:4" ht="144" customHeight="1">
      <c r="A17" s="3005" t="s">
        <v>1651</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1652</v>
      </c>
      <c r="B22" s="3007"/>
      <c r="C22" s="3007"/>
      <c r="D22" s="300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17" t="s">
        <v>1663</v>
      </c>
      <c r="B15" s="3012" t="s">
        <v>136</v>
      </c>
      <c r="C15" s="3013"/>
    </row>
    <row r="16" spans="1:7" ht="13.5">
      <c r="A16" s="3018"/>
      <c r="B16" s="3012" t="s">
        <v>69</v>
      </c>
      <c r="C16" s="3013"/>
    </row>
    <row r="17" spans="1:3" ht="13.5">
      <c r="A17" s="3018"/>
      <c r="B17" s="3015" t="s">
        <v>1664</v>
      </c>
      <c r="C17" s="1991" t="s">
        <v>1663</v>
      </c>
    </row>
    <row r="18" spans="1:3" ht="13.5">
      <c r="A18" s="3018"/>
      <c r="B18" s="3015"/>
      <c r="C18" s="1991" t="s">
        <v>1665</v>
      </c>
    </row>
    <row r="19" spans="1:3" ht="13.5">
      <c r="A19" s="3018"/>
      <c r="B19" s="3015"/>
      <c r="C19" s="1991" t="s">
        <v>1666</v>
      </c>
    </row>
    <row r="20" spans="1:3" ht="13.5">
      <c r="A20" s="3019"/>
      <c r="B20" s="3014" t="s">
        <v>1667</v>
      </c>
      <c r="C20" s="3013"/>
    </row>
    <row r="21" spans="1:3" ht="13.5">
      <c r="A21" s="1992" t="s">
        <v>1668</v>
      </c>
      <c r="B21" s="1993"/>
      <c r="C21" s="1994"/>
    </row>
    <row r="22" spans="1:3" ht="13.5">
      <c r="A22" s="3016" t="s">
        <v>1669</v>
      </c>
      <c r="B22" s="3014" t="s">
        <v>1670</v>
      </c>
      <c r="C22" s="3013"/>
    </row>
    <row r="23" spans="1:3" ht="13.5">
      <c r="A23" s="3016"/>
      <c r="B23" s="3014" t="s">
        <v>1671</v>
      </c>
      <c r="C23" s="3013"/>
    </row>
    <row r="24" spans="1:3" ht="13.5">
      <c r="A24" s="3016"/>
      <c r="B24" s="3014" t="s">
        <v>1672</v>
      </c>
      <c r="C24" s="3013"/>
    </row>
    <row r="25" spans="1:3" ht="13.5">
      <c r="A25" s="3016"/>
      <c r="B25" s="3015" t="s">
        <v>1673</v>
      </c>
      <c r="C25" s="1991" t="s">
        <v>1674</v>
      </c>
    </row>
    <row r="26" spans="1:3" ht="13.5">
      <c r="A26" s="3016"/>
      <c r="B26" s="3015"/>
      <c r="C26" s="1991" t="s">
        <v>1675</v>
      </c>
    </row>
    <row r="27" spans="1:3" ht="13.5">
      <c r="A27" s="3016"/>
      <c r="B27" s="3015"/>
      <c r="C27" s="1991" t="s">
        <v>1676</v>
      </c>
    </row>
    <row r="28" spans="1:3" ht="13.5">
      <c r="A28" s="3016"/>
      <c r="B28" s="3015"/>
      <c r="C28" s="1991" t="s">
        <v>1677</v>
      </c>
    </row>
    <row r="29" spans="1:3" ht="13.5">
      <c r="A29" s="3016"/>
      <c r="B29" s="3015"/>
      <c r="C29" s="1991" t="s">
        <v>1678</v>
      </c>
    </row>
    <row r="30" spans="1:3" ht="13.5">
      <c r="A30" s="3016"/>
      <c r="B30" s="3015"/>
      <c r="C30" s="1991" t="s">
        <v>1679</v>
      </c>
    </row>
    <row r="31" spans="1:3" ht="13.5">
      <c r="A31" s="3016"/>
      <c r="B31" s="3015"/>
      <c r="C31" s="1991" t="s">
        <v>1680</v>
      </c>
    </row>
    <row r="32" spans="1:3" ht="13.5">
      <c r="A32" s="3016"/>
      <c r="B32" s="3015"/>
      <c r="C32" s="1991" t="s">
        <v>1681</v>
      </c>
    </row>
    <row r="33" spans="1:3" ht="13.5">
      <c r="A33" s="3016"/>
      <c r="B33" s="301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43993</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20" t="s">
        <v>842</v>
      </c>
      <c r="B25" s="3020"/>
      <c r="C25" s="3020"/>
      <c r="D25" s="3020"/>
      <c r="E25" s="3020"/>
      <c r="F25" s="3020"/>
      <c r="G25" s="3020"/>
    </row>
    <row r="26" spans="1:7" s="1025" customFormat="1" ht="24" customHeight="1">
      <c r="A26" s="3021" t="s">
        <v>843</v>
      </c>
      <c r="B26" s="3021"/>
      <c r="C26" s="3022"/>
      <c r="D26" s="3023" t="s">
        <v>844</v>
      </c>
      <c r="E26" s="3021"/>
      <c r="F26" s="3021"/>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2020-06-11T08:00:54Z</dcterms:modified>
</cp:coreProperties>
</file>