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r:id="rId21"/>
    <sheet name="收益法 (元)" sheetId="67" r:id="rId22"/>
    <sheet name="收益法" sheetId="15" state="hidden" r:id="rId23"/>
    <sheet name="成本法 (元)" sheetId="69" state="hidden" r:id="rId24"/>
    <sheet name="假设开发法" sheetId="12" state="hidden" r:id="rId25"/>
    <sheet name="基准地价修正" sheetId="43"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G49" i="43" l="1"/>
  <c r="G50" i="43"/>
  <c r="G51" i="43"/>
  <c r="G52" i="43"/>
  <c r="G53" i="43"/>
  <c r="G54" i="43"/>
  <c r="G55" i="43"/>
  <c r="G56" i="43"/>
  <c r="G48" i="43"/>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F23" i="21"/>
  <c r="S23" i="21" s="1"/>
  <c r="E85" i="21"/>
  <c r="AC11" i="21"/>
  <c r="AA14" i="21"/>
  <c r="AB8" i="21"/>
  <c r="S8" i="21"/>
  <c r="M3" i="43"/>
  <c r="N10" i="43"/>
  <c r="M1" i="43"/>
  <c r="M8" i="43"/>
  <c r="N8" i="43"/>
  <c r="N9" i="43"/>
  <c r="D120" i="9"/>
  <c r="F34" i="67"/>
  <c r="F62" i="67"/>
  <c r="M20" i="67"/>
  <c r="F34" i="15"/>
  <c r="F62" i="15" s="1"/>
  <c r="G13" i="3"/>
  <c r="BA13" i="3"/>
  <c r="E10" i="6"/>
  <c r="BA5" i="3"/>
  <c r="E11" i="6"/>
  <c r="E61" i="39" s="1"/>
  <c r="BL17" i="3"/>
  <c r="AZ17" i="3"/>
  <c r="BL13" i="3"/>
  <c r="G30" i="6"/>
  <c r="G31" i="6" s="1"/>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H7" i="33" s="1"/>
  <c r="U7"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K14" i="1"/>
  <c r="M14" i="1" s="1"/>
  <c r="J59" i="9"/>
  <c r="J61" i="9" s="1"/>
  <c r="I104" i="43"/>
  <c r="I107" i="43"/>
  <c r="I105" i="43"/>
  <c r="D105" i="43"/>
  <c r="D106" i="43"/>
  <c r="D102" i="43"/>
  <c r="L106" i="43"/>
  <c r="L107" i="43"/>
  <c r="L103" i="43"/>
  <c r="AR8" i="1"/>
  <c r="AQ8" i="1"/>
  <c r="T8" i="1"/>
  <c r="R22" i="31"/>
  <c r="B21" i="31"/>
  <c r="O19" i="43"/>
  <c r="E58" i="21"/>
  <c r="F58" i="21" s="1"/>
  <c r="G58" i="21" s="1"/>
  <c r="H58" i="21" s="1"/>
  <c r="I58" i="21" s="1"/>
  <c r="AP7" i="1"/>
  <c r="AB45"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H109" i="9"/>
  <c r="M49" i="9"/>
  <c r="L68" i="9" s="1"/>
  <c r="M68" i="9" s="1"/>
  <c r="H110" i="9"/>
  <c r="D18" i="53" s="1"/>
  <c r="B35" i="72" s="1"/>
  <c r="D124" i="9"/>
  <c r="H14" i="74" s="1"/>
  <c r="B7" i="74" s="1"/>
  <c r="D16" i="53"/>
  <c r="B34" i="72"/>
  <c r="D10" i="52"/>
  <c r="D17" i="53"/>
  <c r="B36" i="72" s="1"/>
  <c r="D125" i="9"/>
  <c r="D11" i="52" s="1"/>
  <c r="H112" i="9"/>
  <c r="D21" i="53"/>
  <c r="B39" i="72" s="1"/>
  <c r="H111" i="9"/>
  <c r="D126" i="9" s="1"/>
  <c r="D19" i="53"/>
  <c r="B38" i="72" s="1"/>
  <c r="D59" i="9"/>
  <c r="M55" i="9"/>
  <c r="D20" i="53"/>
  <c r="B40" i="72" s="1"/>
  <c r="AD3" i="71"/>
  <c r="B11" i="76"/>
  <c r="E9" i="76"/>
  <c r="AO8" i="1"/>
  <c r="M8" i="15"/>
  <c r="F36" i="15"/>
  <c r="M6" i="15"/>
  <c r="D2" i="33"/>
  <c r="AO11" i="1"/>
  <c r="M23" i="15"/>
  <c r="F26" i="15"/>
  <c r="E2" i="68"/>
  <c r="M24" i="67"/>
  <c r="AO10" i="1"/>
  <c r="B8" i="76"/>
  <c r="M26" i="15"/>
  <c r="B12" i="76"/>
  <c r="F7" i="73"/>
  <c r="F37" i="15"/>
  <c r="B9" i="76"/>
  <c r="D35" i="9"/>
  <c r="E12" i="76"/>
  <c r="D2" i="37"/>
  <c r="E8" i="76"/>
  <c r="F3" i="73"/>
  <c r="M9" i="15"/>
  <c r="F35" i="15"/>
  <c r="M29" i="15"/>
  <c r="F6" i="15"/>
  <c r="F37" i="67"/>
  <c r="M6" i="67"/>
  <c r="L48" i="15"/>
  <c r="F9" i="15"/>
  <c r="F40" i="67"/>
  <c r="F41" i="15"/>
  <c r="F7" i="15"/>
  <c r="E2" i="69"/>
  <c r="F5" i="73"/>
  <c r="M24" i="15"/>
  <c r="C76" i="15"/>
  <c r="D2" i="35"/>
  <c r="F8" i="67"/>
  <c r="AO13" i="1"/>
  <c r="M23" i="67"/>
  <c r="F42" i="67"/>
  <c r="M26" i="67"/>
  <c r="M27" i="15"/>
  <c r="M22" i="15"/>
  <c r="F38" i="67"/>
  <c r="F4" i="73"/>
  <c r="F36" i="67"/>
  <c r="F13" i="67"/>
  <c r="F38" i="15"/>
  <c r="E7" i="76"/>
  <c r="D2" i="36"/>
  <c r="F26" i="67"/>
  <c r="M9" i="67"/>
  <c r="J15" i="67"/>
  <c r="L47" i="15"/>
  <c r="M8" i="67"/>
  <c r="F13" i="15"/>
  <c r="E10" i="76"/>
  <c r="B7" i="76"/>
  <c r="F43" i="15"/>
  <c r="E11" i="76"/>
  <c r="F20" i="31"/>
  <c r="M28" i="15"/>
  <c r="F8" i="15"/>
  <c r="C76" i="67"/>
  <c r="F16" i="67"/>
  <c r="D2" i="34"/>
  <c r="L47" i="67"/>
  <c r="F9" i="67"/>
  <c r="F16" i="15"/>
  <c r="L48" i="67"/>
  <c r="E13" i="76"/>
  <c r="J15" i="15"/>
  <c r="AO12" i="1"/>
  <c r="F40" i="15"/>
  <c r="B13" i="76"/>
  <c r="F6" i="67"/>
  <c r="F42" i="15"/>
  <c r="AO7" i="1"/>
  <c r="M21" i="15"/>
  <c r="M22" i="67"/>
  <c r="AO9" i="1"/>
  <c r="M28" i="67"/>
  <c r="F6" i="73"/>
  <c r="D34" i="9"/>
  <c r="B10" i="76"/>
  <c r="G119" i="21" l="1"/>
  <c r="H119" i="21" s="1"/>
  <c r="I119" i="21" s="1"/>
  <c r="J119" i="21" s="1"/>
  <c r="K119" i="21" s="1"/>
  <c r="L119" i="21" s="1"/>
  <c r="M119" i="21" s="1"/>
  <c r="J40" i="21"/>
  <c r="F40" i="21"/>
  <c r="H40" i="21"/>
  <c r="W33" i="21"/>
  <c r="B41" i="1"/>
  <c r="F53" i="9" s="1"/>
  <c r="D93" i="9"/>
  <c r="AA33" i="21"/>
  <c r="G5" i="3"/>
  <c r="B3" i="3" s="1"/>
  <c r="G14" i="3"/>
  <c r="E13" i="6"/>
  <c r="K109" i="43"/>
  <c r="G109" i="43"/>
  <c r="E15" i="6"/>
  <c r="F7" i="33"/>
  <c r="S7" i="33" s="1"/>
  <c r="J7" i="33"/>
  <c r="W7" i="33" s="1"/>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54" i="9"/>
  <c r="F30" i="69"/>
  <c r="C48" i="69" s="1"/>
  <c r="D29" i="43"/>
  <c r="D1" i="43" s="1"/>
  <c r="E27" i="6"/>
  <c r="K23" i="6" s="1"/>
  <c r="M23" i="6" s="1"/>
  <c r="I23" i="6" s="1"/>
  <c r="S23" i="6" s="1"/>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C24" i="12"/>
  <c r="M18" i="67"/>
  <c r="F28" i="67"/>
  <c r="C28" i="67" s="1"/>
  <c r="F30" i="68"/>
  <c r="H109" i="43"/>
  <c r="H105" i="43"/>
  <c r="H106" i="43"/>
  <c r="M105" i="43"/>
  <c r="M107" i="43"/>
  <c r="M104" i="43"/>
  <c r="E105" i="43"/>
  <c r="E107" i="43"/>
  <c r="K22" i="6"/>
  <c r="M22" i="6" s="1"/>
  <c r="I22" i="6" s="1"/>
  <c r="S22" i="6" s="1"/>
  <c r="M7" i="1"/>
  <c r="O7" i="1" s="1"/>
  <c r="AQ7" i="1"/>
  <c r="E57" i="40"/>
  <c r="E62"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F51" i="67"/>
  <c r="B11" i="70"/>
  <c r="I1" i="73"/>
  <c r="B39" i="1" s="1"/>
  <c r="C27" i="15"/>
  <c r="F51" i="15"/>
  <c r="F64" i="15"/>
  <c r="I54" i="67"/>
  <c r="J57" i="67"/>
  <c r="J55" i="67" s="1"/>
  <c r="J58" i="67" s="1"/>
  <c r="Q50" i="67" s="1"/>
  <c r="L56" i="67"/>
  <c r="C27" i="67"/>
  <c r="B12" i="70"/>
  <c r="B9" i="70"/>
  <c r="C34" i="69"/>
  <c r="C16" i="15"/>
  <c r="D3" i="73"/>
  <c r="D4" i="73"/>
  <c r="C36" i="69"/>
  <c r="D5" i="73"/>
  <c r="D7" i="73"/>
  <c r="D9" i="69"/>
  <c r="F31" i="15"/>
  <c r="C17" i="15"/>
  <c r="F27" i="69"/>
  <c r="M29" i="67"/>
  <c r="F43" i="67"/>
  <c r="D6" i="73"/>
  <c r="C14" i="15"/>
  <c r="F59" i="15"/>
  <c r="M17" i="15"/>
  <c r="AB40" i="21" l="1"/>
  <c r="U40" i="21"/>
  <c r="W40" i="21"/>
  <c r="AC40" i="21"/>
  <c r="AA40" i="21"/>
  <c r="S40" i="21"/>
  <c r="F30" i="11"/>
  <c r="C48" i="11" s="1"/>
  <c r="F31" i="12"/>
  <c r="C31" i="12" s="1"/>
  <c r="F28" i="15"/>
  <c r="C28" i="15" s="1"/>
  <c r="D68" i="9"/>
  <c r="F52" i="9"/>
  <c r="M18" i="15"/>
  <c r="F32" i="67"/>
  <c r="F60" i="67" s="1"/>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509" i="3"/>
  <c r="E579" i="3"/>
  <c r="E431" i="3"/>
  <c r="E247" i="3"/>
  <c r="E201" i="3"/>
  <c r="E353" i="3"/>
  <c r="E495" i="3"/>
  <c r="AN6" i="3"/>
  <c r="E586" i="3"/>
  <c r="E402" i="3"/>
  <c r="E350" i="3"/>
  <c r="E303" i="3"/>
  <c r="E301" i="3"/>
  <c r="E159" i="3"/>
  <c r="E99" i="3"/>
  <c r="E228" i="3"/>
  <c r="E157"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3" i="3"/>
  <c r="R6" i="3"/>
  <c r="E442" i="3"/>
  <c r="E541" i="3"/>
  <c r="E449" i="3"/>
  <c r="I3" i="6"/>
  <c r="E554" i="3"/>
  <c r="E435" i="3"/>
  <c r="E417" i="3"/>
  <c r="E56" i="3"/>
  <c r="E95" i="3"/>
  <c r="E152" i="3"/>
  <c r="E187" i="3"/>
  <c r="E155" i="3"/>
  <c r="E240" i="3"/>
  <c r="E297" i="3"/>
  <c r="E259" i="3"/>
  <c r="E348" i="3"/>
  <c r="E363" i="3"/>
  <c r="E349" i="3"/>
  <c r="E389" i="3"/>
  <c r="E544" i="3"/>
  <c r="E76" i="3"/>
  <c r="E59" i="3"/>
  <c r="E462" i="3"/>
  <c r="E521" i="3"/>
  <c r="E47" i="3"/>
  <c r="E65" i="3"/>
  <c r="E195" i="3"/>
  <c r="E248" i="3"/>
  <c r="E266" i="3"/>
  <c r="E386" i="3"/>
  <c r="E354" i="3"/>
  <c r="E66" i="3"/>
  <c r="E48" i="3"/>
  <c r="E127" i="3"/>
  <c r="E284" i="3"/>
  <c r="Y6" i="3"/>
  <c r="E51" i="3"/>
  <c r="E154" i="3"/>
  <c r="E179" i="3"/>
  <c r="E323" i="3"/>
  <c r="E82" i="3"/>
  <c r="E239" i="3"/>
  <c r="E516" i="3"/>
  <c r="E569" i="3"/>
  <c r="E396" i="3"/>
  <c r="E229" i="3"/>
  <c r="E151" i="3"/>
  <c r="E385" i="3"/>
  <c r="E518" i="3"/>
  <c r="AI6" i="3"/>
  <c r="E578" i="3"/>
  <c r="E423" i="3"/>
  <c r="E382" i="3"/>
  <c r="E263" i="3"/>
  <c r="E245" i="3"/>
  <c r="E191" i="3"/>
  <c r="E188" i="3"/>
  <c r="E181" i="3"/>
  <c r="E45" i="3"/>
  <c r="E224" i="3"/>
  <c r="E286" i="3"/>
  <c r="E575" i="3"/>
  <c r="E499" i="3"/>
  <c r="E502" i="3"/>
  <c r="E466" i="3"/>
  <c r="E430" i="3"/>
  <c r="E255" i="3"/>
  <c r="AP6" i="3"/>
  <c r="E517" i="3"/>
  <c r="E491" i="3"/>
  <c r="E479" i="3"/>
  <c r="E37" i="3"/>
  <c r="E131" i="3"/>
  <c r="E132" i="3"/>
  <c r="E192" i="3"/>
  <c r="E258" i="3"/>
  <c r="E241" i="3"/>
  <c r="E292" i="3"/>
  <c r="E378" i="3"/>
  <c r="E375" i="3"/>
  <c r="E504" i="3"/>
  <c r="E58" i="3"/>
  <c r="E110" i="3"/>
  <c r="E540" i="3"/>
  <c r="E446" i="3"/>
  <c r="E98" i="3"/>
  <c r="E138" i="3"/>
  <c r="E163" i="3"/>
  <c r="E209" i="3"/>
  <c r="E307" i="3"/>
  <c r="E584" i="3"/>
  <c r="E24" i="3"/>
  <c r="E87" i="3"/>
  <c r="E250" i="3"/>
  <c r="E341" i="3"/>
  <c r="E19" i="3"/>
  <c r="E222" i="3"/>
  <c r="E373" i="3"/>
  <c r="E58" i="40"/>
  <c r="E63" i="39"/>
  <c r="E60" i="40"/>
  <c r="E65" i="39"/>
  <c r="E66" i="39" s="1"/>
  <c r="J7" i="21"/>
  <c r="W7" i="21" s="1"/>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AP6" i="1"/>
  <c r="M6" i="1"/>
  <c r="E6" i="70"/>
  <c r="E2" i="70" s="1"/>
  <c r="H16" i="1"/>
  <c r="E20" i="43"/>
  <c r="P17" i="43" s="1"/>
  <c r="E63" i="40"/>
  <c r="D65" i="40"/>
  <c r="F10" i="39"/>
  <c r="S10" i="39" s="1"/>
  <c r="F10" i="40"/>
  <c r="S10" i="40" s="1"/>
  <c r="C47" i="69"/>
  <c r="D45" i="69" s="1"/>
  <c r="C29" i="69"/>
  <c r="D27" i="69" s="1"/>
  <c r="C38" i="69"/>
  <c r="F1" i="67"/>
  <c r="Q52" i="67"/>
  <c r="C30" i="11"/>
  <c r="C30" i="68"/>
  <c r="C48" i="68"/>
  <c r="C47" i="68"/>
  <c r="D45" i="68" s="1"/>
  <c r="C35" i="69"/>
  <c r="P7" i="1"/>
  <c r="AR6" i="1"/>
  <c r="T6" i="1"/>
  <c r="T16" i="1" s="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S7" i="35"/>
  <c r="W7" i="35"/>
  <c r="AC7" i="35"/>
  <c r="V38" i="35" s="1"/>
  <c r="I38" i="35" s="1"/>
  <c r="W7" i="34"/>
  <c r="AC7" i="34"/>
  <c r="V49" i="34" s="1"/>
  <c r="I49" i="34" s="1"/>
  <c r="AB7" i="21"/>
  <c r="U7" i="21"/>
  <c r="E53" i="33"/>
  <c r="F53" i="33" s="1"/>
  <c r="E52" i="33"/>
  <c r="F52" i="33" s="1"/>
  <c r="C5" i="71"/>
  <c r="D6" i="71"/>
  <c r="P25" i="43"/>
  <c r="C49" i="15"/>
  <c r="M11" i="15"/>
  <c r="J10" i="15" s="1"/>
  <c r="J5" i="15" s="1"/>
  <c r="F11" i="67"/>
  <c r="F11" i="15"/>
  <c r="M11" i="67"/>
  <c r="Q73" i="67"/>
  <c r="Q60" i="67"/>
  <c r="Q60" i="15"/>
  <c r="Q73" i="15"/>
  <c r="Q74" i="15"/>
  <c r="Q61" i="15"/>
  <c r="Q61" i="67"/>
  <c r="Q74" i="67"/>
  <c r="G1" i="73"/>
  <c r="C14" i="67"/>
  <c r="C16" i="67"/>
  <c r="C17" i="67"/>
  <c r="AE6" i="1"/>
  <c r="AG6" i="1" l="1"/>
  <c r="AA10" i="40"/>
  <c r="T48" i="21"/>
  <c r="G48" i="21" s="1"/>
  <c r="G52" i="21" s="1"/>
  <c r="H52" i="21" s="1"/>
  <c r="AC7" i="21"/>
  <c r="V48" i="21" s="1"/>
  <c r="I48" i="21" s="1"/>
  <c r="I52" i="21" s="1"/>
  <c r="J52" i="21" s="1"/>
  <c r="O17" i="43"/>
  <c r="AA10" i="39"/>
  <c r="E6" i="3"/>
  <c r="AA7" i="34"/>
  <c r="R49" i="34" s="1"/>
  <c r="E70" i="43"/>
  <c r="B68" i="43" s="1"/>
  <c r="C24" i="43" s="1"/>
  <c r="C15" i="67"/>
  <c r="C18" i="67"/>
  <c r="S7" i="21"/>
  <c r="M17" i="43"/>
  <c r="G20" i="43" s="1"/>
  <c r="N17" i="43"/>
  <c r="B40" i="1"/>
  <c r="F24" i="67" s="1"/>
  <c r="C24" i="67" s="1"/>
  <c r="O6" i="1"/>
  <c r="C36" i="11"/>
  <c r="C36" i="68"/>
  <c r="M16" i="1"/>
  <c r="E65" i="40"/>
  <c r="F63" i="40"/>
  <c r="J7" i="37"/>
  <c r="AC7" i="37" s="1"/>
  <c r="V42" i="37" s="1"/>
  <c r="I42" i="37" s="1"/>
  <c r="F7" i="37"/>
  <c r="C19" i="15"/>
  <c r="C20" i="15" s="1"/>
  <c r="C26" i="15" s="1"/>
  <c r="U10" i="40"/>
  <c r="AB10" i="40"/>
  <c r="U10" i="39"/>
  <c r="AB10" i="39"/>
  <c r="I19" i="6"/>
  <c r="M27" i="6"/>
  <c r="K4" i="4"/>
  <c r="B46" i="48" s="1"/>
  <c r="B4" i="72" s="1"/>
  <c r="H7" i="36"/>
  <c r="AB7" i="36" s="1"/>
  <c r="T36" i="36" s="1"/>
  <c r="G36" i="36" s="1"/>
  <c r="J7" i="36"/>
  <c r="E48" i="2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6"/>
  <c r="W7" i="37"/>
  <c r="AA7" i="37"/>
  <c r="R42" i="37" s="1"/>
  <c r="S7" i="37"/>
  <c r="T29" i="71"/>
  <c r="D29" i="71"/>
  <c r="AY6" i="3"/>
  <c r="E3" i="6"/>
  <c r="N50" i="71"/>
  <c r="N51" i="71"/>
  <c r="H7" i="37"/>
  <c r="D5" i="71"/>
  <c r="M20" i="43" s="1"/>
  <c r="C19" i="43" s="1"/>
  <c r="J24" i="15"/>
  <c r="J18" i="15"/>
  <c r="J26" i="15"/>
  <c r="J29" i="15" s="1"/>
  <c r="C53" i="15"/>
  <c r="C48" i="15" s="1"/>
  <c r="C10" i="15"/>
  <c r="C5" i="15" s="1"/>
  <c r="F7" i="67"/>
  <c r="F41" i="67"/>
  <c r="F31" i="67"/>
  <c r="M27" i="67"/>
  <c r="G53" i="21" l="1"/>
  <c r="H53" i="21" s="1"/>
  <c r="R49" i="21"/>
  <c r="C49" i="21" s="1"/>
  <c r="I53" i="21"/>
  <c r="J53" i="21" s="1"/>
  <c r="F50" i="67"/>
  <c r="C6" i="67"/>
  <c r="C10" i="67" s="1"/>
  <c r="C5" i="67" s="1"/>
  <c r="M7" i="67"/>
  <c r="U7" i="36"/>
  <c r="C20" i="43"/>
  <c r="C37" i="43" s="1"/>
  <c r="E41" i="43"/>
  <c r="C41" i="43" s="1"/>
  <c r="C38"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T15" i="43"/>
  <c r="V15" i="43" s="1"/>
  <c r="C38" i="15"/>
  <c r="C32" i="15"/>
  <c r="C66" i="15"/>
  <c r="C60" i="15"/>
  <c r="C60" i="67"/>
  <c r="C38" i="67"/>
  <c r="C32" i="67"/>
  <c r="M17" i="67"/>
  <c r="F59" i="67"/>
  <c r="T7" i="43" l="1"/>
  <c r="V7" i="43" s="1"/>
  <c r="C39" i="43"/>
  <c r="G39" i="43" s="1"/>
  <c r="I39" i="43" s="1"/>
  <c r="C34" i="43"/>
  <c r="E34" i="43" s="1"/>
  <c r="T10" i="43"/>
  <c r="V10" i="43" s="1"/>
  <c r="T14" i="43"/>
  <c r="V14" i="43" s="1"/>
  <c r="T16" i="43"/>
  <c r="V16" i="43" s="1"/>
  <c r="C33" i="43"/>
  <c r="G33" i="43" s="1"/>
  <c r="I33" i="43" s="1"/>
  <c r="T9" i="43"/>
  <c r="V9" i="43" s="1"/>
  <c r="T12" i="43"/>
  <c r="V12" i="43" s="1"/>
  <c r="T11" i="43"/>
  <c r="V11" i="43" s="1"/>
  <c r="T4" i="43"/>
  <c r="V4" i="43" s="1"/>
  <c r="J6" i="67"/>
  <c r="C49" i="67"/>
  <c r="C53" i="67" s="1"/>
  <c r="C48" i="67" s="1"/>
  <c r="C66" i="67"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4" i="43"/>
  <c r="I34" i="43" s="1"/>
  <c r="E39" i="43"/>
  <c r="E38" i="43"/>
  <c r="G38" i="43"/>
  <c r="I38" i="43" s="1"/>
  <c r="G37" i="43"/>
  <c r="I37" i="43" s="1"/>
  <c r="E37" i="43"/>
  <c r="C33" i="15"/>
  <c r="C31" i="15" s="1"/>
  <c r="C33" i="67"/>
  <c r="C31" i="67" s="1"/>
  <c r="J59" i="67"/>
  <c r="J60" i="67" s="1"/>
  <c r="D10" i="69"/>
  <c r="E33" i="43" l="1"/>
  <c r="J10" i="67"/>
  <c r="J5" i="67" s="1"/>
  <c r="E36" i="43"/>
  <c r="J14" i="15"/>
  <c r="J22" i="15" s="1"/>
  <c r="E35" i="43"/>
  <c r="C30" i="43"/>
  <c r="E30" i="43" s="1"/>
  <c r="C27" i="43" s="1"/>
  <c r="E29" i="43"/>
  <c r="L19" i="9"/>
  <c r="C33" i="11"/>
  <c r="C39" i="11" s="1"/>
  <c r="J19" i="67"/>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Q48" i="67"/>
  <c r="L46" i="67"/>
  <c r="J13" i="67"/>
  <c r="J23" i="67" s="1"/>
  <c r="J22" i="67"/>
  <c r="C61" i="67"/>
  <c r="C59" i="67" s="1"/>
  <c r="C61" i="15"/>
  <c r="C59" i="15" s="1"/>
  <c r="E6" i="76"/>
  <c r="B6" i="76"/>
  <c r="J18" i="67" l="1"/>
  <c r="J24" i="67"/>
  <c r="J17" i="67"/>
  <c r="J13" i="15"/>
  <c r="J23" i="15" s="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J16" i="15"/>
  <c r="J25" i="15" s="1"/>
  <c r="F35" i="67"/>
  <c r="L51" i="15"/>
  <c r="M21" i="67"/>
  <c r="J16" i="67" l="1"/>
  <c r="J25" i="67" s="1"/>
  <c r="J26" i="67" s="1"/>
  <c r="J29" i="67" s="1"/>
  <c r="Q69" i="15"/>
  <c r="Q68" i="15" s="1"/>
  <c r="C40" i="67"/>
  <c r="Q56" i="67" s="1"/>
  <c r="C49" i="11"/>
  <c r="C51" i="11" s="1"/>
  <c r="C52" i="11" s="1"/>
  <c r="B2" i="11" s="1"/>
  <c r="B3" i="11" s="1"/>
  <c r="C80" i="67"/>
  <c r="C79" i="67" s="1"/>
  <c r="C80" i="15"/>
  <c r="C79" i="15" s="1"/>
  <c r="Q68" i="67"/>
  <c r="C27" i="12"/>
  <c r="C25" i="12" s="1"/>
  <c r="C30" i="12"/>
  <c r="C28" i="12" s="1"/>
  <c r="K63" i="40"/>
  <c r="J65" i="40"/>
  <c r="J20" i="67"/>
  <c r="F63" i="67"/>
  <c r="C62" i="67" s="1"/>
  <c r="R16" i="1"/>
  <c r="C20" i="69"/>
  <c r="C25" i="69" s="1"/>
  <c r="C22" i="69" s="1"/>
  <c r="J70" i="39"/>
  <c r="K68" i="39"/>
  <c r="C39" i="68"/>
  <c r="C43" i="68" s="1"/>
  <c r="C42" i="68"/>
  <c r="C20" i="68"/>
  <c r="C24" i="68"/>
  <c r="C39" i="69"/>
  <c r="C42" i="69"/>
  <c r="B3" i="76"/>
  <c r="Q67" i="15"/>
  <c r="L57" i="15"/>
  <c r="L60" i="15" s="1"/>
  <c r="C71" i="67"/>
  <c r="Q65" i="15"/>
  <c r="B2" i="15"/>
  <c r="B3" i="15" s="1"/>
  <c r="C43" i="15"/>
  <c r="Q47" i="15"/>
  <c r="Q53" i="15" s="1"/>
  <c r="Q56" i="15"/>
  <c r="C83" i="15"/>
  <c r="C82" i="15" s="1"/>
  <c r="C71" i="15"/>
  <c r="C46" i="15"/>
  <c r="L51" i="67"/>
  <c r="L57" i="67" l="1"/>
  <c r="L60" i="67" s="1"/>
  <c r="Q66" i="67" s="1"/>
  <c r="C45" i="67"/>
  <c r="C46" i="67" s="1"/>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B2" i="67"/>
  <c r="AO6" i="1"/>
  <c r="D2" i="21"/>
  <c r="B2" i="21" l="1"/>
  <c r="B3" i="21" s="1"/>
  <c r="Q57" i="67"/>
  <c r="Q62" i="67" s="1"/>
  <c r="Q75" i="67"/>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D19" i="9"/>
  <c r="B3" i="69"/>
  <c r="C20" i="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<sst xmlns="http://schemas.openxmlformats.org/spreadsheetml/2006/main" count="7451" uniqueCount="3156">
  <si>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</si>
  <si>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</si>
  <si>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</si>
  <si>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</si>
  <si>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</si>
  <si>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</si>
  <si>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</si>
  <si>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</si>
  <si>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</si>
  <si>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</si>
  <si>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</si>
  <si>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</si>
  <si>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</si>
  <si>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</si>
  <si>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</si>
  <si>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</si>
  <si>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</si>
  <si>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</si>
  <si>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</si>
  <si>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</si>
  <si>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</si>
  <si>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</si>
  <si>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</si>
  <si>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</si>
  <si>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</si>
  <si>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</si>
  <si>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</si>
  <si>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</si>
  <si>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</si>
  <si>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</si>
  <si>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</si>
  <si>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</si>
  <si>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</si>
  <si>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</si>
  <si>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</si>
  <si>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</si>
  <si>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</si>
  <si>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</si>
  <si>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</si>
  <si>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</si>
  <si>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</si>
  <si>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</si>
  <si>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</si>
  <si>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</si>
  <si>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</si>
  <si>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</si>
  <si>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</si>
  <si>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</si>
  <si>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</si>
  <si>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</si>
  <si>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</si>
  <si>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</si>
  <si>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</si>
  <si>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</si>
  <si>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</si>
  <si>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</si>
  <si>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</si>
  <si>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</si>
  <si>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</si>
  <si>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</si>
  <si>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</si>
  <si>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</si>
  <si>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</si>
  <si>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</si>
  <si>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</si>
  <si>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</si>
  <si>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</si>
  <si>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</si>
  <si>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</si>
  <si>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</si>
  <si>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</si>
  <si>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</si>
  <si>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</si>
  <si>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</si>
  <si>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</si>
  <si>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</si>
  <si>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</si>
  <si>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</si>
  <si>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</si>
  <si>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</si>
  <si>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</si>
  <si>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</si>
  <si>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</si>
  <si>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</si>
  <si>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</si>
  <si>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</si>
  <si>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</si>
  <si>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</si>
  <si>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</si>
  <si>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</si>
  <si>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</si>
  <si>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</si>
  <si>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</si>
  <si>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</si>
  <si>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</si>
  <si>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</si>
  <si>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</si>
  <si>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</si>
  <si>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</si>
  <si>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</si>
  <si>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</si>
  <si>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</si>
  <si>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</si>
  <si>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</si>
  <si>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</si>
  <si>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</si>
  <si>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</si>
  <si>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</si>
  <si>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</si>
  <si>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</si>
  <si>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</si>
  <si>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</si>
  <si>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</si>
  <si>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</si>
  <si>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</si>
  <si>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</si>
  <si>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</si>
  <si>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</si>
  <si>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</si>
  <si>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</si>
  <si>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</si>
  <si>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</si>
  <si>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</si>
  <si>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</si>
  <si>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</si>
  <si>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</si>
  <si>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</si>
  <si>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</si>
  <si>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</si>
  <si>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</si>
  <si>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</si>
  <si>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</si>
  <si>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</si>
  <si>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</si>
  <si>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</si>
  <si>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</si>
  <si>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</si>
  <si>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</si>
  <si>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</si>
  <si>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</si>
  <si>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</si>
  <si>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</si>
  <si>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</si>
  <si>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</si>
  <si>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</si>
  <si>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</si>
  <si>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</si>
  <si>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</si>
  <si>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</si>
  <si>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</si>
  <si>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</si>
  <si>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</si>
  <si>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</si>
  <si>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</si>
  <si>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</si>
  <si>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</si>
  <si>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</si>
  <si>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</si>
  <si>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</si>
  <si>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</si>
  <si>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</si>
  <si>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</si>
  <si>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</si>
  <si>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</si>
  <si>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</si>
  <si>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</si>
  <si>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</si>
  <si>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</si>
  <si>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</si>
  <si>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</si>
  <si>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</si>
  <si>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</si>
  <si>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</si>
  <si>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</si>
  <si>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</si>
  <si>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</si>
  <si>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</si>
  <si>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</si>
  <si>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</si>
  <si>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</si>
  <si>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</si>
  <si>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</si>
  <si>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</si>
  <si>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</si>
  <si>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</si>
  <si>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</si>
  <si>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</si>
  <si>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</si>
  <si>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</si>
  <si>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</si>
  <si>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</si>
  <si>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</si>
  <si>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</si>
  <si>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</si>
  <si>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</si>
  <si>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</si>
  <si>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</si>
  <si>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</si>
  <si>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</si>
  <si>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</si>
  <si>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</si>
  <si>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</si>
  <si>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</si>
  <si>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</si>
  <si>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</si>
  <si>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</si>
  <si>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</si>
  <si>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</si>
  <si>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</si>
  <si>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</si>
  <si>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</si>
  <si>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</si>
  <si>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</si>
  <si>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</si>
  <si>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</si>
  <si>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</si>
  <si>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</si>
  <si>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</si>
  <si>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</si>
  <si>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</si>
  <si>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</si>
  <si>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</si>
  <si>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</si>
  <si>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</si>
  <si>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</si>
  <si>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</si>
  <si>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</si>
  <si>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</si>
  <si>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</si>
  <si>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</si>
  <si>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</si>
  <si>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</si>
  <si>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</si>
  <si>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</si>
  <si>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</si>
  <si>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</si>
  <si>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</si>
  <si>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</si>
  <si>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</si>
  <si>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</si>
  <si>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</si>
  <si>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</si>
  <si>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</si>
  <si>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</si>
  <si>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</si>
  <si>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</si>
  <si>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</si>
  <si>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</si>
  <si>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</si>
  <si>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</si>
  <si>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</si>
  <si>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</si>
  <si>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</si>
  <si>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</si>
  <si>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</si>
  <si>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</si>
  <si>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</si>
  <si>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</si>
  <si>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</si>
  <si>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</si>
  <si>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</si>
  <si>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</si>
  <si>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</si>
  <si>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</si>
  <si>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</si>
  <si>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</si>
  <si>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</si>
  <si>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</si>
  <si>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</si>
  <si>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</si>
  <si>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</si>
  <si>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</si>
  <si>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</si>
  <si>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</si>
  <si>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</si>
  <si>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</si>
  <si>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</si>
  <si>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</si>
  <si>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</si>
  <si>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</si>
  <si>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</si>
  <si>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</si>
  <si>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</si>
  <si>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</si>
  <si>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</si>
  <si>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</si>
  <si>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</si>
  <si>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</si>
  <si>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</si>
  <si>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</si>
  <si>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</si>
  <si>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</si>
  <si>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</si>
  <si>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</si>
  <si>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</si>
  <si>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</si>
  <si>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</si>
  <si>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</si>
  <si>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</si>
  <si>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</si>
  <si>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</si>
  <si>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</si>
  <si>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</si>
  <si>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</si>
  <si>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</si>
  <si>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</si>
  <si>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</si>
  <si>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</si>
  <si>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</si>
  <si>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</si>
  <si>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</si>
  <si>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</si>
  <si>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</si>
  <si>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</si>
  <si>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</si>
  <si>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</si>
  <si>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</si>
  <si>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</si>
  <si>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</si>
  <si>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</si>
  <si>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</si>
  <si>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</si>
  <si>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</si>
  <si>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</si>
  <si>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</si>
  <si>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</si>
  <si>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</si>
  <si>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</si>
  <si>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</si>
  <si>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</si>
  <si>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</si>
  <si>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</si>
  <si>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</si>
  <si>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</si>
  <si>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</si>
  <si>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</si>
  <si>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</si>
  <si>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</si>
  <si>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</si>
  <si>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</si>
  <si>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</si>
  <si>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</si>
  <si>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</si>
  <si>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</si>
  <si>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</si>
  <si>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</si>
  <si>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</si>
  <si>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</si>
  <si>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</si>
  <si>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</si>
  <si>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</si>
  <si>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</si>
  <si>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</si>
  <si>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</si>
  <si>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</si>
  <si>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</si>
  <si>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</si>
  <si>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</si>
  <si>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</si>
  <si>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</si>
  <si>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</si>
  <si>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</si>
  <si>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</si>
  <si>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</si>
  <si>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</si>
  <si>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</si>
  <si>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</si>
  <si>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</si>
  <si>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</si>
  <si>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</si>
  <si>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</si>
  <si>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</si>
  <si>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</si>
  <si>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</si>
  <si>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</si>
  <si>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</si>
  <si>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</si>
  <si>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</si>
  <si>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</si>
  <si>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</si>
  <si>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</si>
  <si>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</si>
  <si>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</si>
  <si>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</si>
  <si>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</si>
  <si>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</si>
  <si>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</si>
  <si>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</si>
  <si>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</si>
  <si>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</si>
  <si>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</si>
  <si>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</si>
  <si>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</si>
  <si>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</si>
  <si>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</si>
  <si>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</si>
  <si>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</si>
  <si>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</si>
  <si>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</si>
  <si>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</si>
  <si>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</si>
  <si>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</si>
  <si>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</si>
  <si>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</si>
  <si>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</si>
  <si>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</si>
  <si>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</si>
  <si>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</si>
  <si>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</si>
  <si>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</si>
  <si>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</si>
  <si>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</si>
  <si>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</si>
  <si>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</si>
  <si>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</si>
  <si>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</si>
  <si>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</si>
  <si>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</si>
  <si>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</si>
  <si>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</si>
  <si>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</si>
  <si>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</si>
  <si>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</si>
  <si>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</si>
  <si>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</si>
  <si>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</si>
  <si>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</si>
  <si>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</si>
  <si>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</si>
  <si>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</si>
  <si>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</si>
  <si>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</si>
  <si>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</si>
  <si>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</si>
  <si>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</si>
  <si>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</si>
  <si>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</si>
  <si>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</si>
  <si>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</si>
  <si>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</si>
  <si>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</si>
  <si>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</si>
  <si>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</si>
  <si>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</si>
  <si>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</si>
  <si>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</si>
  <si>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</si>
  <si>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</si>
  <si>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</si>
  <si>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</si>
  <si>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</si>
  <si>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</si>
  <si>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</si>
  <si>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</si>
  <si>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</si>
  <si>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</si>
  <si>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</si>
  <si>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</si>
  <si>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</si>
  <si>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</si>
  <si>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</si>
  <si>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</si>
  <si>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</si>
  <si>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</si>
  <si>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</si>
  <si>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</si>
  <si>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</si>
  <si>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</si>
  <si>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</si>
  <si>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</si>
  <si>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</si>
  <si>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</si>
  <si>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</si>
  <si>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</si>
  <si>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</si>
  <si>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</si>
  <si>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</si>
  <si>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</si>
  <si>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</si>
  <si>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</si>
  <si>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</si>
  <si>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</si>
  <si>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</si>
  <si>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</si>
  <si>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</si>
  <si>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</si>
  <si>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</si>
  <si>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</si>
  <si>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</si>
  <si>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</si>
  <si>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</si>
  <si>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</si>
  <si>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</si>
  <si>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</si>
  <si>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</si>
  <si>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</si>
  <si>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</si>
  <si>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</si>
  <si>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</si>
  <si>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</si>
  <si>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</si>
  <si>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</si>
  <si>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</si>
  <si>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</si>
  <si>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</si>
  <si>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</si>
  <si>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</si>
  <si>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</si>
  <si>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</si>
  <si>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</si>
  <si>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</si>
  <si>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</si>
  <si>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</si>
  <si>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</si>
  <si>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</si>
  <si>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</si>
  <si>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</si>
  <si>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</si>
  <si>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</si>
  <si>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</si>
  <si>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</si>
  <si>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</si>
  <si>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</si>
  <si>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</si>
  <si>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</si>
  <si>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</si>
  <si>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</si>
  <si>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</si>
  <si>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</si>
  <si>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</si>
  <si>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</si>
  <si>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</si>
  <si>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</si>
  <si>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</si>
  <si>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</si>
  <si>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</si>
  <si>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</si>
  <si>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</si>
  <si>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</si>
  <si>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</si>
  <si>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</si>
  <si>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</si>
  <si>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</si>
  <si>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</si>
  <si>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</si>
  <si>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</si>
  <si>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</si>
  <si>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</si>
  <si>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</si>
  <si>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</si>
  <si>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</si>
  <si>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</si>
  <si>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</si>
  <si>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</si>
  <si>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</si>
  <si>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</si>
  <si>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</si>
  <si>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</si>
  <si>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</si>
  <si>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</si>
  <si>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</si>
  <si>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</si>
  <si>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</si>
  <si>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</si>
  <si>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</si>
  <si>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</si>
  <si>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</si>
  <si>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</si>
  <si>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</si>
  <si>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</si>
  <si>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</si>
  <si>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</si>
  <si>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</si>
  <si>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</si>
  <si>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</si>
  <si>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</si>
  <si>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</si>
  <si>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</si>
  <si>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</si>
  <si>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</si>
  <si>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</si>
  <si>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</si>
  <si>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</si>
  <si>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</si>
  <si>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</si>
  <si>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</si>
  <si>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</si>
  <si>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</si>
  <si>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</si>
  <si>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</si>
  <si>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</si>
  <si>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</si>
  <si>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</si>
  <si>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</si>
  <si>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</si>
  <si>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</si>
  <si>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</si>
  <si>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</si>
  <si>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</si>
  <si>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</si>
  <si>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</si>
  <si>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</si>
  <si>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</si>
  <si>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</si>
  <si>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</si>
  <si>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</si>
  <si>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</si>
  <si>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</si>
  <si>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</si>
  <si>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</si>
  <si>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</si>
  <si>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</si>
  <si>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</si>
  <si>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</si>
  <si>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</si>
  <si>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</si>
  <si>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</si>
  <si>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</si>
  <si>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</si>
  <si>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</si>
  <si>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</si>
  <si>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</si>
  <si>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</si>
  <si>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</si>
  <si>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</si>
  <si>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</si>
  <si>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</si>
  <si>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</si>
  <si>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</si>
  <si>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</si>
  <si>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</si>
  <si>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</si>
  <si>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</si>
  <si>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</si>
  <si>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</si>
  <si>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</si>
  <si>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</si>
  <si>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</si>
  <si>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</si>
  <si>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</si>
  <si>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</si>
  <si>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</si>
  <si>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</si>
  <si>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</si>
  <si>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</si>
  <si>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</si>
  <si>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</si>
  <si>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</si>
  <si>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</si>
  <si>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</si>
  <si>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</si>
  <si>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</si>
  <si>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</si>
  <si>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</si>
  <si>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</si>
  <si>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</si>
  <si>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</si>
  <si>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</si>
  <si>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</si>
  <si>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</si>
  <si>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</si>
  <si>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</si>
  <si>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</si>
  <si>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</si>
  <si>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</si>
  <si>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</si>
  <si>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</si>
  <si>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</si>
  <si>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</si>
  <si>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</si>
  <si>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</si>
  <si>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</si>
  <si>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</si>
  <si>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</si>
  <si>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</si>
  <si>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</si>
  <si>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</si>
  <si>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</si>
  <si>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</si>
  <si>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</si>
  <si>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</si>
  <si>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</si>
  <si>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</si>
  <si>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</si>
  <si>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</si>
  <si>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</si>
  <si>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</si>
  <si>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</si>
  <si>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</si>
  <si>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</si>
  <si>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</si>
  <si>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</si>
  <si>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</si>
  <si>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</si>
  <si>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</si>
  <si>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</si>
  <si>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</si>
  <si>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</si>
  <si>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</si>
  <si>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</si>
  <si>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</si>
  <si>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</si>
  <si>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</si>
  <si>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</si>
  <si>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</si>
  <si>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</si>
  <si>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</si>
  <si>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</si>
  <si>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</si>
  <si>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</si>
  <si>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</si>
  <si>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</si>
  <si>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</si>
  <si>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</si>
  <si>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</si>
  <si>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</si>
  <si>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</si>
  <si>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</si>
  <si>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</si>
  <si>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</si>
  <si>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</si>
  <si>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</si>
  <si>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</si>
  <si>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</si>
  <si>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</si>
  <si>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</si>
  <si>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</si>
  <si>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</si>
  <si>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</si>
  <si>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</si>
  <si>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</si>
  <si>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</si>
  <si>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</si>
  <si>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</si>
  <si>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</si>
  <si>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</si>
  <si>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</si>
  <si>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</si>
  <si>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</si>
  <si>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</si>
  <si>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</si>
  <si>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</si>
  <si>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</si>
  <si>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</si>
  <si>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</si>
  <si>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</si>
  <si>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</si>
  <si>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</si>
  <si>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</si>
  <si>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</si>
  <si>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</si>
  <si>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</si>
  <si>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</si>
  <si>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</si>
  <si>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</si>
  <si>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</si>
  <si>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</si>
  <si>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</si>
  <si>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</si>
  <si>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</si>
  <si>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</si>
  <si>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</si>
  <si>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</si>
  <si>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</si>
  <si>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</si>
  <si>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</si>
  <si>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</si>
  <si>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</si>
  <si>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</si>
  <si>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</si>
  <si>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</si>
  <si>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</si>
  <si>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</si>
  <si>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</si>
  <si>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</si>
  <si>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</si>
  <si>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</si>
  <si>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</si>
  <si>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</si>
  <si>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</si>
  <si>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</si>
  <si>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</si>
  <si>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</si>
  <si>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</si>
  <si>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</si>
  <si>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</si>
  <si>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</si>
  <si>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</si>
  <si>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</si>
  <si>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</si>
  <si>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</si>
  <si>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</si>
  <si>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</si>
  <si>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</si>
  <si>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</si>
  <si>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</si>
  <si>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</si>
  <si>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</si>
  <si>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</si>
  <si>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</si>
  <si>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</si>
  <si>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</si>
  <si>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</si>
  <si>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</si>
  <si>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</si>
  <si>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</si>
  <si>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</si>
  <si>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</si>
  <si>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</si>
  <si>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</si>
  <si>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</si>
  <si>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</si>
  <si>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</si>
  <si>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</si>
  <si>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</si>
  <si>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</si>
  <si>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</si>
  <si>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</si>
  <si>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</si>
  <si>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</si>
  <si>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</si>
  <si>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</si>
  <si>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</si>
  <si>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</si>
  <si>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</si>
  <si>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</si>
  <si>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</si>
  <si>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</si>
  <si>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</si>
  <si>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</si>
  <si>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</si>
  <si>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</si>
  <si>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</si>
  <si>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</si>
  <si>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</si>
  <si>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</si>
  <si>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</si>
  <si>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</si>
  <si>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</si>
  <si>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</si>
  <si>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</si>
  <si>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</si>
  <si>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</si>
  <si>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</si>
  <si>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</si>
  <si>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</si>
  <si>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</si>
  <si>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</si>
  <si>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</si>
  <si>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</si>
  <si>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</si>
  <si>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</si>
  <si>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</si>
  <si>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</si>
  <si>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</si>
  <si>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</si>
  <si>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</si>
  <si>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</si>
  <si>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</si>
  <si>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</si>
  <si>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</si>
  <si>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</si>
  <si>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</si>
  <si>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</si>
  <si>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</si>
  <si>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</si>
  <si>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</si>
  <si>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</si>
  <si>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</si>
  <si>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</si>
  <si>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</si>
  <si>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</si>
  <si>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</si>
  <si>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</si>
  <si>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</si>
  <si>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</si>
  <si>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</si>
  <si>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</si>
  <si>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</si>
  <si>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</si>
  <si>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</si>
  <si>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</si>
  <si>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</si>
  <si>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</si>
  <si>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</si>
  <si>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</si>
  <si>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</si>
  <si>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</si>
  <si>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</si>
  <si>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</si>
  <si>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</si>
  <si>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</si>
  <si>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</si>
  <si>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</si>
  <si>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</si>
  <si>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</si>
  <si>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</si>
  <si>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</si>
  <si>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</si>
  <si>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</si>
  <si>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</si>
  <si>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</si>
  <si>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</si>
  <si>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</si>
  <si>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</si>
  <si>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</si>
  <si>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</si>
  <si>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</si>
  <si>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</si>
  <si>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</si>
  <si>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</si>
  <si>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</si>
  <si>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</si>
  <si>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</si>
  <si>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</si>
  <si>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</si>
  <si>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</si>
  <si>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</si>
  <si>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</si>
  <si>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</si>
  <si>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</si>
  <si>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</si>
  <si>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</si>
  <si>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</si>
  <si>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</si>
  <si>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</si>
  <si>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</si>
  <si>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</si>
  <si>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</si>
  <si>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</si>
  <si>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</si>
  <si>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</si>
  <si>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</si>
  <si>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</si>
  <si>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</si>
  <si>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</si>
  <si>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</si>
  <si>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</si>
  <si>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</si>
  <si>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</si>
  <si>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</si>
  <si>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</si>
  <si>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</si>
  <si>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</si>
  <si>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</si>
  <si>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</si>
  <si>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</si>
  <si>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</si>
  <si>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</si>
  <si>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</si>
  <si>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</si>
  <si>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</si>
  <si>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</si>
  <si>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</si>
  <si>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</si>
  <si>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</si>
  <si>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</si>
  <si>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</si>
  <si>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</si>
  <si>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</si>
  <si>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</si>
  <si>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</si>
  <si>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</si>
  <si>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</si>
  <si>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</si>
  <si>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</si>
  <si>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</si>
  <si>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</si>
  <si>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</si>
  <si>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</si>
  <si>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</si>
  <si>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</si>
  <si>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</si>
  <si>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</si>
  <si>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</si>
  <si>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</si>
  <si>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</si>
  <si>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</si>
  <si>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</si>
  <si>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</si>
  <si>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</si>
  <si>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</si>
  <si>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</si>
  <si>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</si>
  <si>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</si>
  <si>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</si>
  <si>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</si>
  <si>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</si>
  <si>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</si>
  <si>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</si>
  <si>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</si>
  <si>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</si>
  <si>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</si>
  <si>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</si>
  <si>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</si>
  <si>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</si>
  <si>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</si>
  <si>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</si>
  <si>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</si>
  <si>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</si>
  <si>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</si>
  <si>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</si>
  <si>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</si>
  <si>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</si>
  <si>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</si>
  <si>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</si>
  <si>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</si>
  <si>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</si>
  <si>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</si>
  <si>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</si>
  <si>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</si>
  <si>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</si>
  <si>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</si>
  <si>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</si>
  <si>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</si>
  <si>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</si>
  <si>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</si>
  <si>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</si>
  <si>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</si>
  <si>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</si>
  <si>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</si>
  <si>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</si>
  <si>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</si>
  <si>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</si>
  <si>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</si>
  <si>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</si>
  <si>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</si>
  <si>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</si>
  <si>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</si>
  <si>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</si>
  <si>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</si>
  <si>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</si>
  <si>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</si>
  <si>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</si>
  <si>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</si>
  <si>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</si>
  <si>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</si>
  <si>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</si>
  <si>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</si>
  <si>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</si>
  <si>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</si>
  <si>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</si>
  <si>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</si>
  <si>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</si>
  <si>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</si>
  <si>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</si>
  <si>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</si>
  <si>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</si>
  <si>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</si>
  <si>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</si>
  <si>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</si>
  <si>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</si>
  <si>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</si>
  <si>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</si>
  <si>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</si>
  <si>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</si>
  <si>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</si>
  <si>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</si>
  <si>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</si>
  <si>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</si>
  <si>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</si>
  <si>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</si>
  <si>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</si>
  <si>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</si>
  <si>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</si>
  <si>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</si>
  <si>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</si>
  <si>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</si>
  <si>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</si>
  <si>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</si>
  <si>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</si>
  <si>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</si>
  <si>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</si>
  <si>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</si>
  <si>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</si>
  <si>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</si>
  <si>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</si>
  <si>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</si>
  <si>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</si>
  <si>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</si>
  <si>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</si>
  <si>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</si>
  <si>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</si>
  <si>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</si>
  <si>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</si>
  <si>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</si>
  <si>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</si>
  <si>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</si>
  <si>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</si>
  <si>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</si>
  <si>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</si>
  <si>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</si>
  <si>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</si>
  <si>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</si>
  <si>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</si>
  <si>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</si>
  <si>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</si>
  <si>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</si>
  <si>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</si>
  <si>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</si>
  <si>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</si>
  <si>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</si>
  <si>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</si>
  <si>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</si>
  <si>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</si>
  <si>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</si>
  <si>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</si>
  <si>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</si>
  <si>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</si>
  <si>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</si>
  <si>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</si>
  <si>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</si>
  <si>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</si>
  <si>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</si>
  <si>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</si>
  <si>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</si>
  <si>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</si>
  <si>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</si>
  <si>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</si>
  <si>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</si>
  <si>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</si>
  <si>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</si>
  <si>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</si>
  <si>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</si>
  <si>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</si>
  <si>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</si>
  <si>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</si>
  <si>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</si>
  <si>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</si>
  <si>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</si>
  <si>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</si>
  <si>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</si>
  <si>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</si>
  <si>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</si>
  <si>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</si>
  <si>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</si>
  <si>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</si>
  <si>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</si>
  <si>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</si>
  <si>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</si>
  <si>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</si>
  <si>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</si>
  <si>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</si>
  <si>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</si>
  <si>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</si>
  <si>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</si>
  <si>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</si>
  <si>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</si>
  <si>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</si>
  <si>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</si>
  <si>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</si>
  <si>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</si>
  <si>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</si>
  <si>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</si>
  <si>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</si>
  <si>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</si>
  <si>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</si>
  <si>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</si>
  <si>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</si>
  <si>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</si>
  <si>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</si>
  <si>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</si>
  <si>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</si>
  <si>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</si>
  <si>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</si>
  <si>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</si>
  <si>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</si>
  <si>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</si>
  <si>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</si>
  <si>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</si>
  <si>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</si>
  <si>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</si>
  <si>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</si>
  <si>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</si>
  <si>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</si>
  <si>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</si>
  <si>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</si>
  <si>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</si>
  <si>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</si>
  <si>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</si>
  <si>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</si>
  <si>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</si>
  <si>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</si>
  <si>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</si>
  <si>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</si>
  <si>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</si>
  <si>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</si>
  <si>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</si>
  <si>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</si>
  <si>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</si>
  <si>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</si>
  <si>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</si>
  <si>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</si>
  <si>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</si>
  <si>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</si>
  <si>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</si>
  <si>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</si>
  <si>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</si>
  <si>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</si>
  <si>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</si>
  <si>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</si>
  <si>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</si>
  <si>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</si>
  <si>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</si>
  <si>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</si>
  <si>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</si>
  <si>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</si>
  <si>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</si>
  <si>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</si>
  <si>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</si>
  <si>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</si>
  <si>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</si>
  <si>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</si>
  <si>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</si>
  <si>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</si>
  <si>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</si>
  <si>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</si>
  <si>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</si>
  <si>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</si>
  <si>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</si>
  <si>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</si>
  <si>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</si>
  <si>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</si>
  <si>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</si>
  <si>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</si>
  <si>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</si>
  <si>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</si>
  <si>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</si>
  <si>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</si>
  <si>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</si>
  <si>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</si>
  <si>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</si>
  <si>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</si>
  <si>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</si>
  <si>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</si>
  <si>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</si>
  <si>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</si>
  <si>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</si>
  <si>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</si>
  <si>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</si>
  <si>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</si>
  <si>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</si>
  <si>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</si>
  <si>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</si>
  <si>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</si>
  <si>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</si>
  <si>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</si>
  <si>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</si>
  <si>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</si>
  <si>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</si>
  <si>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</si>
  <si>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</si>
  <si>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</si>
  <si>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</si>
  <si>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</si>
  <si>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</si>
  <si>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</si>
  <si>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</si>
  <si>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</si>
  <si>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</si>
  <si>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</si>
  <si>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</si>
  <si>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</si>
  <si>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</si>
  <si>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</si>
  <si>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</si>
  <si>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</si>
  <si>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</si>
  <si>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</si>
  <si>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</si>
  <si>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</si>
  <si>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</si>
  <si>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</si>
  <si>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</si>
  <si>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</si>
  <si>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</si>
  <si>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</si>
  <si>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</si>
  <si>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</si>
  <si>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</si>
  <si>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</si>
  <si>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</si>
  <si>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</si>
  <si>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</si>
  <si>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</si>
  <si>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</si>
  <si>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</si>
  <si>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</si>
  <si>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</si>
  <si>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</si>
  <si>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</si>
  <si>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</si>
  <si>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</si>
  <si>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</si>
  <si>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</si>
  <si>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</si>
  <si>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</si>
  <si>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</si>
  <si>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</si>
  <si>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</si>
  <si>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</si>
  <si>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</si>
  <si>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</si>
  <si>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</si>
  <si>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</si>
  <si>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</si>
  <si>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</si>
  <si>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</si>
  <si>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</si>
  <si>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</si>
  <si>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</si>
  <si>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</si>
  <si>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</si>
  <si>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</si>
  <si>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</si>
  <si>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</si>
  <si>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</si>
  <si>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</si>
  <si>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</si>
  <si>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</si>
  <si>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</si>
  <si>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</si>
  <si>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</si>
  <si>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</si>
  <si>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</si>
  <si>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</si>
  <si>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</si>
  <si>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</si>
  <si>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</si>
  <si>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</si>
  <si>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</si>
  <si>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</si>
  <si>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</si>
  <si>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</si>
  <si>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</si>
  <si>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</si>
  <si>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</si>
  <si>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</si>
  <si>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</si>
  <si>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</si>
  <si>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</si>
  <si>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</si>
  <si>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</si>
  <si>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</si>
  <si>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</si>
  <si>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</si>
  <si>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</si>
  <si>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</si>
  <si>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</si>
  <si>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</si>
  <si>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</si>
  <si>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</si>
  <si>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</si>
  <si>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</si>
  <si>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</si>
  <si>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</si>
  <si>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</si>
  <si>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</si>
  <si>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</si>
  <si>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</si>
  <si>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</si>
  <si>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</si>
  <si>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</si>
  <si>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</si>
  <si>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</si>
  <si>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</si>
  <si>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</si>
  <si>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</si>
  <si>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</si>
  <si>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</si>
  <si>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</si>
  <si>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</si>
  <si>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</si>
  <si>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</si>
  <si>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</si>
  <si>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</si>
  <si>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</si>
  <si>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</si>
  <si>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</si>
  <si>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</si>
  <si>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</si>
  <si>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</si>
  <si>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</si>
  <si>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</si>
  <si>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</si>
  <si>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</si>
  <si>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</si>
  <si>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</si>
  <si>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</si>
  <si>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</si>
  <si>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</si>
  <si>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</si>
  <si>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</si>
  <si>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</si>
  <si>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</si>
  <si>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</si>
  <si>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</si>
  <si>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</si>
  <si>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</si>
  <si>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</si>
  <si>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</si>
  <si>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</si>
  <si>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</si>
  <si>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</si>
  <si>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</si>
  <si>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</si>
  <si>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</si>
  <si>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</si>
  <si>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</si>
  <si>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</si>
  <si>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</si>
  <si>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</si>
  <si>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</si>
  <si>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</si>
  <si>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</si>
  <si>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</si>
  <si>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</si>
  <si>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</si>
  <si>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</si>
  <si>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</si>
  <si>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</si>
  <si>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</si>
  <si>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</si>
  <si>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</si>
  <si>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</si>
  <si>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</si>
  <si>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</si>
  <si>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</si>
  <si>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</si>
  <si>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</si>
  <si>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</si>
  <si>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</si>
  <si>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</si>
  <si>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</si>
  <si>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</si>
  <si>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</si>
  <si>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</si>
  <si>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</si>
  <si>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</si>
  <si>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</si>
  <si>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</si>
  <si>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</si>
  <si>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</si>
  <si>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</si>
  <si>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</si>
  <si>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</si>
  <si>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</si>
  <si>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</si>
  <si>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</si>
  <si>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</si>
  <si>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</si>
  <si>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</si>
  <si>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</si>
  <si>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</si>
  <si>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</si>
  <si>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</si>
  <si>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</si>
  <si>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</si>
  <si>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</si>
  <si>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</si>
  <si>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</si>
  <si>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</si>
  <si>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</si>
  <si>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</si>
  <si>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</si>
  <si>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</si>
  <si>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</si>
  <si>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</si>
  <si>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</si>
  <si>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</si>
  <si>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</si>
  <si>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</si>
  <si>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</si>
  <si>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</si>
  <si>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</si>
  <si>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</si>
  <si>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</si>
  <si>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</si>
  <si>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</si>
  <si>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</si>
  <si>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</si>
  <si>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</si>
  <si>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</si>
  <si>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</si>
  <si>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</si>
  <si>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</si>
  <si>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</si>
  <si>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</si>
  <si>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</si>
  <si>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</si>
  <si>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</si>
  <si>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</si>
  <si>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</si>
  <si>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</si>
  <si>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</si>
  <si>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</si>
  <si>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</si>
  <si>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</si>
  <si>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</si>
  <si>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</si>
  <si>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</si>
  <si>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</si>
  <si>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</si>
  <si>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</si>
  <si>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</si>
  <si>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</si>
  <si>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</si>
  <si>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</si>
  <si>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</si>
  <si>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</si>
  <si>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</si>
  <si>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</si>
  <si>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</si>
  <si>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</si>
  <si>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</si>
  <si>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</si>
  <si>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</si>
  <si>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</si>
  <si>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</si>
  <si>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</si>
  <si>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</si>
  <si>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</si>
  <si>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</si>
  <si>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</si>
  <si>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</si>
  <si>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</si>
  <si>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</si>
  <si>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</si>
  <si>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</si>
  <si>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</si>
  <si>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</si>
  <si>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</si>
  <si>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</si>
  <si>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</si>
  <si>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</si>
  <si>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</si>
  <si>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</si>
  <si>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</si>
  <si>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</si>
  <si>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</si>
  <si>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</si>
  <si>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</si>
  <si>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</si>
  <si>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</si>
  <si>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</si>
  <si>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</si>
  <si>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</si>
  <si>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</si>
  <si>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</si>
  <si>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</si>
  <si>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</si>
  <si>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</si>
  <si>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</si>
  <si>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</si>
  <si>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</si>
  <si>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</si>
  <si>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</si>
  <si>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</si>
  <si>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</si>
  <si>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</si>
  <si>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</si>
  <si>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</si>
  <si>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</si>
  <si>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</si>
  <si>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</si>
  <si>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</si>
  <si>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</si>
  <si>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</si>
  <si>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</si>
  <si>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</si>
  <si>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</si>
  <si>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</si>
  <si>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</si>
  <si>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</si>
  <si>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</si>
  <si>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</si>
  <si>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</si>
  <si>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</si>
  <si>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</si>
  <si>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</si>
  <si>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</si>
  <si>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</si>
  <si>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</si>
  <si>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</si>
  <si>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</si>
  <si>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</si>
  <si>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</si>
  <si>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</si>
  <si>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</si>
  <si>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</si>
  <si>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</si>
  <si>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</si>
  <si>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</si>
  <si>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</si>
  <si>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</si>
  <si>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</si>
  <si>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</si>
  <si>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</si>
  <si>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</si>
  <si>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</si>
  <si>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</si>
  <si>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</si>
  <si>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</si>
  <si>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</si>
  <si>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</si>
  <si>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</si>
  <si>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</si>
  <si>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</si>
  <si>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</si>
  <si>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</si>
  <si>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</si>
  <si>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</si>
  <si>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</si>
  <si>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</si>
  <si>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</si>
  <si>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</si>
  <si>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</si>
  <si>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</si>
  <si>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</si>
  <si>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</si>
  <si>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</si>
  <si>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</si>
  <si>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</si>
  <si>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</si>
  <si>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</si>
  <si>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</si>
  <si>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</si>
  <si>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</si>
  <si>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</si>
  <si>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</si>
  <si>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</si>
  <si>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</si>
  <si>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</si>
  <si>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</si>
  <si>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</si>
  <si>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</si>
  <si>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</si>
  <si>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</si>
  <si>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</si>
  <si>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</si>
  <si>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</si>
  <si>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</si>
  <si>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</si>
  <si>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</si>
  <si>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</si>
  <si>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</si>
  <si>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</si>
  <si>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</si>
  <si>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</si>
  <si>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</si>
  <si>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</si>
  <si>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</si>
  <si>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</si>
  <si>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</si>
  <si>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</si>
  <si>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</si>
  <si>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</si>
  <si>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</si>
  <si>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</si>
  <si>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</si>
  <si>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</si>
  <si>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</si>
  <si>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</si>
  <si>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</si>
  <si>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</si>
  <si>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</si>
  <si>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</si>
  <si>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</si>
  <si>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</si>
  <si>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</si>
  <si>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</si>
  <si>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</si>
  <si>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</si>
  <si>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</si>
  <si>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</si>
  <si>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</si>
  <si>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</si>
  <si>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</si>
  <si>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</si>
  <si>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</si>
  <si>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</si>
  <si>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</si>
  <si>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</si>
  <si>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</si>
  <si>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</si>
  <si>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</si>
  <si>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</si>
  <si>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</si>
  <si>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</si>
  <si>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</si>
  <si>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</si>
  <si>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</si>
  <si>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</si>
  <si>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</si>
  <si>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</si>
  <si>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</si>
  <si>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</si>
  <si>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</si>
  <si>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</si>
  <si>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</si>
  <si>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</si>
  <si>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</si>
  <si>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</si>
  <si>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</si>
  <si>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</si>
  <si>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</si>
  <si>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</si>
  <si>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</si>
  <si>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</si>
  <si>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</si>
  <si>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</si>
  <si>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</si>
  <si>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</si>
  <si>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</si>
  <si>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</si>
  <si>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</si>
  <si>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</si>
  <si>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</si>
  <si>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</si>
  <si>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</si>
  <si>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</si>
  <si>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</si>
  <si>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</si>
  <si>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</si>
  <si>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</si>
  <si>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</si>
  <si>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</si>
  <si>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</si>
  <si>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</si>
  <si>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</si>
  <si>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</si>
  <si>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</si>
  <si>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</si>
  <si>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</si>
  <si>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</si>
  <si>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</si>
  <si>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</si>
  <si>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</si>
  <si>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</si>
  <si>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</si>
  <si>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</si>
  <si>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</si>
  <si>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</si>
  <si>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</si>
  <si>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</si>
  <si>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</si>
  <si>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</si>
  <si>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</si>
  <si>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</si>
  <si>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</si>
  <si>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</si>
  <si>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</si>
  <si>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</si>
  <si>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</si>
  <si>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</si>
  <si>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</si>
  <si>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</si>
  <si>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</si>
  <si>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</si>
  <si>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</si>
  <si>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</si>
  <si>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</si>
  <si>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</si>
  <si>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</si>
  <si>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</si>
  <si>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</si>
  <si>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</si>
  <si>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</si>
  <si>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</si>
  <si>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</si>
  <si>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</si>
  <si>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</si>
  <si>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</si>
  <si>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</si>
  <si>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</si>
  <si>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</si>
  <si>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</si>
  <si>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</si>
  <si>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</si>
  <si>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</si>
  <si>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</si>
  <si>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</si>
  <si>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</si>
  <si>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</si>
  <si>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</si>
  <si>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</si>
  <si>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</si>
  <si>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</si>
  <si>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</si>
  <si>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</si>
  <si>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</si>
  <si>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</si>
  <si>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</si>
  <si>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</si>
  <si>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</si>
  <si>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</si>
  <si>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</si>
  <si>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</si>
  <si>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</si>
  <si>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</si>
  <si>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</si>
  <si>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</si>
  <si>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</si>
  <si>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</si>
  <si>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</si>
  <si>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</si>
  <si>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</si>
  <si>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</si>
  <si>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</si>
  <si>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</si>
  <si>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</si>
  <si>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</si>
  <si>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</si>
  <si>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</si>
  <si>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</si>
  <si>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</si>
  <si>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</si>
  <si>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</si>
  <si>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</si>
  <si>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</si>
  <si>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</si>
  <si>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</si>
  <si>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</si>
  <si>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</si>
  <si>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</si>
  <si>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</si>
  <si>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</si>
  <si>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</si>
  <si>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</si>
  <si>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</si>
  <si>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</si>
  <si>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</si>
  <si>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</si>
  <si>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</si>
  <si>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</si>
  <si>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</si>
  <si>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</si>
  <si>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</si>
  <si>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</si>
  <si>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</si>
  <si>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</si>
  <si>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</si>
  <si>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</si>
  <si>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</si>
  <si>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</si>
  <si>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</si>
  <si>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</si>
  <si>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</si>
  <si>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</si>
  <si>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</si>
  <si>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</si>
  <si>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</si>
  <si>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</si>
  <si>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</si>
  <si>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</si>
  <si>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</si>
  <si>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</si>
  <si>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</si>
  <si>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</si>
  <si>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</si>
  <si>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</si>
  <si>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</si>
  <si>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</si>
  <si>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</si>
  <si>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</si>
  <si>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</si>
  <si>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</si>
  <si>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</si>
  <si>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</si>
  <si>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</si>
  <si>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</si>
  <si>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</si>
  <si>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</si>
  <si>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</si>
  <si>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</si>
  <si>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</si>
  <si>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</si>
  <si>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</si>
  <si>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</si>
  <si>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</si>
  <si>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</si>
  <si>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</si>
  <si>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</si>
  <si>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</si>
  <si>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</si>
  <si>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</si>
  <si>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</si>
  <si>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</si>
  <si>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</si>
  <si>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</si>
  <si>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</si>
  <si>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</si>
  <si>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</si>
  <si>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</si>
  <si>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</si>
  <si>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</si>
  <si>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</si>
  <si>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</si>
  <si>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</si>
  <si>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</si>
  <si>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</si>
  <si>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</si>
  <si>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</si>
  <si>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</si>
  <si>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</si>
  <si>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</si>
  <si>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</si>
  <si>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</si>
  <si>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</si>
  <si>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</si>
  <si>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</si>
  <si>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</si>
  <si>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</si>
  <si>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</si>
  <si>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</si>
  <si>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</si>
  <si>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</si>
  <si>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</si>
  <si>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</si>
  <si>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</si>
  <si>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</si>
  <si>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</si>
  <si>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</si>
  <si>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</si>
  <si>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</si>
  <si>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</si>
  <si>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</si>
  <si>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</si>
  <si>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</si>
  <si>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</si>
  <si>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</si>
  <si>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</si>
  <si>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</si>
  <si>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</si>
  <si>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</si>
  <si>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</si>
  <si>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</si>
  <si>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</si>
  <si>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</si>
  <si>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</si>
  <si>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</si>
  <si>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</si>
  <si>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</si>
  <si>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</si>
  <si>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</si>
  <si>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</si>
  <si>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</si>
  <si>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</si>
  <si>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</si>
  <si>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</si>
  <si>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</si>
  <si>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</si>
  <si>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</si>
  <si>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</si>
  <si>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</si>
  <si>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</si>
  <si>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</si>
  <si>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</si>
  <si>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</si>
  <si>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</si>
  <si>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</si>
  <si>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</si>
  <si>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</si>
  <si>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</si>
  <si>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</si>
  <si>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</si>
  <si>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</si>
  <si>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</si>
  <si>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</si>
  <si>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</si>
  <si>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</si>
  <si>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</si>
  <si>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</si>
  <si>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</si>
  <si>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</si>
  <si>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</si>
  <si>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</si>
  <si>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</si>
  <si>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</si>
  <si>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</si>
  <si>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</si>
  <si>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</si>
  <si>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</si>
  <si>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</si>
  <si>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</si>
  <si>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</si>
  <si>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</si>
  <si>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</si>
  <si>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</si>
  <si>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</si>
  <si>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</si>
  <si>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</si>
  <si>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</si>
  <si>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</si>
  <si>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</si>
  <si>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</si>
  <si>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</si>
  <si>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</si>
  <si>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</si>
  <si>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</si>
  <si>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</si>
  <si>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</si>
  <si>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</si>
  <si>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</si>
  <si>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</si>
  <si>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</si>
  <si>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</si>
  <si>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</si>
  <si>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</si>
  <si>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</si>
  <si>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</si>
  <si>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</si>
  <si>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</si>
  <si>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</si>
  <si>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</si>
  <si>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</si>
  <si>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</si>
  <si>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</si>
  <si>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</si>
  <si>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</si>
  <si>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</si>
  <si>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</si>
  <si>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</si>
  <si>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</si>
  <si>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</si>
  <si>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</si>
  <si>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</si>
  <si>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</si>
  <si>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</si>
  <si>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</si>
  <si>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</si>
  <si>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</si>
  <si>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</si>
  <si>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</si>
  <si>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</si>
  <si>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</si>
  <si>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</si>
  <si>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</si>
  <si>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</si>
  <si>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</si>
  <si>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</si>
  <si>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</si>
  <si>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</si>
  <si>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</si>
  <si>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</si>
  <si>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</si>
  <si>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</si>
  <si>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</si>
  <si>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</si>
  <si>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</si>
  <si>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</si>
  <si>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</si>
  <si>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</si>
  <si>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</si>
  <si>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</si>
  <si>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</si>
  <si>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</si>
  <si>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</si>
  <si>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</si>
  <si>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</si>
  <si>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</si>
  <si>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</si>
  <si>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</si>
  <si>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</si>
  <si>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</si>
  <si>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</si>
  <si>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</si>
  <si>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</si>
  <si>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</si>
  <si>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</si>
  <si>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</si>
  <si>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</si>
  <si>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</si>
  <si>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</si>
  <si>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</si>
  <si>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</si>
  <si>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</si>
  <si>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</si>
  <si>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</si>
  <si>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</si>
  <si>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</si>
  <si>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</si>
  <si>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</si>
  <si>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</si>
  <si>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</si>
  <si>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</si>
  <si>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</si>
  <si>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</si>
  <si>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</si>
  <si>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</si>
  <si>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</si>
  <si>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</si>
  <si>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</si>
  <si>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</si>
  <si>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</si>
  <si>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</si>
  <si>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</si>
  <si>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</si>
  <si>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</si>
  <si>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</si>
  <si>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</si>
  <si>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</si>
  <si>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</si>
  <si>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</si>
  <si>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</si>
  <si>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</si>
  <si>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</si>
  <si>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</si>
  <si>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</si>
  <si>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</si>
  <si>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</si>
  <si>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</si>
  <si>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</si>
  <si>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</si>
  <si>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</si>
  <si>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</si>
  <si>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</si>
  <si>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</si>
  <si>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</si>
  <si>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</si>
  <si>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</si>
  <si>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</si>
  <si>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</si>
  <si>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</si>
  <si>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</si>
  <si>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</si>
  <si>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</si>
  <si>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</si>
  <si>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</si>
  <si>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</si>
  <si>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</si>
  <si>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</si>
  <si>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</si>
  <si>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</si>
  <si>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</si>
  <si>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</si>
  <si>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</si>
  <si>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</si>
  <si>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</si>
  <si>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</si>
  <si>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</si>
  <si>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</si>
  <si>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</si>
  <si>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</si>
  <si>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</si>
  <si>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</si>
  <si>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</si>
  <si>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</si>
  <si>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</si>
  <si>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</si>
  <si>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</si>
  <si>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</si>
  <si>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</si>
  <si>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</si>
  <si>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</si>
  <si>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</si>
  <si>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</si>
  <si>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</si>
  <si>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</si>
  <si>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</si>
  <si>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</si>
  <si>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</si>
  <si>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</si>
  <si>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</si>
  <si>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</si>
  <si>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</si>
  <si>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</si>
  <si>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</si>
  <si>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</si>
  <si>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</si>
  <si>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</si>
  <si>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</si>
  <si>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</si>
  <si>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</si>
  <si>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</si>
  <si>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</si>
  <si>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</si>
  <si>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</si>
  <si>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</si>
  <si>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</si>
  <si>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</si>
  <si>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</si>
  <si>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</si>
  <si>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</si>
  <si>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</si>
  <si>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</si>
  <si>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</si>
  <si>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</si>
  <si>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</si>
  <si>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</si>
  <si>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</si>
  <si>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</si>
  <si>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</si>
  <si>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</si>
  <si>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</si>
  <si>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</si>
  <si>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</si>
  <si>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</si>
  <si>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</si>
  <si>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</si>
  <si>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</si>
  <si>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</si>
  <si>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</si>
  <si>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</si>
  <si>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</si>
  <si>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</si>
  <si>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</si>
  <si>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</si>
  <si>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</si>
  <si>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</si>
  <si>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</si>
  <si>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</si>
  <si>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</si>
  <si>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</si>
  <si>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</si>
  <si>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</si>
  <si>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</si>
  <si>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</si>
  <si>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</si>
  <si>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</si>
  <si>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</si>
  <si>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</si>
  <si>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</si>
  <si>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</si>
  <si>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</si>
  <si>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</si>
  <si>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</si>
  <si>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</si>
  <si>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</si>
  <si>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</si>
  <si>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</si>
  <si>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</si>
  <si>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</si>
  <si>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</si>
  <si>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</si>
  <si>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</si>
  <si>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</si>
  <si>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</si>
  <si>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</si>
  <si>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</si>
  <si>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</si>
  <si>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</si>
  <si>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</si>
  <si>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</si>
  <si>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</si>
  <si>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</si>
  <si>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</si>
  <si>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</si>
  <si>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</si>
  <si>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</si>
  <si>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</si>
  <si>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</si>
  <si>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</si>
  <si>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</si>
  <si>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</si>
  <si>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</si>
  <si>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</si>
  <si>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</si>
  <si>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</si>
  <si>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</si>
  <si>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</si>
  <si>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</si>
  <si>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</si>
  <si>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</si>
  <si>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</si>
  <si>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</si>
  <si>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</si>
  <si>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</si>
  <si>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</si>
  <si>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</si>
  <si>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</si>
  <si>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</si>
  <si>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</si>
  <si>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</si>
  <si>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</si>
  <si>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</si>
  <si>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</si>
  <si>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</si>
  <si>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</si>
  <si>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</si>
  <si>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</si>
  <si>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</si>
  <si>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</si>
  <si>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</si>
  <si>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</si>
  <si>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</si>
  <si>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</si>
  <si>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</si>
  <si>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</si>
  <si>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</si>
  <si>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</si>
  <si>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</si>
  <si>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</si>
  <si>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</si>
  <si>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</si>
  <si>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</si>
  <si>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</si>
  <si>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</si>
  <si>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</si>
  <si>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</si>
  <si>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</si>
  <si>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</si>
  <si>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</si>
  <si>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</si>
  <si>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</si>
  <si>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</si>
  <si>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</si>
  <si>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</si>
  <si>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</si>
  <si>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</si>
  <si>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</si>
  <si>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</si>
  <si>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</si>
  <si>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</si>
  <si>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</si>
  <si>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</si>
  <si>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</si>
  <si>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</si>
  <si>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</si>
  <si>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</si>
  <si>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</si>
  <si>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</si>
  <si>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</si>
  <si>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</si>
  <si>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</si>
  <si>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</si>
  <si>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</si>
  <si>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</si>
  <si>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</si>
  <si>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</si>
  <si>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</si>
  <si>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</si>
  <si>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</si>
  <si>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</si>
  <si>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</si>
  <si>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</si>
  <si>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</si>
  <si>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</si>
  <si>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</si>
  <si>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</si>
  <si>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</si>
  <si>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</si>
  <si>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</si>
  <si>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</si>
  <si>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</si>
  <si>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</si>
  <si>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</si>
  <si>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</si>
  <si>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</si>
  <si>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</si>
  <si>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</si>
  <si>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</si>
  <si>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</si>
  <si>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</si>
  <si>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</si>
  <si>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</si>
  <si>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</si>
  <si>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</si>
  <si>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</si>
  <si>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</si>
  <si>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</si>
  <si>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</si>
  <si>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</si>
  <si>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</si>
  <si>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</si>
  <si>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</si>
  <si>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</si>
  <si>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</si>
  <si>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</si>
  <si>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</si>
  <si>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</si>
  <si>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</si>
  <si>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</si>
  <si>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</si>
  <si>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</si>
  <si>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</si>
  <si>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</si>
  <si>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</si>
  <si>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</si>
  <si>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</si>
  <si>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</si>
  <si>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</si>
  <si>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</si>
  <si>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</si>
  <si>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</si>
  <si>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</si>
  <si>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</si>
  <si>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</si>
  <si>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</si>
  <si>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</si>
  <si>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</si>
  <si>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</si>
  <si>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</si>
  <si>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</si>
  <si>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</si>
  <si>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</si>
  <si>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</si>
  <si>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</si>
  <si>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</si>
  <si>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</si>
  <si>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</si>
  <si>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</si>
  <si>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</si>
  <si>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</si>
  <si>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</si>
  <si>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</si>
  <si>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</si>
  <si>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</si>
  <si>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</si>
  <si>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</si>
  <si>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</si>
  <si>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</si>
  <si>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</si>
  <si>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</si>
  <si>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</si>
  <si>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</si>
  <si>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</si>
  <si>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</si>
  <si>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</si>
  <si>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</si>
  <si>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</si>
  <si>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</si>
  <si>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</si>
  <si>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</si>
  <si>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</si>
  <si>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</si>
  <si>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</si>
  <si>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</si>
  <si>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</si>
  <si>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</si>
  <si>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</si>
  <si>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</si>
  <si>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</si>
  <si>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</si>
  <si>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</si>
  <si>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</si>
  <si>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</si>
  <si>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</si>
  <si>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</si>
  <si>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</si>
  <si>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</si>
  <si>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</si>
  <si>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</si>
  <si>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</si>
  <si>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</si>
  <si>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</si>
  <si>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</si>
  <si>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</si>
  <si>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</si>
  <si>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</si>
  <si>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</si>
  <si>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</si>
  <si>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</si>
  <si>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</si>
  <si>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</si>
  <si>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</si>
  <si>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</si>
  <si>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</si>
  <si>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</si>
  <si>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</si>
  <si>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</si>
  <si>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</si>
  <si>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</si>
  <si>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</si>
  <si>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</si>
  <si>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</si>
  <si>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</si>
  <si>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</si>
  <si>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</si>
  <si>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</si>
  <si>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</si>
  <si>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</si>
  <si>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</si>
  <si>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</si>
  <si>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</si>
  <si>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</si>
  <si>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</si>
  <si>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</si>
  <si>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</si>
  <si>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</si>
  <si>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</si>
  <si>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</si>
  <si>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</si>
  <si>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</si>
  <si>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</si>
  <si>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</si>
  <si>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</si>
  <si>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</si>
  <si>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</si>
  <si>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</si>
  <si>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</si>
  <si>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</si>
  <si>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</si>
  <si>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</si>
  <si>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</si>
  <si>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</si>
  <si>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</si>
  <si>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</si>
  <si>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</si>
  <si>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</si>
  <si>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</si>
  <si>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</si>
  <si>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</si>
  <si>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</si>
  <si>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</si>
  <si>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</si>
  <si>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</si>
  <si>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</si>
  <si>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</si>
  <si>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</si>
  <si>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</si>
  <si>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</si>
  <si>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</si>
  <si>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</si>
  <si>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</si>
  <si>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</si>
  <si>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</si>
  <si>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</si>
  <si>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</si>
  <si>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</si>
  <si>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</si>
  <si>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</si>
  <si>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</si>
  <si>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</si>
  <si>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</si>
  <si>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</si>
  <si>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</si>
  <si>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</si>
  <si>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</si>
  <si>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</si>
  <si>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</si>
  <si>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</si>
  <si>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</si>
  <si>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</si>
  <si>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</si>
  <si>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</si>
  <si>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</si>
  <si>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</si>
  <si>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</si>
  <si>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</si>
  <si>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</si>
  <si>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</si>
  <si>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</si>
  <si>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</si>
  <si>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</si>
  <si>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</si>
  <si>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</si>
  <si>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</si>
  <si>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</si>
  <si>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</si>
  <si>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</si>
  <si>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</si>
  <si>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</si>
  <si>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</si>
  <si>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</si>
  <si>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</si>
  <si>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</si>
  <si>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</si>
  <si>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</si>
  <si>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</si>
  <si>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</si>
  <si>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</si>
  <si>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</si>
  <si>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</si>
  <si>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</si>
  <si>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</si>
  <si>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</si>
  <si>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</si>
  <si>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</si>
  <si>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</si>
  <si>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</si>
  <si>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</si>
  <si>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</si>
  <si>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</si>
  <si>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</si>
  <si>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</si>
  <si>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</si>
  <si>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</si>
  <si>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</si>
  <si>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</si>
  <si>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</si>
  <si>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</si>
  <si>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</si>
  <si>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</si>
  <si>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</si>
  <si>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</si>
  <si>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</si>
  <si>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</si>
  <si>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</si>
  <si>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</si>
  <si>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</si>
  <si>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</si>
  <si>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</si>
  <si>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</si>
  <si>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</si>
  <si>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</si>
  <si>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</si>
  <si>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</si>
  <si>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</si>
  <si>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</si>
  <si>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</si>
  <si>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</si>
  <si>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</si>
  <si>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</si>
  <si>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</si>
  <si>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</si>
  <si>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</si>
  <si>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</si>
  <si>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</si>
  <si>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</si>
  <si>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</si>
  <si>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</si>
  <si>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</si>
  <si>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</si>
  <si>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</si>
  <si>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</si>
  <si>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</si>
  <si>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</si>
  <si>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</si>
  <si>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</si>
  <si>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</si>
  <si>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</si>
  <si>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</si>
  <si>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</si>
  <si>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</si>
  <si>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</si>
  <si>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</si>
  <si>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</si>
  <si>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</si>
  <si>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</si>
  <si>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</si>
  <si>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</si>
  <si>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</si>
  <si>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</si>
  <si>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</si>
  <si>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</si>
  <si>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</si>
  <si>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</si>
  <si>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</si>
  <si>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</si>
  <si>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</si>
  <si>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</si>
  <si>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</si>
  <si>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</si>
  <si>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</si>
  <si>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</si>
  <si>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</si>
  <si>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</si>
  <si>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</si>
  <si>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</si>
  <si>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</si>
  <si>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</si>
  <si>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</si>
  <si>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</si>
  <si>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</si>
  <si>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</si>
  <si>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</si>
  <si>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</si>
  <si>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</si>
  <si>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</si>
  <si>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</si>
  <si>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</si>
  <si>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</si>
  <si>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</si>
  <si>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</si>
  <si>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</si>
  <si>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</si>
  <si>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</si>
  <si>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</si>
  <si>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</si>
  <si>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</si>
  <si>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</si>
  <si>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</si>
  <si>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</si>
  <si>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</si>
  <si>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</si>
  <si>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</si>
  <si>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</si>
  <si>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</si>
  <si>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</si>
  <si>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</si>
  <si>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</si>
  <si>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</si>
  <si>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</si>
  <si>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</si>
  <si>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</si>
  <si>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</si>
  <si>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</si>
  <si>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</si>
  <si>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</si>
  <si>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</si>
  <si>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</si>
  <si>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</si>
  <si>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</si>
  <si>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</si>
  <si>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</si>
  <si>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</si>
  <si>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</si>
  <si>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</si>
  <si>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</si>
  <si>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</si>
  <si>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</si>
  <si>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</si>
  <si>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</si>
  <si>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</si>
  <si>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</si>
  <si>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</si>
  <si>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</si>
  <si>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</si>
  <si>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</si>
  <si>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</si>
  <si>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</si>
  <si>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</si>
  <si>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</si>
  <si>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</si>
  <si>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</si>
  <si>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</si>
  <si>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</si>
  <si>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</si>
  <si>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</si>
  <si>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</si>
  <si>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</si>
  <si>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</si>
  <si>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</si>
  <si>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</si>
  <si>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</si>
  <si>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</si>
  <si>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</si>
  <si>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</si>
  <si>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</si>
  <si>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</si>
  <si>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</si>
  <si>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</si>
  <si>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</si>
  <si>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</si>
  <si>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</si>
  <si>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</si>
  <si>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</si>
  <si>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</si>
  <si>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</si>
  <si>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</si>
  <si>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</si>
  <si>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</si>
  <si>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</si>
  <si>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</si>
  <si>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</si>
  <si>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</si>
  <si>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</si>
  <si>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</si>
  <si>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</si>
  <si>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</si>
  <si>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</si>
  <si>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</si>
  <si>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</si>
  <si>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</si>
  <si>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</si>
  <si>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</si>
  <si>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</si>
  <si>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</si>
  <si>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</si>
  <si>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</si>
  <si>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</si>
  <si>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</si>
  <si>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</si>
  <si>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</si>
  <si>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</si>
  <si>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</si>
  <si>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</si>
  <si>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</si>
  <si>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</si>
  <si>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</si>
  <si>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</si>
  <si>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</si>
  <si>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</si>
  <si>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</si>
  <si>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</si>
  <si>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</si>
  <si>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</si>
  <si>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</si>
  <si>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</si>
  <si>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</si>
  <si>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</si>
  <si>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</si>
  <si>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</si>
  <si>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</si>
  <si>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</si>
  <si>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</si>
  <si>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</si>
  <si>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</si>
  <si>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</si>
  <si>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</si>
  <si>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</si>
  <si>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</si>
  <si>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</si>
  <si>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</si>
  <si>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</si>
  <si>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</si>
  <si>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</si>
  <si>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</si>
  <si>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</si>
  <si>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</si>
  <si>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</si>
  <si>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</si>
  <si>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</si>
  <si>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</si>
  <si>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</si>
  <si>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</si>
  <si>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</si>
  <si>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</si>
  <si>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</si>
  <si>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</si>
  <si>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</si>
  <si>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</si>
  <si>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</si>
  <si>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</si>
  <si>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</si>
  <si>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</si>
  <si>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</si>
  <si>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</si>
  <si>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</si>
  <si>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</si>
  <si>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</si>
  <si>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</si>
  <si>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</si>
  <si>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</si>
  <si>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</si>
  <si>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</si>
  <si>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</si>
  <si>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</si>
  <si>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</si>
  <si>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</si>
  <si>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</si>
  <si>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</si>
  <si>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</si>
  <si>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</si>
  <si>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</si>
  <si>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</si>
  <si>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</si>
  <si>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</si>
  <si>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</si>
  <si>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</si>
  <si>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</si>
  <si>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</si>
  <si>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</si>
  <si>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</si>
  <si>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</si>
  <si>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</si>
  <si>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</si>
  <si>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</si>
  <si>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</si>
  <si>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</si>
  <si>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</si>
  <si>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</si>
  <si>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</si>
  <si>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</si>
  <si>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</si>
  <si>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</si>
  <si>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</si>
  <si>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</si>
  <si>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</si>
  <si>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</si>
  <si>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</si>
  <si>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</si>
  <si>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</si>
  <si>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</si>
  <si>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</si>
  <si>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</si>
  <si>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</si>
  <si>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</si>
  <si>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</si>
  <si>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</si>
  <si>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</si>
  <si>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</si>
  <si>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</si>
  <si>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</si>
  <si>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</si>
  <si>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</si>
  <si>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</si>
  <si>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</si>
  <si>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</si>
  <si>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</si>
  <si>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</si>
  <si>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</si>
  <si>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</si>
  <si>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</si>
  <si>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</si>
  <si>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</si>
  <si>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</si>
  <si>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</si>
  <si>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</si>
  <si>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</si>
  <si>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</si>
  <si>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</si>
  <si>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</si>
  <si>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</si>
  <si>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</si>
  <si>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</si>
  <si>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</si>
  <si>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</si>
  <si>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</si>
  <si>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</si>
  <si>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</si>
  <si>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</si>
  <si>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</si>
  <si>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</si>
  <si>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</si>
  <si>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</si>
  <si>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</si>
  <si>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</si>
  <si>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</si>
  <si>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</si>
  <si>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</si>
  <si>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</si>
  <si>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</si>
  <si>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</si>
  <si>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</si>
  <si>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</si>
  <si>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</si>
  <si>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</si>
  <si>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</si>
  <si>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</si>
  <si>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</si>
  <si>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</si>
  <si>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</si>
  <si>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</si>
  <si>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</si>
  <si>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</si>
  <si>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</si>
  <si>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</si>
  <si>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</si>
  <si>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</si>
  <si>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</si>
  <si>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</si>
  <si>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</si>
  <si>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</si>
  <si>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</si>
  <si>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</si>
  <si>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</si>
  <si>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</si>
  <si>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</si>
  <si>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</si>
  <si>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</si>
  <si>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</si>
  <si>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</si>
  <si>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</si>
  <si>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</si>
  <si>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</si>
  <si>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</si>
  <si>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</si>
  <si>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</si>
  <si>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</si>
  <si>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</si>
  <si>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</si>
  <si>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</si>
  <si>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</si>
  <si>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</si>
  <si>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</si>
  <si>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</si>
  <si>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</si>
  <si>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</si>
  <si>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</si>
  <si>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</si>
  <si>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</si>
  <si>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</si>
  <si>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</si>
  <si>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</si>
  <si>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</si>
  <si>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</si>
  <si>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</si>
  <si>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</si>
  <si>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</si>
  <si>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</si>
  <si>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</si>
  <si>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</si>
  <si>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</si>
  <si>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</si>
  <si>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</si>
  <si>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</si>
  <si>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</si>
  <si>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</si>
  <si>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</si>
  <si>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</si>
  <si>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</si>
  <si>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</si>
  <si>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</si>
  <si>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</si>
  <si>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</si>
  <si>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</si>
  <si>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</si>
  <si>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</si>
  <si>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</si>
  <si>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</si>
  <si>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</si>
  <si>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</si>
  <si>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</si>
  <si>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</si>
  <si>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</si>
  <si>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</si>
  <si>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</si>
  <si>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</si>
  <si>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</si>
  <si>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</si>
  <si>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</si>
  <si>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</si>
  <si>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</si>
  <si>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</si>
  <si>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</si>
  <si>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</si>
  <si>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</si>
  <si>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</si>
  <si>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</si>
  <si>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</si>
  <si>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</si>
  <si>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</si>
  <si>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</si>
  <si>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</si>
  <si>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</si>
  <si>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</si>
  <si>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</si>
  <si>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</si>
  <si>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</si>
  <si>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</si>
  <si>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</si>
  <si>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</si>
  <si>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</si>
  <si>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</si>
  <si>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</si>
  <si>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</si>
  <si>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</si>
  <si>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</si>
  <si>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</si>
  <si>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</si>
  <si>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</si>
  <si>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</si>
  <si>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</si>
  <si>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</si>
  <si>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</si>
  <si>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</si>
  <si>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</si>
  <si>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</si>
  <si>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</si>
  <si>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</si>
  <si>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</si>
  <si>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</si>
  <si>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</si>
  <si>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</si>
  <si>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</si>
  <si>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</si>
  <si>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</si>
  <si>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</si>
  <si>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</si>
  <si>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</si>
  <si>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</si>
  <si>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</si>
  <si>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</si>
  <si>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</si>
  <si>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</si>
  <si>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</si>
  <si>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</si>
  <si>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</si>
  <si>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</si>
  <si>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</si>
  <si>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</si>
  <si>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</si>
  <si>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</si>
  <si>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</si>
  <si>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</si>
  <si>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</si>
  <si>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</si>
  <si>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</si>
  <si>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</si>
  <si>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</si>
  <si>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</si>
  <si>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</si>
  <si>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</si>
  <si>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</si>
  <si>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</si>
  <si>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</si>
  <si>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t>正常</t>
  </si>
  <si>
    <t>住宅</t>
    <phoneticPr fontId="26" type="noConversion"/>
  </si>
  <si>
    <t>一般</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</si>
  <si>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</si>
  <si>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</si>
  <si>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</si>
  <si>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</si>
  <si>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</si>
  <si>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</si>
  <si>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</si>
  <si>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</si>
  <si>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</si>
  <si>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</si>
  <si>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</si>
  <si>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</si>
  <si>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</si>
  <si>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</si>
  <si>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</si>
  <si>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</si>
  <si>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</si>
  <si>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</si>
  <si>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</si>
  <si>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</si>
  <si>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</si>
  <si>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</si>
  <si>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</si>
  <si>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</si>
  <si>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</si>
  <si>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</si>
  <si>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</si>
  <si>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</si>
  <si>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</si>
  <si>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</si>
  <si>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</si>
  <si>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</si>
  <si>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</si>
  <si>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</si>
  <si>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</si>
  <si>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</si>
  <si>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</si>
  <si>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</si>
  <si>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</si>
  <si>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</si>
  <si>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</si>
  <si>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</si>
  <si>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简装</t>
  </si>
  <si>
    <t>平层</t>
  </si>
  <si>
    <t>普通</t>
  </si>
  <si>
    <t>多层板楼</t>
  </si>
  <si>
    <t>南北</t>
  </si>
  <si>
    <t>房地产市场价值</t>
  </si>
  <si>
    <t xml:space="preserve"> </t>
    <phoneticPr fontId="9" type="noConversion"/>
  </si>
  <si>
    <t>500-1000米</t>
  </si>
  <si>
    <t>五通一平</t>
  </si>
  <si>
    <t>缺少</t>
  </si>
  <si>
    <t>燃气</t>
  </si>
  <si>
    <t>通热</t>
  </si>
  <si>
    <t>楼层修正</t>
  </si>
  <si>
    <t>批发零售用地</t>
  </si>
  <si>
    <t>押一</t>
  </si>
  <si>
    <t>2018-1-0799</t>
    <phoneticPr fontId="7" type="noConversion"/>
  </si>
  <si>
    <t>住宅</t>
    <phoneticPr fontId="7" type="noConversion"/>
  </si>
  <si>
    <r>
      <t>591</t>
    </r>
    <r>
      <rPr>
        <sz val="10"/>
        <color indexed="8"/>
        <rFont val="宋体"/>
        <family val="3"/>
        <charset val="134"/>
      </rPr>
      <t>跃层</t>
    </r>
    <phoneticPr fontId="4" type="noConversion"/>
  </si>
  <si>
    <t>住宅</t>
    <phoneticPr fontId="8" type="noConversion"/>
  </si>
  <si>
    <t>北京市通州区玉桥西里72号院20号楼591号（格兰晴天）</t>
    <phoneticPr fontId="26" type="noConversion"/>
  </si>
  <si>
    <t>格兰晴天</t>
    <phoneticPr fontId="4" type="noConversion"/>
  </si>
  <si>
    <t>比较法-住宅</t>
  </si>
  <si>
    <t>按房产原值计税</t>
  </si>
  <si>
    <t>50-60（含）</t>
  </si>
  <si>
    <t>七通</t>
  </si>
  <si>
    <r>
      <rPr>
        <sz val="11"/>
        <color indexed="8"/>
        <rFont val="宋体"/>
        <family val="3"/>
        <charset val="134"/>
      </rPr>
      <t>顶层</t>
    </r>
    <r>
      <rPr>
        <sz val="11"/>
        <color indexed="8"/>
        <rFont val="Arial"/>
        <family val="2"/>
      </rPr>
      <t>/9</t>
    </r>
    <phoneticPr fontId="26" type="noConversion"/>
  </si>
  <si>
    <r>
      <rPr>
        <sz val="11"/>
        <color indexed="8"/>
        <rFont val="宋体"/>
        <family val="3"/>
        <charset val="134"/>
      </rPr>
      <t>顶层</t>
    </r>
    <r>
      <rPr>
        <sz val="11"/>
        <color indexed="8"/>
        <rFont val="Arial"/>
        <family val="2"/>
      </rPr>
      <t>/6</t>
    </r>
    <phoneticPr fontId="26" type="noConversion"/>
  </si>
  <si>
    <r>
      <rPr>
        <sz val="11"/>
        <color indexed="8"/>
        <rFont val="宋体"/>
        <family val="3"/>
        <charset val="134"/>
      </rPr>
      <t>高楼层</t>
    </r>
    <r>
      <rPr>
        <sz val="11"/>
        <color indexed="8"/>
        <rFont val="Arial"/>
        <family val="2"/>
      </rPr>
      <t>/6</t>
    </r>
    <phoneticPr fontId="26" type="noConversion"/>
  </si>
  <si>
    <r>
      <rPr>
        <sz val="11"/>
        <color indexed="8"/>
        <rFont val="宋体"/>
        <family val="3"/>
        <charset val="134"/>
      </rPr>
      <t>低楼层</t>
    </r>
    <r>
      <rPr>
        <sz val="11"/>
        <color indexed="8"/>
        <rFont val="Arial"/>
        <family val="2"/>
      </rPr>
      <t>/9</t>
    </r>
    <phoneticPr fontId="26" type="noConversion"/>
  </si>
  <si>
    <t>跃层</t>
  </si>
  <si>
    <t>次干道-玉桥西里中街</t>
    <phoneticPr fontId="26" type="noConversion"/>
  </si>
  <si>
    <t>高层板楼</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</si>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</sst>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97522432"/>
        <c:axId val="97523968"/>
      </c:barChart>
      <c:catAx>
        <c:axId val="97522432"/>
        <c:scaling>
          <c:orientation val="minMax"/>
        </c:scaling>
        <c:delete val="0"/>
        <c:axPos val="b"/>
        <c:numFmt formatCode="General" sourceLinked="1"/>
        <c:majorTickMark val="out"/>
        <c:minorTickMark val="none"/>
        <c:tickLblPos val="nextTo"/>
        <c:crossAx val="97523968"/>
        <c:crosses val="autoZero"/>
        <c:auto val="1"/>
        <c:lblAlgn val="ctr"/>
        <c:lblOffset val="100"/>
        <c:noMultiLvlLbl val="0"/>
      </c:catAx>
      <c:valAx>
        <c:axId val="97523968"/>
        <c:scaling>
          <c:orientation val="minMax"/>
        </c:scaling>
        <c:delete val="0"/>
        <c:axPos val="l"/>
        <c:majorGridlines/>
        <c:numFmt formatCode="@" sourceLinked="1"/>
        <c:majorTickMark val="out"/>
        <c:minorTickMark val="none"/>
        <c:tickLblPos val="nextTo"/>
        <c:crossAx val="9752243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19</xdr:row>
      <xdr:rowOff>140556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3775" cy="3398106"/>
        </a:xfrm>
        <a:prstGeom prst="rect">
          <a:avLst/>
        </a:prstGeom>
      </xdr:spPr>
    </xdr:pic>
    <xdr:clientData/>
  </xdr:twoCellAnchor>
  <xdr:twoCellAnchor editAs="oneCell">
    <xdr:from>
      <xdr:col>0</xdr:col>
      <xdr:colOff>1</xdr:colOff>
      <xdr:row>20</xdr:row>
      <xdr:rowOff>0</xdr:rowOff>
    </xdr:from>
    <xdr:to>
      <xdr:col>10</xdr:col>
      <xdr:colOff>390525</xdr:colOff>
      <xdr:row>40</xdr:row>
      <xdr:rowOff>28115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429000"/>
          <a:ext cx="7248524" cy="3457115"/>
        </a:xfrm>
        <a:prstGeom prst="rect">
          <a:avLst/>
        </a:prstGeom>
      </xdr:spPr>
    </xdr:pic>
    <xdr:clientData/>
  </xdr:twoCellAnchor>
  <xdr:twoCellAnchor editAs="oneCell">
    <xdr:from>
      <xdr:col>0</xdr:col>
      <xdr:colOff>0</xdr:colOff>
      <xdr:row>41</xdr:row>
      <xdr:rowOff>0</xdr:rowOff>
    </xdr:from>
    <xdr:to>
      <xdr:col>10</xdr:col>
      <xdr:colOff>314325</xdr:colOff>
      <xdr:row>60</xdr:row>
      <xdr:rowOff>129381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172325" cy="3386931"/>
        </a:xfrm>
        <a:prstGeom prst="rect">
          <a:avLst/>
        </a:prstGeom>
      </xdr:spPr>
    </xdr:pic>
    <xdr:clientData/>
  </xdr:twoCellAnchor>
  <xdr:twoCellAnchor editAs="oneCell">
    <xdr:from>
      <xdr:col>0</xdr:col>
      <xdr:colOff>0</xdr:colOff>
      <xdr:row>62</xdr:row>
      <xdr:rowOff>0</xdr:rowOff>
    </xdr:from>
    <xdr:to>
      <xdr:col>13</xdr:col>
      <xdr:colOff>227458</xdr:colOff>
      <xdr:row>73</xdr:row>
      <xdr:rowOff>123574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142858" cy="2009524"/>
        </a:xfrm>
        <a:prstGeom prst="rect">
          <a:avLst/>
        </a:prstGeom>
      </xdr:spPr>
    </xdr:pic>
    <xdr:clientData/>
  </xdr:twoCellAnchor>
  <xdr:twoCellAnchor editAs="oneCell">
    <xdr:from>
      <xdr:col>0</xdr:col>
      <xdr:colOff>0</xdr:colOff>
      <xdr:row>74</xdr:row>
      <xdr:rowOff>0</xdr:rowOff>
    </xdr:from>
    <xdr:to>
      <xdr:col>11</xdr:col>
      <xdr:colOff>50769</xdr:colOff>
      <xdr:row>97</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7594569" cy="4057650"/>
        </a:xfrm>
        <a:prstGeom prst="rect">
          <a:avLst/>
        </a:prstGeom>
      </xdr:spPr>
    </xdr:pic>
    <xdr:clientData/>
  </xdr:twoCellAnchor>
  <xdr:twoCellAnchor editAs="oneCell">
    <xdr:from>
      <xdr:col>11</xdr:col>
      <xdr:colOff>0</xdr:colOff>
      <xdr:row>74</xdr:row>
      <xdr:rowOff>0</xdr:rowOff>
    </xdr:from>
    <xdr:to>
      <xdr:col>21</xdr:col>
      <xdr:colOff>208667</xdr:colOff>
      <xdr:row>97</xdr:row>
      <xdr:rowOff>142365</xdr:rowOff>
    </xdr:to>
    <xdr:pic>
      <xdr:nvPicPr>
        <xdr:cNvPr id="20" name="图片 19"/>
        <xdr:cNvPicPr>
          <a:picLocks noChangeAspect="1"/>
        </xdr:cNvPicPr>
      </xdr:nvPicPr>
      <xdr:blipFill>
        <a:blip xmlns:r="http://schemas.openxmlformats.org/officeDocument/2006/relationships" r:embed="rId6"/>
        <a:stretch>
          <a:fillRect/>
        </a:stretch>
      </xdr:blipFill>
      <xdr:spPr>
        <a:xfrm>
          <a:off x="7543800" y="12687300"/>
          <a:ext cx="7066667" cy="4085715"/>
        </a:xfrm>
        <a:prstGeom prst="rect">
          <a:avLst/>
        </a:prstGeom>
      </xdr:spPr>
    </xdr:pic>
    <xdr:clientData/>
  </xdr:twoCellAnchor>
  <xdr:twoCellAnchor editAs="oneCell">
    <xdr:from>
      <xdr:col>0</xdr:col>
      <xdr:colOff>0</xdr:colOff>
      <xdr:row>99</xdr:row>
      <xdr:rowOff>0</xdr:rowOff>
    </xdr:from>
    <xdr:to>
      <xdr:col>13</xdr:col>
      <xdr:colOff>141743</xdr:colOff>
      <xdr:row>109</xdr:row>
      <xdr:rowOff>123595</xdr:rowOff>
    </xdr:to>
    <xdr:pic>
      <xdr:nvPicPr>
        <xdr:cNvPr id="21" name="图片 20"/>
        <xdr:cNvPicPr>
          <a:picLocks noChangeAspect="1"/>
        </xdr:cNvPicPr>
      </xdr:nvPicPr>
      <xdr:blipFill>
        <a:blip xmlns:r="http://schemas.openxmlformats.org/officeDocument/2006/relationships" r:embed="rId7"/>
        <a:stretch>
          <a:fillRect/>
        </a:stretch>
      </xdr:blipFill>
      <xdr:spPr>
        <a:xfrm>
          <a:off x="0" y="16973550"/>
          <a:ext cx="9057143" cy="1838095"/>
        </a:xfrm>
        <a:prstGeom prst="rect">
          <a:avLst/>
        </a:prstGeom>
      </xdr:spPr>
    </xdr:pic>
    <xdr:clientData/>
  </xdr:twoCellAnchor>
  <xdr:twoCellAnchor editAs="oneCell">
    <xdr:from>
      <xdr:col>0</xdr:col>
      <xdr:colOff>1</xdr:colOff>
      <xdr:row>110</xdr:row>
      <xdr:rowOff>0</xdr:rowOff>
    </xdr:from>
    <xdr:to>
      <xdr:col>11</xdr:col>
      <xdr:colOff>384869</xdr:colOff>
      <xdr:row>133</xdr:row>
      <xdr:rowOff>123825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 y="18859500"/>
          <a:ext cx="7928668" cy="4067175"/>
        </a:xfrm>
        <a:prstGeom prst="rect">
          <a:avLst/>
        </a:prstGeom>
      </xdr:spPr>
    </xdr:pic>
    <xdr:clientData/>
  </xdr:twoCellAnchor>
  <xdr:twoCellAnchor editAs="oneCell">
    <xdr:from>
      <xdr:col>11</xdr:col>
      <xdr:colOff>390525</xdr:colOff>
      <xdr:row>110</xdr:row>
      <xdr:rowOff>0</xdr:rowOff>
    </xdr:from>
    <xdr:to>
      <xdr:col>20</xdr:col>
      <xdr:colOff>675468</xdr:colOff>
      <xdr:row>133</xdr:row>
      <xdr:rowOff>170936</xdr:rowOff>
    </xdr:to>
    <xdr:pic>
      <xdr:nvPicPr>
        <xdr:cNvPr id="23" name="图片 22"/>
        <xdr:cNvPicPr>
          <a:picLocks noChangeAspect="1"/>
        </xdr:cNvPicPr>
      </xdr:nvPicPr>
      <xdr:blipFill>
        <a:blip xmlns:r="http://schemas.openxmlformats.org/officeDocument/2006/relationships" r:embed="rId9"/>
        <a:stretch>
          <a:fillRect/>
        </a:stretch>
      </xdr:blipFill>
      <xdr:spPr>
        <a:xfrm>
          <a:off x="7934325" y="18859500"/>
          <a:ext cx="6457143" cy="4114286"/>
        </a:xfrm>
        <a:prstGeom prst="rect">
          <a:avLst/>
        </a:prstGeom>
      </xdr:spPr>
    </xdr:pic>
    <xdr:clientData/>
  </xdr:twoCellAnchor>
  <xdr:twoCellAnchor editAs="oneCell">
    <xdr:from>
      <xdr:col>0</xdr:col>
      <xdr:colOff>0</xdr:colOff>
      <xdr:row>134</xdr:row>
      <xdr:rowOff>0</xdr:rowOff>
    </xdr:from>
    <xdr:to>
      <xdr:col>13</xdr:col>
      <xdr:colOff>294124</xdr:colOff>
      <xdr:row>144</xdr:row>
      <xdr:rowOff>47405</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2974300"/>
          <a:ext cx="9209524" cy="1761905"/>
        </a:xfrm>
        <a:prstGeom prst="rect">
          <a:avLst/>
        </a:prstGeom>
      </xdr:spPr>
    </xdr:pic>
    <xdr:clientData/>
  </xdr:twoCellAnchor>
  <xdr:twoCellAnchor editAs="oneCell">
    <xdr:from>
      <xdr:col>0</xdr:col>
      <xdr:colOff>0</xdr:colOff>
      <xdr:row>145</xdr:row>
      <xdr:rowOff>1</xdr:rowOff>
    </xdr:from>
    <xdr:to>
      <xdr:col>12</xdr:col>
      <xdr:colOff>147173</xdr:colOff>
      <xdr:row>169</xdr:row>
      <xdr:rowOff>95251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4860251"/>
          <a:ext cx="8376773" cy="4210050"/>
        </a:xfrm>
        <a:prstGeom prst="rect">
          <a:avLst/>
        </a:prstGeom>
      </xdr:spPr>
    </xdr:pic>
    <xdr:clientData/>
  </xdr:twoCellAnchor>
  <xdr:twoCellAnchor editAs="oneCell">
    <xdr:from>
      <xdr:col>12</xdr:col>
      <xdr:colOff>0</xdr:colOff>
      <xdr:row>145</xdr:row>
      <xdr:rowOff>0</xdr:rowOff>
    </xdr:from>
    <xdr:to>
      <xdr:col>21</xdr:col>
      <xdr:colOff>284943</xdr:colOff>
      <xdr:row>168</xdr:row>
      <xdr:rowOff>66174</xdr:rowOff>
    </xdr:to>
    <xdr:pic>
      <xdr:nvPicPr>
        <xdr:cNvPr id="26" name="图片 25"/>
        <xdr:cNvPicPr>
          <a:picLocks noChangeAspect="1"/>
        </xdr:cNvPicPr>
      </xdr:nvPicPr>
      <xdr:blipFill>
        <a:blip xmlns:r="http://schemas.openxmlformats.org/officeDocument/2006/relationships" r:embed="rId12"/>
        <a:stretch>
          <a:fillRect/>
        </a:stretch>
      </xdr:blipFill>
      <xdr:spPr>
        <a:xfrm>
          <a:off x="8229600" y="24860250"/>
          <a:ext cx="6457143" cy="4009524"/>
        </a:xfrm>
        <a:prstGeom prst="rect">
          <a:avLst/>
        </a:prstGeom>
      </xdr:spPr>
    </xdr:pic>
    <xdr:clientData/>
  </xdr:twoCellAnchor>
  <xdr:twoCellAnchor editAs="oneCell">
    <xdr:from>
      <xdr:col>0</xdr:col>
      <xdr:colOff>0</xdr:colOff>
      <xdr:row>171</xdr:row>
      <xdr:rowOff>0</xdr:rowOff>
    </xdr:from>
    <xdr:to>
      <xdr:col>13</xdr:col>
      <xdr:colOff>246505</xdr:colOff>
      <xdr:row>181</xdr:row>
      <xdr:rowOff>95024</xdr:rowOff>
    </xdr:to>
    <xdr:pic>
      <xdr:nvPicPr>
        <xdr:cNvPr id="27" name="图片 26"/>
        <xdr:cNvPicPr>
          <a:picLocks noChangeAspect="1"/>
        </xdr:cNvPicPr>
      </xdr:nvPicPr>
      <xdr:blipFill>
        <a:blip xmlns:r="http://schemas.openxmlformats.org/officeDocument/2006/relationships" r:embed="rId13"/>
        <a:stretch>
          <a:fillRect/>
        </a:stretch>
      </xdr:blipFill>
      <xdr:spPr>
        <a:xfrm>
          <a:off x="0" y="29317950"/>
          <a:ext cx="9161905" cy="1809524"/>
        </a:xfrm>
        <a:prstGeom prst="rect">
          <a:avLst/>
        </a:prstGeom>
      </xdr:spPr>
    </xdr:pic>
    <xdr:clientData/>
  </xdr:twoCellAnchor>
  <xdr:twoCellAnchor editAs="oneCell">
    <xdr:from>
      <xdr:col>0</xdr:col>
      <xdr:colOff>1</xdr:colOff>
      <xdr:row>182</xdr:row>
      <xdr:rowOff>1</xdr:rowOff>
    </xdr:from>
    <xdr:to>
      <xdr:col>11</xdr:col>
      <xdr:colOff>171451</xdr:colOff>
      <xdr:row>205</xdr:row>
      <xdr:rowOff>15535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 y="31203901"/>
          <a:ext cx="7715250" cy="3958884"/>
        </a:xfrm>
        <a:prstGeom prst="rect">
          <a:avLst/>
        </a:prstGeom>
      </xdr:spPr>
    </xdr:pic>
    <xdr:clientData/>
  </xdr:twoCellAnchor>
  <xdr:twoCellAnchor editAs="oneCell">
    <xdr:from>
      <xdr:col>11</xdr:col>
      <xdr:colOff>285750</xdr:colOff>
      <xdr:row>181</xdr:row>
      <xdr:rowOff>123825</xdr:rowOff>
    </xdr:from>
    <xdr:to>
      <xdr:col>21</xdr:col>
      <xdr:colOff>408703</xdr:colOff>
      <xdr:row>204</xdr:row>
      <xdr:rowOff>151904</xdr:rowOff>
    </xdr:to>
    <xdr:pic>
      <xdr:nvPicPr>
        <xdr:cNvPr id="29" name="图片 28"/>
        <xdr:cNvPicPr>
          <a:picLocks noChangeAspect="1"/>
        </xdr:cNvPicPr>
      </xdr:nvPicPr>
      <xdr:blipFill>
        <a:blip xmlns:r="http://schemas.openxmlformats.org/officeDocument/2006/relationships" r:embed="rId15"/>
        <a:stretch>
          <a:fillRect/>
        </a:stretch>
      </xdr:blipFill>
      <xdr:spPr>
        <a:xfrm>
          <a:off x="7829550" y="31156275"/>
          <a:ext cx="6980953" cy="3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康正预评字2018-1-0799号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估价对象为北京市房地产，为所有。根据《国有土地使用证》[]，估价对象（分摊）出让国有建设用地使用权面积为0平方米，建筑面积为117.13平方米。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估价对象为北京市房地产,属开发建设的，该项目尚在开发建设中。根据《国有土地使用证》[]，估价对象（分摊）出让国有建设用地使用权面积为0平方米，规划建筑面积为117.13平方米。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2019年4月17日（评估专业人员实地查勘之日）</v>
      </c>
    </row>
    <row r="13" spans="1:2" s="1596" customFormat="1">
      <c r="A13" s="1594" t="s">
        <v>1223</v>
      </c>
      <c r="B13" s="1595" t="str">
        <f>'预评函-1'!A18</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467</v>
      </c>
    </row>
    <row r="21" spans="1:2" s="1596" customFormat="1">
      <c r="A21" s="1594" t="s">
        <v>1231</v>
      </c>
      <c r="B21" s="1595">
        <f ca="1">'预评函-2'!D7</f>
        <v>39870</v>
      </c>
    </row>
    <row r="22" spans="1:2" s="1596" customFormat="1">
      <c r="A22" s="1594" t="s">
        <v>1232</v>
      </c>
      <c r="B22" s="1595" t="str">
        <f ca="1">'预评函-2'!D6</f>
        <v>肆佰陆拾柒万元整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467</v>
      </c>
    </row>
    <row r="31" spans="1:2" s="1596" customFormat="1">
      <c r="A31" s="1594" t="s">
        <v>1270</v>
      </c>
      <c r="B31" s="1595">
        <f ca="1">'预评函-2'!D15</f>
        <v>39870</v>
      </c>
    </row>
    <row r="32" spans="1:2" s="1596" customFormat="1">
      <c r="A32" s="1594" t="s">
        <v>1237</v>
      </c>
      <c r="B32" s="1595" t="str">
        <f ca="1">'预评函-2'!D14</f>
        <v>肆佰陆拾柒万元整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117.13</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9" sqref="C19"/>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43572</v>
      </c>
      <c r="C3" s="2040" t="s">
        <v>1775</v>
      </c>
      <c r="D3" s="2039">
        <v>43572</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3075</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3128</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63101</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3139</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117.13</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117.13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117.13</v>
      </c>
      <c r="H5" s="16">
        <f t="shared" ref="H5:AT5" si="0">SUM(H13:H656)</f>
        <v>117.13</v>
      </c>
      <c r="I5" s="16">
        <f t="shared" si="0"/>
        <v>117.13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117.13</v>
      </c>
      <c r="BA5" s="18">
        <f t="shared" si="1"/>
        <v>117.13</v>
      </c>
      <c r="BB5" s="18">
        <f t="shared" si="1"/>
        <v>117.13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591</v>
      </c>
      <c r="D13" s="2217" t="s">
        <v>3058</v>
      </c>
      <c r="E13" s="16">
        <f>IF($C$3="是",ROUND($A$3*G13/$B$3,2),ROUND($A$3*(G13-AT13)/$B$3,2))</f>
        <v>0</v>
      </c>
      <c r="F13" s="32"/>
      <c r="G13" s="33">
        <f>H13+AC13+AT13</f>
        <v>90.89</v>
      </c>
      <c r="H13" s="20">
        <f>SUMIF(I$12:AB$12,"总值",I13:AB13)</f>
        <v>90.89</v>
      </c>
      <c r="I13" s="2218">
        <v>90.89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591</v>
      </c>
      <c r="AY13" s="1809">
        <f>ROUND($AY$6*AZ13/$AZ$5,2)</f>
        <v>0</v>
      </c>
      <c r="AZ13" s="16">
        <f>BA13+BL13</f>
        <v>90.89</v>
      </c>
      <c r="BA13" s="16">
        <f>SUM(BB13:BK13)</f>
        <v>90.89</v>
      </c>
      <c r="BB13" s="16">
        <f>IF($D13="是",I13-J13,0)</f>
        <v>90.89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3140</v>
      </c>
      <c r="D14" s="2217" t="s">
        <v>3058</v>
      </c>
      <c r="E14" s="16">
        <f>IF($C$3="是",ROUND($A$3*G14/$B$3,2),ROUND($A$3*(G14-AT14)/$B$3,2))</f>
        <v>0</v>
      </c>
      <c r="F14" s="32"/>
      <c r="G14" s="33">
        <f>H14+AC14+AT14</f>
        <v>26.24</v>
      </c>
      <c r="H14" s="20">
        <f>SUMIF(I$12:AB$12,"总值",I14:AB14)</f>
        <v>26.24</v>
      </c>
      <c r="I14" s="2218">
        <v>26.24</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591跃层</v>
      </c>
      <c r="AY14" s="1809">
        <f>ROUND($AY$6*AZ14/$AZ$5,2)</f>
        <v>0</v>
      </c>
      <c r="AZ14" s="16">
        <f>BA14+BL14</f>
        <v>26.24</v>
      </c>
      <c r="BA14" s="16">
        <f>SUM(BB14:BK14)</f>
        <v>26.24</v>
      </c>
      <c r="BB14" s="16">
        <f>IF($D14="是",I14-J14,0)</f>
        <v>26.24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117.13</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117.13</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0</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117.13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117.13</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3141</v>
      </c>
      <c r="D19" s="48">
        <f>ROUND($D$3*E19/$E$3,2)</f>
        <v>0</v>
      </c>
      <c r="E19" s="56">
        <f t="shared" ref="E19:E26" si="1">SUM(F19:G19)</f>
        <v>117.13</v>
      </c>
      <c r="F19" s="57">
        <f>'数据-基础表'!I5</f>
        <v>117.13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117.13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117.13</v>
      </c>
      <c r="F27" s="1396">
        <f>IF(SUM(F19:F26)=E8,SUM(F19:F26),"地上面积有误")</f>
        <v>117.13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117.13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117.13</v>
      </c>
      <c r="F31" s="730">
        <f>F27+F30</f>
        <v>117.13</v>
      </c>
      <c r="G31" s="731">
        <f>G27+G30</f>
        <v>0</v>
      </c>
      <c r="H31" s="1395"/>
      <c r="I31" s="1395"/>
      <c r="J31" s="1395"/>
      <c r="K31" s="1395"/>
      <c r="L31" s="1395"/>
      <c r="M31" s="1395"/>
      <c r="N31" s="1395"/>
      <c r="O31" s="1395"/>
      <c r="P31" s="1395"/>
    </row>
    <row r="32" spans="1:19">
      <c r="A32" s="2237"/>
      <c r="B32" s="2237" t="s">
        <v>1964</v>
      </c>
      <c r="C32" s="2237"/>
      <c r="D32" s="2237"/>
      <c r="E32" s="1277">
        <f>SUMIF(C19:C26,"*住宅*",E19:E26)</f>
        <v>117.13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43572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3060</v>
      </c>
      <c r="D6" s="1054">
        <f>SUMIF(项目基本情况!D$12:I$12,C6,项目基本情况!D$14:I$14)</f>
        <v>70</v>
      </c>
      <c r="E6" s="1051">
        <f>IF(B6="","",SUMIF(项目基本情况!D$12:I$12,C6,项目基本情况!D$13:I$13))</f>
        <v>63101</v>
      </c>
      <c r="F6" s="72">
        <f>SUMIF(项目基本情况!D$12:I$12,C6,项目基本情况!D$15:I$15)</f>
        <v>53.5</v>
      </c>
      <c r="G6" s="73">
        <f>IF(ISERROR(ROUND(POWER(1+H6,D6-F6)*(POWER(1+H6,F6)-1)/(POWER(1+H6,D6)-1),3)),0,ROUND(POWER(1+H6,D6-F6)*(POWER(1+H6,F6)-1)/(POWER(1+H6,D6)-1),3))</f>
        <v>0.93799999999999994</v>
      </c>
      <c r="H6" s="802">
        <v>0.04</v>
      </c>
      <c r="I6" s="802">
        <v>0.04</v>
      </c>
      <c r="J6" s="74">
        <v>0.08</v>
      </c>
      <c r="K6" s="1254">
        <f>SUMIF('数据-汇总表'!C$19:C$33,A6,'数据-汇总表'!E$19:E$33)</f>
        <v>117.13</v>
      </c>
      <c r="L6" s="803">
        <v>2800</v>
      </c>
      <c r="M6" s="75">
        <f t="shared" ref="M6:M14" si="0">ROUND(K6*L6/10000,0)</f>
        <v>33</v>
      </c>
      <c r="N6" s="801">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3400</v>
      </c>
      <c r="V6" s="79">
        <v>0</v>
      </c>
      <c r="W6" s="79">
        <v>0</v>
      </c>
      <c r="X6" s="1264"/>
      <c r="Y6" s="80">
        <v>0.8</v>
      </c>
      <c r="Z6" s="81">
        <v>5150</v>
      </c>
      <c r="AA6" s="74">
        <v>3.5000000000000003E-2</v>
      </c>
      <c r="AB6" s="74">
        <v>0.05</v>
      </c>
      <c r="AC6" s="1264"/>
      <c r="AD6" s="82">
        <v>0.79</v>
      </c>
      <c r="AE6" s="1265">
        <f ca="1">IF(AN6="",0,SUMIF(INDIRECT("'"&amp;AN6&amp;"'"&amp;"!E:E"),$AE$5,INDIRECT("'"&amp;AN6&amp;"'"&amp;"!F:F")))</f>
        <v>53.5</v>
      </c>
      <c r="AF6" s="1807">
        <v>1.42</v>
      </c>
      <c r="AG6" s="147">
        <f ca="1">IF(AF6="",0,AE6-AF6)</f>
        <v>52.08</v>
      </c>
      <c r="AH6" s="83">
        <v>1</v>
      </c>
      <c r="AI6" s="85">
        <v>12</v>
      </c>
      <c r="AJ6" s="86"/>
      <c r="AK6" s="87">
        <v>0.01</v>
      </c>
      <c r="AL6" s="88">
        <v>1E-3</v>
      </c>
      <c r="AM6" s="89">
        <v>0.01</v>
      </c>
      <c r="AN6" s="2313" t="s">
        <v>3062</v>
      </c>
      <c r="AO6" s="55">
        <f ca="1">SUMIF(INDIRECT("'"&amp;AN6&amp;"'"&amp;"!A:A"),"总价",INDIRECT("'"&amp;AN6&amp;"'"&amp;"!B:B"))</f>
        <v>213</v>
      </c>
      <c r="AP6" s="2314">
        <f>IF(C6="住宅",K6*L6,0)</f>
        <v>327964</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0.93799999999999994</v>
      </c>
      <c r="H16" s="99">
        <f>ROUND(SUMPRODUCT(H6:H13,K6:K13)/SUMPRODUCT((H6:H13&gt;0)*(K6:K13)),3)</f>
        <v>0.04</v>
      </c>
      <c r="I16" s="100"/>
      <c r="J16" s="100"/>
      <c r="K16" s="101">
        <f>SUM(K6:K15)</f>
        <v>117.13</v>
      </c>
      <c r="L16" s="102">
        <f>ROUND(M16*10000/SUM(K6:K14),0)</f>
        <v>2817</v>
      </c>
      <c r="M16" s="102">
        <f>SUM(M6:M14)</f>
        <v>33</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6" sqref="E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117.13</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43572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467</v>
      </c>
      <c r="C5" s="1746">
        <f ca="1">ROUND(B5*10000/$B$1,0)</f>
        <v>39870</v>
      </c>
      <c r="D5" s="1746" t="e">
        <f ca="1">ROUND(B5*10000/$B$2,0)</f>
        <v>#DIV/0!</v>
      </c>
      <c r="E5" s="1745"/>
      <c r="F5" s="1743"/>
      <c r="G5" s="1743"/>
    </row>
    <row r="6" spans="1:10" ht="16.5">
      <c r="A6" s="1746" t="s">
        <v>1352</v>
      </c>
      <c r="B6" s="1746">
        <f ca="1">SUM(G14:G23)</f>
        <v>467</v>
      </c>
      <c r="C6" s="1746">
        <f ca="1">ROUND(B6*10000/$B$1,0)</f>
        <v>39870</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117.13</v>
      </c>
      <c r="C14" s="1744">
        <f>结果表!C118</f>
        <v>0</v>
      </c>
      <c r="D14" s="1744">
        <f ca="1">结果表!H118</f>
        <v>467</v>
      </c>
      <c r="E14" s="1744">
        <f ca="1">ROUND(D14*10000/B14,0)</f>
        <v>39870</v>
      </c>
      <c r="F14" s="1744" t="e">
        <f ca="1">ROUND(D14*10000/C14,0)</f>
        <v>#DIV/0!</v>
      </c>
      <c r="G14" s="1744">
        <f ca="1">结果表!D122</f>
        <v>467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3144</v>
      </c>
      <c r="D4" s="2432" t="s">
        <v>3062</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2124</v>
      </c>
      <c r="B5" s="3008">
        <v>25</v>
      </c>
      <c r="C5" s="3073">
        <v>80</v>
      </c>
      <c r="D5" s="3093">
        <f>100-C5</f>
        <v>20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117.13</v>
      </c>
      <c r="M18" s="2433">
        <f>IF(C1="",'数据-汇总表'!E3,SUMIF(项目类型,C1,'数据-汇总表'!E17:E26))</f>
        <v>117.13</v>
      </c>
    </row>
    <row r="19" spans="1:35" ht="15">
      <c r="A19" s="2439" t="s">
        <v>2146</v>
      </c>
      <c r="B19" s="2440" t="s">
        <v>2147</v>
      </c>
      <c r="C19" s="143">
        <f ca="1">SUMIF(INDIRECT("'"&amp;C4&amp;"'"&amp;"!A:A"),结果表!B19,INDIRECT("'"&amp;C4&amp;"'"&amp;"!B:B"))</f>
        <v>530</v>
      </c>
      <c r="D19" s="144">
        <f ca="1">SUMIF(INDIRECT("'"&amp;D4&amp;"'"&amp;"!A:A"),结果表!B19,INDIRECT("'"&amp;D4&amp;"'"&amp;"!B:B"))</f>
        <v>213</v>
      </c>
      <c r="E19" s="2439" t="s">
        <v>2148</v>
      </c>
      <c r="F19" s="2440" t="s">
        <v>2147</v>
      </c>
      <c r="G19" s="145">
        <f ca="1">ROUND(C19*$C$18+D19*$D$18,0)</f>
        <v>467</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45249</v>
      </c>
      <c r="D20" s="147">
        <f ca="1">SUMIF(INDIRECT("'"&amp;D4&amp;"'"&amp;"!A:A"),结果表!B20,INDIRECT("'"&amp;D4&amp;"'"&amp;"!B:B"))</f>
        <v>18167</v>
      </c>
      <c r="E20" s="2442"/>
      <c r="F20" s="1250" t="s">
        <v>2151</v>
      </c>
      <c r="G20" s="148">
        <f ca="1">ROUND(C20*$C$18+D20*$D$18,0)</f>
        <v>39833</v>
      </c>
      <c r="H20" s="983" t="s">
        <v>2152</v>
      </c>
      <c r="I20" s="138" t="s">
        <v>3129</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1.488262910798122</v>
      </c>
      <c r="E22" s="138"/>
      <c r="F22" s="138"/>
      <c r="G22" s="138"/>
      <c r="H22" s="138"/>
      <c r="I22" s="138"/>
      <c r="J22" s="2950" t="s">
        <v>3077</v>
      </c>
      <c r="K22" s="795">
        <f ca="1">ROUND(C20*C18+D20*D18,0)</f>
        <v>39833</v>
      </c>
    </row>
    <row r="23" spans="1:35" ht="13.5" thickBot="1">
      <c r="A23" s="2423"/>
      <c r="B23" s="2423"/>
      <c r="C23" s="2423"/>
      <c r="D23" s="2423"/>
      <c r="E23" s="138"/>
      <c r="F23" s="138"/>
      <c r="G23" s="138"/>
      <c r="H23" s="138"/>
      <c r="I23" s="138"/>
      <c r="K23" s="795">
        <f ca="1">ROUND(K22*'数据-汇总表'!F19,0)</f>
        <v>4665639</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467</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467</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43572</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467</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24</v>
      </c>
      <c r="E52" s="11" t="s">
        <v>2212</v>
      </c>
      <c r="F52" s="184">
        <f>'数据-取费表'!B41</f>
        <v>5.5000000000000007E-2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24</v>
      </c>
      <c r="E53" s="11" t="s">
        <v>2212</v>
      </c>
      <c r="F53" s="184">
        <f>'数据-取费表'!B41</f>
        <v>5.5000000000000007E-2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24</v>
      </c>
      <c r="E54" s="30" t="s">
        <v>2219</v>
      </c>
      <c r="F54" s="184">
        <f>'数据-取费表'!B41</f>
        <v>5.5000000000000007E-2</v>
      </c>
      <c r="G54" s="2490"/>
      <c r="H54" s="2491"/>
      <c r="I54" s="2488"/>
      <c r="J54" s="1812">
        <v>3</v>
      </c>
      <c r="K54" s="3122" t="s">
        <v>2220</v>
      </c>
      <c r="L54" s="3122"/>
      <c r="M54" s="1754">
        <f t="shared" ca="1" si="0"/>
        <v>265</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265</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265</v>
      </c>
      <c r="O57" s="2496"/>
      <c r="P57" s="1753" t="e">
        <f ca="1">N57/M49</f>
        <v>#VALUE!</v>
      </c>
    </row>
    <row r="58" spans="1:35" ht="24.75">
      <c r="A58" s="183" t="s">
        <v>2210</v>
      </c>
      <c r="B58" s="3087" t="s">
        <v>2230</v>
      </c>
      <c r="C58" s="3088"/>
      <c r="D58" s="185">
        <f ca="1">IF(H58="转让取得",C81,C97)</f>
        <v>265</v>
      </c>
      <c r="E58" s="11" t="s">
        <v>2225</v>
      </c>
      <c r="F58" s="24" t="s">
        <v>34</v>
      </c>
      <c r="G58" s="2490"/>
      <c r="H58" s="2493" t="s">
        <v>2231</v>
      </c>
      <c r="I58" s="2494"/>
      <c r="J58" s="3122"/>
      <c r="K58" s="3122"/>
      <c r="L58" s="2495" t="s">
        <v>2232</v>
      </c>
      <c r="M58" s="1761"/>
      <c r="N58" s="2497" t="str">
        <f ca="1">NUMBERSTRING(INT(N57*10000),2)&amp;"元整"</f>
        <v>贰佰陆拾伍万元整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445</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467</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445</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24</v>
      </c>
      <c r="D68" s="211">
        <f>'数据-取费表'!B41</f>
        <v>5.5000000000000007E-2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445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2</v>
      </c>
      <c r="D78" s="226">
        <f>'数据-取费表'!B43</f>
        <v>5.000000000000001E-3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443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221.5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445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2</v>
      </c>
      <c r="D93" s="226">
        <f>'数据-取费表'!B43</f>
        <v>5.000000000000001E-3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443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221.5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265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比较法-住宅</v>
      </c>
      <c r="D101" s="737" t="str">
        <f>D4</f>
        <v>收益法 (元)</v>
      </c>
      <c r="E101" s="3144" t="s">
        <v>2297</v>
      </c>
      <c r="F101" s="3098"/>
      <c r="G101" s="2525" t="s">
        <v>2298</v>
      </c>
      <c r="H101" s="1048">
        <f ca="1">H118</f>
        <v>467</v>
      </c>
      <c r="I101" s="138"/>
    </row>
    <row r="102" spans="1:35" ht="18.75" customHeight="1">
      <c r="A102" s="3100" t="s">
        <v>2299</v>
      </c>
      <c r="B102" s="2525" t="s">
        <v>2298</v>
      </c>
      <c r="C102" s="736">
        <f ca="1">C19</f>
        <v>530</v>
      </c>
      <c r="D102" s="737">
        <f ca="1">D19</f>
        <v>213</v>
      </c>
      <c r="E102" s="3144"/>
      <c r="F102" s="3098"/>
      <c r="G102" s="2525" t="s">
        <v>2300</v>
      </c>
      <c r="H102" s="371">
        <f ca="1">I118</f>
        <v>39870</v>
      </c>
      <c r="I102" s="138"/>
    </row>
    <row r="103" spans="1:35" ht="42.75" customHeight="1">
      <c r="A103" s="3100"/>
      <c r="B103" s="2525" t="s">
        <v>2300</v>
      </c>
      <c r="C103" s="738">
        <f ca="1">C20</f>
        <v>45249</v>
      </c>
      <c r="D103" s="739">
        <f ca="1">D20</f>
        <v>18167</v>
      </c>
      <c r="E103" s="3139" t="s">
        <v>2301</v>
      </c>
      <c r="F103" s="3140"/>
      <c r="G103" s="2526" t="s">
        <v>2302</v>
      </c>
      <c r="H103" s="1048">
        <f>IF(D36="正常操作",H104+H105+H106,H105+H106)</f>
        <v>0</v>
      </c>
      <c r="I103" s="138"/>
    </row>
    <row r="104" spans="1:35" ht="18.75" customHeight="1">
      <c r="A104" s="3100" t="s">
        <v>2303</v>
      </c>
      <c r="B104" s="2527" t="s">
        <v>2298</v>
      </c>
      <c r="C104" s="740">
        <f ca="1">H118</f>
        <v>467</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f ca="1">I118</f>
        <v>39870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467</v>
      </c>
      <c r="I107" s="138"/>
    </row>
    <row r="108" spans="1:35" ht="18.75" customHeight="1">
      <c r="A108" s="138"/>
      <c r="B108" s="138"/>
      <c r="C108" s="138"/>
      <c r="D108" s="138"/>
      <c r="E108" s="3097"/>
      <c r="F108" s="3098"/>
      <c r="G108" s="2525" t="s">
        <v>2300</v>
      </c>
      <c r="H108" s="371">
        <f ca="1">ROUND(H107*10000/'数据-汇总表'!E3,0)</f>
        <v>39870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117.13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467</v>
      </c>
      <c r="I118" s="1798">
        <f ca="1">ROUND(IF(D32="楼面单价",C32,H118*10000/B118),0)</f>
        <v>39870</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肆佰陆拾柒万元整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467</v>
      </c>
      <c r="E122" s="3137"/>
      <c r="F122" s="3137"/>
      <c r="G122" s="3137"/>
      <c r="H122" s="3137"/>
      <c r="I122" s="3138"/>
    </row>
    <row r="123" spans="1:11" ht="18.75" customHeight="1">
      <c r="A123" s="3008" t="s">
        <v>2318</v>
      </c>
      <c r="B123" s="3008"/>
      <c r="C123" s="3008"/>
      <c r="D123" s="3108" t="str">
        <f ca="1">NUMBERSTRING(INT(D122*10000),2)&amp;"元整"</f>
        <v>肆佰陆拾柒万元整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325</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27747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117.13</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117.13</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117.13</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6.9999999999999999E-4</v>
      </c>
      <c r="D44" s="282"/>
      <c r="E44" s="282"/>
      <c r="F44" s="283"/>
      <c r="G44" s="3152"/>
    </row>
    <row r="45" spans="1:7" s="258" customFormat="1" ht="13.5" customHeight="1">
      <c r="A45" s="299" t="s">
        <v>2413</v>
      </c>
      <c r="B45" s="288" t="s">
        <v>2379</v>
      </c>
      <c r="C45" s="289">
        <f ca="1">C46</f>
        <v>8</v>
      </c>
      <c r="D45" s="279">
        <f ca="1">C47</f>
        <v>4.0000000000000001E-3</v>
      </c>
      <c r="E45" s="280" t="s">
        <v>2405</v>
      </c>
      <c r="F45" s="290"/>
      <c r="G45" s="291" t="s">
        <v>2414</v>
      </c>
    </row>
    <row r="46" spans="1:7" s="258" customFormat="1" ht="13.5" customHeight="1">
      <c r="A46" s="954" t="s">
        <v>791</v>
      </c>
      <c r="B46" s="292" t="s">
        <v>2415</v>
      </c>
      <c r="C46" s="293">
        <f ca="1">ROUND((C33+C39)*F27,0)</f>
        <v>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52</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42</v>
      </c>
      <c r="D51" s="276"/>
      <c r="E51" s="276"/>
      <c r="F51" s="308"/>
      <c r="G51" s="278" t="s">
        <v>2426</v>
      </c>
    </row>
    <row r="52" spans="1:7" s="252" customFormat="1" ht="16.5" thickBot="1">
      <c r="A52" s="309" t="s">
        <v>2427</v>
      </c>
      <c r="B52" s="310"/>
      <c r="C52" s="311">
        <f ca="1">C31+C51</f>
        <v>325</v>
      </c>
      <c r="D52" s="310"/>
      <c r="E52" s="310"/>
      <c r="F52" s="310"/>
      <c r="G52" s="312"/>
    </row>
    <row r="55" spans="1:7" ht="15">
      <c r="B55" s="314" t="s">
        <v>2428</v>
      </c>
      <c r="C55" s="315"/>
    </row>
    <row r="56" spans="1:7">
      <c r="B56" s="317" t="s">
        <v>1509</v>
      </c>
      <c r="C56" s="319">
        <f ca="1">1-C57</f>
        <v>0.871</v>
      </c>
    </row>
    <row r="57" spans="1:7">
      <c r="B57" s="317" t="s">
        <v>1510</v>
      </c>
      <c r="C57" s="318">
        <f ca="1">ROUND(C51/C52,3)</f>
        <v>0.129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康正预评字2018-1-0799号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G17" sqref="G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 ca="1">IF(C2="——",ROUND(C49*D3/10000,0),ROUND(C49*D3/10000,0)-D2)</f>
        <v>530</v>
      </c>
      <c r="C2" s="2593" t="s">
        <v>3155</v>
      </c>
      <c r="D2" s="1368">
        <f ca="1">SUMIF(INDIRECT("'"&amp;F2&amp;"'"&amp;"!A:A"),"承租人权益价值",INDIRECT("'"&amp;F2&amp;"'"&amp;"!c:c"))</f>
        <v>2</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 ca="1">IF(C2="——",C49,ROUND(B2*10000/D3,0))</f>
        <v>45249</v>
      </c>
      <c r="C3" s="400" t="s">
        <v>2535</v>
      </c>
      <c r="D3" s="399">
        <f>IF(D1="",'数据-汇总表'!E3,SUMIF('数据-汇总表'!$C19:$C33,D1,'数据-汇总表'!$E19:$E33))</f>
        <v>117.13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3142</v>
      </c>
      <c r="D5" s="3196"/>
      <c r="E5" s="3190" t="s">
        <v>3143</v>
      </c>
      <c r="F5" s="3191"/>
      <c r="G5" s="3190" t="s">
        <v>3143</v>
      </c>
      <c r="H5" s="3191"/>
      <c r="I5" s="3190" t="s">
        <v>3143</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v>43474</v>
      </c>
      <c r="F7" s="413">
        <f>SUMIF(58:58,YEAR(E7)&amp;"-"&amp;MONTH(E7),59:59)</f>
        <v>99</v>
      </c>
      <c r="G7" s="412">
        <v>43401</v>
      </c>
      <c r="H7" s="411">
        <f>SUMIF(58:58,YEAR(G7)&amp;"-"&amp;MONTH(G7),59:59)</f>
        <v>98</v>
      </c>
      <c r="I7" s="412">
        <v>43537</v>
      </c>
      <c r="J7" s="411">
        <f>SUMIF(58:58,YEAR(I7)&amp;"-"&amp;MONTH(I7),59:59)</f>
        <v>99</v>
      </c>
      <c r="K7" s="2605"/>
      <c r="L7" s="1135"/>
      <c r="M7" s="1136"/>
      <c r="N7" s="1136"/>
      <c r="O7" s="1136"/>
      <c r="P7" s="3192" t="s">
        <v>2550</v>
      </c>
      <c r="Q7" s="3194"/>
      <c r="R7" s="770" t="s">
        <v>23</v>
      </c>
      <c r="S7" s="771">
        <f t="shared" ref="S7:S15" si="0">F7</f>
        <v>99</v>
      </c>
      <c r="T7" s="770" t="s">
        <v>23</v>
      </c>
      <c r="U7" s="771">
        <f t="shared" ref="U7:U15" si="1">H7</f>
        <v>98</v>
      </c>
      <c r="V7" s="770" t="s">
        <v>23</v>
      </c>
      <c r="W7" s="771">
        <f t="shared" ref="W7:W15" si="2">J7</f>
        <v>99</v>
      </c>
      <c r="X7" s="772"/>
      <c r="Y7" s="3192" t="s">
        <v>2550</v>
      </c>
      <c r="Z7" s="3193"/>
      <c r="AA7" s="773">
        <f>D7/F7</f>
        <v>1.0101010101010102</v>
      </c>
      <c r="AB7" s="773">
        <f>D7/H7</f>
        <v>1.0204081632653061</v>
      </c>
      <c r="AC7" s="773">
        <f>D7/J7</f>
        <v>1.0101010101010102</v>
      </c>
    </row>
    <row r="8" spans="1:29" s="117" customFormat="1" ht="15.75" thickBot="1">
      <c r="A8" s="408" t="s">
        <v>2551</v>
      </c>
      <c r="B8" s="409"/>
      <c r="C8" s="414" t="s">
        <v>2552</v>
      </c>
      <c r="D8" s="411">
        <v>100</v>
      </c>
      <c r="E8" s="2606" t="s">
        <v>3078</v>
      </c>
      <c r="F8" s="413">
        <f>SUMIF(61:61,E8,62:62)-SUMIF(61:61,C8,62:62)+100</f>
        <v>100</v>
      </c>
      <c r="G8" s="414" t="s">
        <v>3078</v>
      </c>
      <c r="H8" s="411">
        <f>SUMIF(61:61,G8,62:62)-SUMIF(61:61,C8,62:62)+100</f>
        <v>100</v>
      </c>
      <c r="I8" s="2606" t="s">
        <v>3078</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3079</v>
      </c>
      <c r="D9" s="135">
        <v>100</v>
      </c>
      <c r="E9" s="2952" t="s">
        <v>3079</v>
      </c>
      <c r="F9" s="418">
        <f>SUMIF(63:63,E9,64:64)-SUMIF(63:63,C9,64:64)+100</f>
        <v>100</v>
      </c>
      <c r="G9" s="2953" t="s">
        <v>3079</v>
      </c>
      <c r="H9" s="135">
        <f>SUMIF(63:63,G9,64:64)-SUMIF(63:63,C9,64:64)+100</f>
        <v>100</v>
      </c>
      <c r="I9" s="2953" t="s">
        <v>3079</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3073</v>
      </c>
      <c r="D16" s="448"/>
      <c r="E16" s="2611" t="s">
        <v>3073</v>
      </c>
      <c r="F16" s="448"/>
      <c r="G16" s="2612" t="s">
        <v>3073</v>
      </c>
      <c r="H16" s="450"/>
      <c r="I16" s="2612" t="s">
        <v>3073</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3073</v>
      </c>
      <c r="D18" s="450"/>
      <c r="E18" s="2616" t="s">
        <v>3073</v>
      </c>
      <c r="F18" s="450"/>
      <c r="G18" s="2617" t="s">
        <v>3073</v>
      </c>
      <c r="H18" s="448"/>
      <c r="I18" s="2617" t="s">
        <v>3073</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3080</v>
      </c>
      <c r="D20" s="448"/>
      <c r="E20" s="2611" t="s">
        <v>3080</v>
      </c>
      <c r="F20" s="448"/>
      <c r="G20" s="2612" t="s">
        <v>3080</v>
      </c>
      <c r="H20" s="448"/>
      <c r="I20" s="2612" t="s">
        <v>3080</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3147</v>
      </c>
      <c r="D22" s="448"/>
      <c r="E22" s="447" t="s">
        <v>3147</v>
      </c>
      <c r="F22" s="448"/>
      <c r="G22" s="2618" t="s">
        <v>3147</v>
      </c>
      <c r="H22" s="448"/>
      <c r="I22" s="447" t="s">
        <v>3147</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3080</v>
      </c>
      <c r="D24" s="448"/>
      <c r="E24" s="2611" t="s">
        <v>3080</v>
      </c>
      <c r="F24" s="448"/>
      <c r="G24" s="2612" t="s">
        <v>3080</v>
      </c>
      <c r="H24" s="448"/>
      <c r="I24" s="2612" t="s">
        <v>3080</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3127</v>
      </c>
      <c r="D26" s="435">
        <v>100</v>
      </c>
      <c r="E26" s="2620" t="s">
        <v>3127</v>
      </c>
      <c r="F26" s="435">
        <f>SUMIF(88:88,E26,89:89)-SUMIF(88:88,C26,89:89)+100</f>
        <v>100</v>
      </c>
      <c r="G26" s="2621" t="s">
        <v>3127</v>
      </c>
      <c r="H26" s="435">
        <f>SUMIF(88:88,G26,89:89)-SUMIF(88:88,C26,89:89)+100</f>
        <v>100</v>
      </c>
      <c r="I26" s="2621" t="s">
        <v>3127</v>
      </c>
      <c r="J26" s="435">
        <f>SUMIF(88:88,I26,89:89)-SUMIF(88:88,C26,89:89)+100</f>
        <v>100</v>
      </c>
      <c r="K26" s="426">
        <v>1</v>
      </c>
      <c r="L26" s="1143"/>
      <c r="M26" s="1134"/>
      <c r="N26" s="1134"/>
      <c r="O26" s="1134"/>
      <c r="P26" s="3166"/>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2954" t="s">
        <v>3081</v>
      </c>
      <c r="C27" s="465" t="s">
        <v>3148</v>
      </c>
      <c r="D27" s="462">
        <v>100</v>
      </c>
      <c r="E27" s="465" t="s">
        <v>3149</v>
      </c>
      <c r="F27" s="462">
        <f>SUMIF(90:90,E27,91:91)-SUMIF(90:90,C27,91:91)+100</f>
        <v>100</v>
      </c>
      <c r="G27" s="465" t="s">
        <v>3150</v>
      </c>
      <c r="H27" s="462">
        <f>SUMIF(90:90,G27,91:91)-SUMIF(90:90,C27,91:91)+100</f>
        <v>105</v>
      </c>
      <c r="I27" s="465" t="s">
        <v>3151</v>
      </c>
      <c r="J27" s="462">
        <f>SUMIF(90:90,I27,91:91)-SUMIF(90:90,C27,91:91)+100</f>
        <v>102.5</v>
      </c>
      <c r="K27" s="2608"/>
      <c r="L27" s="1135"/>
      <c r="M27" s="1136"/>
      <c r="N27" s="1136"/>
      <c r="O27" s="1136"/>
      <c r="P27" s="3166"/>
      <c r="Q27" s="1798" t="str">
        <f t="shared" si="11"/>
        <v>楼层</v>
      </c>
      <c r="R27" s="770" t="s">
        <v>21</v>
      </c>
      <c r="S27" s="771">
        <f t="shared" si="12"/>
        <v>100</v>
      </c>
      <c r="T27" s="770" t="s">
        <v>21</v>
      </c>
      <c r="U27" s="771">
        <f t="shared" si="13"/>
        <v>105</v>
      </c>
      <c r="V27" s="770" t="s">
        <v>21</v>
      </c>
      <c r="W27" s="771">
        <f t="shared" si="14"/>
        <v>102.5</v>
      </c>
      <c r="X27" s="772"/>
      <c r="Y27" s="3159"/>
      <c r="Z27" s="55" t="str">
        <f>Q27</f>
        <v>楼层</v>
      </c>
      <c r="AA27" s="1814">
        <f t="shared" si="15"/>
        <v>1</v>
      </c>
      <c r="AB27" s="1814">
        <f t="shared" si="16"/>
        <v>0.95238095238095233</v>
      </c>
      <c r="AC27" s="1814">
        <f t="shared" si="17"/>
        <v>0.97560975609756095</v>
      </c>
    </row>
    <row r="28" spans="1:29" ht="27.75" thickBot="1">
      <c r="A28" s="428"/>
      <c r="B28" s="2954" t="s">
        <v>3093</v>
      </c>
      <c r="C28" s="2962" t="s">
        <v>3153</v>
      </c>
      <c r="D28" s="435">
        <v>100</v>
      </c>
      <c r="E28" s="2962" t="s">
        <v>3153</v>
      </c>
      <c r="F28" s="435">
        <f>SUMIF(92:92,E28,93:93)-SUMIF(92:92,C28,93:93)+100</f>
        <v>100</v>
      </c>
      <c r="G28" s="2962" t="s">
        <v>3153</v>
      </c>
      <c r="H28" s="435">
        <f>SUMIF(92:92,G28,93:93)-SUMIF(92:92,C28,93:93)+100</f>
        <v>100</v>
      </c>
      <c r="I28" s="2962" t="s">
        <v>3153</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3154</v>
      </c>
      <c r="D32" s="467">
        <v>100</v>
      </c>
      <c r="E32" s="2624" t="s">
        <v>3126</v>
      </c>
      <c r="F32" s="461">
        <f>SUMIF(100:100,E32,101:101)-SUMIF(100:100,C32,101:101)+100</f>
        <v>102</v>
      </c>
      <c r="G32" s="2624" t="s">
        <v>3126</v>
      </c>
      <c r="H32" s="467">
        <f>SUMIF(100:100,G32,101:101)-SUMIF(100:100,C32,101:101)+100</f>
        <v>102</v>
      </c>
      <c r="I32" s="2624" t="s">
        <v>3154</v>
      </c>
      <c r="J32" s="435">
        <f>SUMIF(100:100,I32,101:101)-SUMIF(100:100,C32,101:101)+100</f>
        <v>100</v>
      </c>
      <c r="K32" s="426">
        <v>2</v>
      </c>
      <c r="L32" s="1143"/>
      <c r="M32" s="1134"/>
      <c r="N32" s="1134"/>
      <c r="O32" s="1134"/>
      <c r="P32" s="3160" t="s">
        <v>2566</v>
      </c>
      <c r="Q32" s="1813" t="str">
        <f t="shared" si="11"/>
        <v>建筑类型</v>
      </c>
      <c r="R32" s="774" t="s">
        <v>21</v>
      </c>
      <c r="S32" s="775">
        <f t="shared" si="12"/>
        <v>102</v>
      </c>
      <c r="T32" s="774" t="s">
        <v>21</v>
      </c>
      <c r="U32" s="775">
        <f t="shared" si="13"/>
        <v>102</v>
      </c>
      <c r="V32" s="774" t="s">
        <v>21</v>
      </c>
      <c r="W32" s="775">
        <f t="shared" si="14"/>
        <v>100</v>
      </c>
      <c r="X32" s="1816"/>
      <c r="Y32" s="3163" t="s">
        <v>2566</v>
      </c>
      <c r="Z32" s="1817" t="str">
        <f t="shared" si="18"/>
        <v>建筑类型</v>
      </c>
      <c r="AA32" s="1814">
        <f t="shared" si="15"/>
        <v>0.98039215686274506</v>
      </c>
      <c r="AB32" s="1814">
        <f t="shared" si="16"/>
        <v>0.98039215686274506</v>
      </c>
      <c r="AC32" s="1814">
        <f t="shared" si="17"/>
        <v>1</v>
      </c>
    </row>
    <row r="33" spans="1:29" s="471" customFormat="1" ht="15">
      <c r="A33" s="468"/>
      <c r="B33" s="422" t="s">
        <v>2567</v>
      </c>
      <c r="C33" s="469">
        <f>'数据-汇总表'!F27</f>
        <v>117.13</v>
      </c>
      <c r="D33" s="136">
        <v>100</v>
      </c>
      <c r="E33" s="430">
        <v>84.38</v>
      </c>
      <c r="F33" s="425">
        <f>LOOKUP(E33,103:103,104:104)-LOOKUP(C33,103:103,104:104)+100</f>
        <v>102</v>
      </c>
      <c r="G33" s="429">
        <v>87.8</v>
      </c>
      <c r="H33" s="136">
        <f>LOOKUP(G33,103:103,104:104)-LOOKUP(C33,103:103,104:104)+100</f>
        <v>102</v>
      </c>
      <c r="I33" s="430">
        <v>106.92</v>
      </c>
      <c r="J33" s="136">
        <f>LOOKUP(I33,103:103,104:104)-LOOKUP(C33,103:103,104:104)+100</f>
        <v>100</v>
      </c>
      <c r="K33" s="2608"/>
      <c r="L33" s="1141"/>
      <c r="M33" s="1144"/>
      <c r="N33" s="1144"/>
      <c r="O33" s="1144"/>
      <c r="P33" s="3161"/>
      <c r="Q33" s="776" t="str">
        <f t="shared" si="11"/>
        <v>项目建筑规模</v>
      </c>
      <c r="R33" s="777" t="s">
        <v>21</v>
      </c>
      <c r="S33" s="778">
        <f t="shared" si="12"/>
        <v>102</v>
      </c>
      <c r="T33" s="777" t="s">
        <v>21</v>
      </c>
      <c r="U33" s="778">
        <f t="shared" si="13"/>
        <v>102</v>
      </c>
      <c r="V33" s="777" t="s">
        <v>21</v>
      </c>
      <c r="W33" s="778">
        <f t="shared" si="14"/>
        <v>100</v>
      </c>
      <c r="X33" s="779"/>
      <c r="Y33" s="3163"/>
      <c r="Z33" s="780" t="str">
        <f t="shared" si="18"/>
        <v>项目建筑规模</v>
      </c>
      <c r="AA33" s="1814">
        <f t="shared" si="15"/>
        <v>0.98039215686274506</v>
      </c>
      <c r="AB33" s="1814">
        <f t="shared" si="16"/>
        <v>0.98039215686274506</v>
      </c>
      <c r="AC33" s="1814">
        <f t="shared" si="17"/>
        <v>1</v>
      </c>
    </row>
    <row r="34" spans="1:29" ht="15">
      <c r="A34" s="472"/>
      <c r="B34" s="422" t="s">
        <v>2568</v>
      </c>
      <c r="C34" s="2625" t="s">
        <v>3065</v>
      </c>
      <c r="D34" s="435">
        <v>100</v>
      </c>
      <c r="E34" s="2625" t="s">
        <v>3065</v>
      </c>
      <c r="F34" s="461">
        <f>SUMIF(105:105,E34,106:106)-SUMIF(105:105,C34,106:106)+100</f>
        <v>100</v>
      </c>
      <c r="G34" s="2625" t="s">
        <v>3065</v>
      </c>
      <c r="H34" s="435">
        <f>SUMIF(105:105,G34,106:106)-SUMIF(105:105,C34,106:106)+100</f>
        <v>100</v>
      </c>
      <c r="I34" s="2625" t="s">
        <v>3065</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3123</v>
      </c>
      <c r="D36" s="435">
        <v>100</v>
      </c>
      <c r="E36" s="2621" t="s">
        <v>3123</v>
      </c>
      <c r="F36" s="461">
        <f>SUMIF(109:109,E36,110:110)-SUMIF(109:109,C36,110:110)+100</f>
        <v>100</v>
      </c>
      <c r="G36" s="2620" t="s">
        <v>3123</v>
      </c>
      <c r="H36" s="435">
        <f>SUMIF(109:109,G36,110:110)-SUMIF(109:109,C36,110:110)+100</f>
        <v>100</v>
      </c>
      <c r="I36" s="2621" t="s">
        <v>3123</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3125</v>
      </c>
      <c r="D38" s="435">
        <v>100</v>
      </c>
      <c r="E38" s="2621" t="s">
        <v>3125</v>
      </c>
      <c r="F38" s="461">
        <f>SUMIF(114:114,E38,115:115)-SUMIF(114:114,C38,115:115)+100</f>
        <v>100</v>
      </c>
      <c r="G38" s="2620" t="s">
        <v>3125</v>
      </c>
      <c r="H38" s="435">
        <f>SUMIF(114:114,G38,115:115)-SUMIF(114:114,C38,115:115)+100</f>
        <v>100</v>
      </c>
      <c r="I38" s="2621" t="s">
        <v>3125</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3147</v>
      </c>
      <c r="D39" s="435">
        <v>100</v>
      </c>
      <c r="E39" s="2621" t="s">
        <v>3147</v>
      </c>
      <c r="F39" s="461">
        <f>SUMIF(116:116,E39,117:117)-SUMIF(116:116,C39,117:117)+100</f>
        <v>100</v>
      </c>
      <c r="G39" s="2620" t="s">
        <v>3147</v>
      </c>
      <c r="H39" s="435">
        <f>SUMIF(116:116,G39,117:117)-SUMIF(116:116,C39,117:117)+100</f>
        <v>100</v>
      </c>
      <c r="I39" s="2621" t="s">
        <v>3147</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3152</v>
      </c>
      <c r="D40" s="435">
        <v>100</v>
      </c>
      <c r="E40" s="2621" t="s">
        <v>3124</v>
      </c>
      <c r="F40" s="461">
        <f>SUMIF(118:118,E40,119:119)-SUMIF(118:118,C40,119:119)+100</f>
        <v>99</v>
      </c>
      <c r="G40" s="2620" t="s">
        <v>3152</v>
      </c>
      <c r="H40" s="435">
        <f>SUMIF(118:118,G40,119:119)-SUMIF(118:118,C40,119:119)+100</f>
        <v>100</v>
      </c>
      <c r="I40" s="2621" t="s">
        <v>3124</v>
      </c>
      <c r="J40" s="435">
        <f>SUMIF(118:118,I40,119:119)-SUMIF(118:118,C40,119:119)+100</f>
        <v>99</v>
      </c>
      <c r="K40" s="426">
        <v>1</v>
      </c>
      <c r="L40" s="1143"/>
      <c r="M40" s="1134"/>
      <c r="N40" s="1134"/>
      <c r="O40" s="1134"/>
      <c r="P40" s="3161"/>
      <c r="Q40" s="1813" t="str">
        <f t="shared" si="11"/>
        <v>房型</v>
      </c>
      <c r="R40" s="774" t="s">
        <v>21</v>
      </c>
      <c r="S40" s="775">
        <f t="shared" si="12"/>
        <v>99</v>
      </c>
      <c r="T40" s="774" t="s">
        <v>21</v>
      </c>
      <c r="U40" s="775">
        <f t="shared" si="13"/>
        <v>100</v>
      </c>
      <c r="V40" s="774" t="s">
        <v>21</v>
      </c>
      <c r="W40" s="775">
        <f t="shared" si="14"/>
        <v>99</v>
      </c>
      <c r="X40" s="1816"/>
      <c r="Y40" s="3163"/>
      <c r="Z40" s="1817" t="str">
        <f t="shared" si="18"/>
        <v>房型</v>
      </c>
      <c r="AA40" s="1814">
        <f t="shared" si="15"/>
        <v>1.0101010101010102</v>
      </c>
      <c r="AB40" s="1814">
        <f t="shared" si="16"/>
        <v>1</v>
      </c>
      <c r="AC40" s="1814">
        <f t="shared" si="17"/>
        <v>1.0101010101010102</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3123</v>
      </c>
      <c r="D42" s="435">
        <v>100</v>
      </c>
      <c r="E42" s="2621" t="s">
        <v>3123</v>
      </c>
      <c r="F42" s="461">
        <f>SUMIF(122:122,E42,123:123)-SUMIF(122:122,C42,123:123)+100</f>
        <v>100</v>
      </c>
      <c r="G42" s="2620" t="s">
        <v>3123</v>
      </c>
      <c r="H42" s="435">
        <f>SUMIF(122:122,G42,123:123)-SUMIF(122:122,C42,123:123)+100</f>
        <v>100</v>
      </c>
      <c r="I42" s="2621" t="s">
        <v>3123</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3073</v>
      </c>
      <c r="D43" s="435">
        <v>100</v>
      </c>
      <c r="E43" s="2621" t="s">
        <v>3073</v>
      </c>
      <c r="F43" s="461">
        <f>SUMIF(124:124,E43,125:125)-SUMIF(124:124,C43,125:125)+100</f>
        <v>100</v>
      </c>
      <c r="G43" s="2620" t="s">
        <v>3073</v>
      </c>
      <c r="H43" s="435">
        <f>SUMIF(124:124,G43,125:125)-SUMIF(124:124,C43,125:125)+100</f>
        <v>100</v>
      </c>
      <c r="I43" s="2621" t="s">
        <v>3073</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3122</v>
      </c>
      <c r="C44" s="469">
        <v>2004</v>
      </c>
      <c r="D44" s="136">
        <v>100</v>
      </c>
      <c r="E44" s="469">
        <v>2004</v>
      </c>
      <c r="F44" s="425">
        <f>SUMIF(126:126,E44,127:127)-SUMIF(126:126,C44,127:127)+100</f>
        <v>100</v>
      </c>
      <c r="G44" s="469">
        <v>2004</v>
      </c>
      <c r="H44" s="136">
        <f>SUMIF(126:126,G44,127:127)-SUMIF(126:126,C44,127:127)+100</f>
        <v>100</v>
      </c>
      <c r="I44" s="469">
        <v>2004</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43850</v>
      </c>
      <c r="F47" s="1413"/>
      <c r="G47" s="1414">
        <v>48178</v>
      </c>
      <c r="H47" s="1415"/>
      <c r="I47" s="1412">
        <v>48448</v>
      </c>
      <c r="J47" s="1415"/>
      <c r="K47" s="2626"/>
      <c r="L47" s="1146"/>
      <c r="M47" s="1147"/>
      <c r="N47" s="1134"/>
      <c r="O47" s="1147"/>
      <c r="P47" s="3156" t="str">
        <f>A47</f>
        <v>成交单价（元/平方米）</v>
      </c>
      <c r="Q47" s="3156"/>
      <c r="R47" s="3157">
        <f>E47</f>
        <v>43850</v>
      </c>
      <c r="S47" s="3157"/>
      <c r="T47" s="3157">
        <f>G47</f>
        <v>48178</v>
      </c>
      <c r="U47" s="3157"/>
      <c r="V47" s="3157">
        <f>I47</f>
        <v>48448</v>
      </c>
      <c r="W47" s="3157"/>
      <c r="X47" s="759"/>
      <c r="Y47" s="781"/>
      <c r="Z47" s="759"/>
      <c r="AA47" s="759"/>
      <c r="AB47" s="759"/>
      <c r="AC47" s="759"/>
    </row>
    <row r="48" spans="1:29" ht="15.75" thickBot="1">
      <c r="A48" s="486" t="s">
        <v>2579</v>
      </c>
      <c r="B48" s="487"/>
      <c r="C48" s="1416">
        <f>R49</f>
        <v>45410</v>
      </c>
      <c r="D48" s="1417"/>
      <c r="E48" s="1418">
        <f>R48</f>
        <v>43003</v>
      </c>
      <c r="F48" s="1418"/>
      <c r="G48" s="1416">
        <f>T48</f>
        <v>45002</v>
      </c>
      <c r="H48" s="1417"/>
      <c r="I48" s="1418">
        <f>V48</f>
        <v>48226</v>
      </c>
      <c r="J48" s="1417"/>
      <c r="K48" s="2627"/>
      <c r="L48" s="1146"/>
      <c r="M48" s="1147"/>
      <c r="N48" s="1147"/>
      <c r="O48" s="1147"/>
      <c r="P48" s="3156" t="str">
        <f>A48</f>
        <v>比较价值（元/平方米）</v>
      </c>
      <c r="Q48" s="3156"/>
      <c r="R48" s="3157">
        <f>IF(F1="售价",ROUND(PRODUCT(R47,AA7:AA46),0),ROUND(PRODUCT(R47,AA7:AA46),1))</f>
        <v>43003</v>
      </c>
      <c r="S48" s="3157"/>
      <c r="T48" s="3157">
        <f>IF(F1="售价",ROUND(PRODUCT(T47,AB7:AB46),0),ROUND(PRODUCT(T47,AB7:AB46),1))</f>
        <v>45002</v>
      </c>
      <c r="U48" s="3157"/>
      <c r="V48" s="3157">
        <f>IF(F1="售价",ROUND(PRODUCT(V47,AC7:AC46),0),ROUND(PRODUCT(V47,AC7:AC46),1))</f>
        <v>48226</v>
      </c>
      <c r="W48" s="3157"/>
      <c r="X48" s="759"/>
      <c r="Y48" s="759"/>
      <c r="Z48" s="759"/>
      <c r="AA48" s="759"/>
      <c r="AB48" s="759"/>
      <c r="AC48" s="759"/>
    </row>
    <row r="49" spans="1:29" ht="15.75" thickBot="1">
      <c r="A49" s="492" t="s">
        <v>2580</v>
      </c>
      <c r="B49" s="493"/>
      <c r="C49" s="1419">
        <f>R49</f>
        <v>45410</v>
      </c>
      <c r="D49" s="1420"/>
      <c r="E49" s="1420"/>
      <c r="F49" s="1420"/>
      <c r="G49" s="1420"/>
      <c r="H49" s="1420"/>
      <c r="I49" s="1420"/>
      <c r="J49" s="1420"/>
      <c r="K49" s="2628"/>
      <c r="L49" s="1146"/>
      <c r="M49" s="1147"/>
      <c r="N49" s="1147"/>
      <c r="O49" s="1147"/>
      <c r="P49" s="3153" t="str">
        <f>A49</f>
        <v>估价对象XX用房的比较价值（楼面单价，元/平方米）</v>
      </c>
      <c r="Q49" s="3154"/>
      <c r="R49" s="3155">
        <f>IF(F1="售价",ROUND(AVERAGE(R48:V48),0),ROUND(AVERAGE(R48:V48),1))</f>
        <v>45410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1.9696300258121635E-2</v>
      </c>
      <c r="F52" s="500" t="str">
        <f>IF(OR(E52&gt;=0.3,E52&lt;=-0.3),"超过30%","")</f>
        <v/>
      </c>
      <c r="G52" s="499">
        <f>IF(G47&lt;G48,G48/G47-1,G47/G48-1)</f>
        <v>7.0574641127060911E-2</v>
      </c>
      <c r="H52" s="500" t="str">
        <f>IF(OR(G52&gt;=0.3,G52&lt;=-0.3),"超过30%","")</f>
        <v/>
      </c>
      <c r="I52" s="499">
        <f>IF(I47&lt;I48,I48/I47-1,I47/I48-1)</f>
        <v>4.6033260067184223E-3</v>
      </c>
      <c r="J52" s="500" t="str">
        <f>IF(OR(I52&gt;=0.3,I52&lt;=-0.3),"超过30%","")</f>
        <v/>
      </c>
      <c r="K52" s="1108"/>
      <c r="L52" s="1109"/>
      <c r="M52" s="1147"/>
      <c r="N52" s="1147"/>
      <c r="O52" s="1147"/>
    </row>
    <row r="53" spans="1:29" ht="13.5" customHeight="1">
      <c r="A53" s="1147"/>
      <c r="B53" s="1147"/>
      <c r="C53" s="497" t="s">
        <v>2582</v>
      </c>
      <c r="D53" s="501"/>
      <c r="E53" s="499">
        <f>IF(E48&lt;G48,G48/E48-1,E48/G48-1)</f>
        <v>4.6485128944492304E-2</v>
      </c>
      <c r="F53" s="500" t="str">
        <f>IF(OR(E53&gt;=0.2,E53&lt;=-0.2),"超过20%","")</f>
        <v/>
      </c>
      <c r="G53" s="499">
        <f>IF(G48&lt;I48,I48/G48-1,G48/I48-1)</f>
        <v>7.1641260388427108E-2</v>
      </c>
      <c r="H53" s="500" t="str">
        <f>IF(OR(G53&gt;=0.2,G53&lt;=-0.2),"超过20%","")</f>
        <v/>
      </c>
      <c r="I53" s="499">
        <f>IF(I48&lt;E48,E48/I48-1,I48/E48-1)</f>
        <v>0.12145664255982136</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9.8700114025085606E-2</v>
      </c>
      <c r="F54" s="500" t="str">
        <f>IF(OR(E54&gt;=0.3,E54&lt;=-0.3),"超过30%","")</f>
        <v/>
      </c>
      <c r="G54" s="499">
        <f>IF(G47&lt;I47,I47/G47-1,G47/I47-1)</f>
        <v>5.6042176927229015E-3</v>
      </c>
      <c r="H54" s="500" t="str">
        <f>IF(OR(G54&gt;=0.3,G54&lt;=-0.3),"超过30%","")</f>
        <v/>
      </c>
      <c r="I54" s="499">
        <f>IF(I47&lt;E47,E47/I47-1,I47/E47-1)</f>
        <v>0.10485746864310141</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3082</v>
      </c>
      <c r="D88" s="2955" t="s">
        <v>3083</v>
      </c>
      <c r="E88" s="2955" t="s">
        <v>3084</v>
      </c>
      <c r="F88" s="2955" t="s">
        <v>3085</v>
      </c>
      <c r="G88" s="2955" t="s">
        <v>3086</v>
      </c>
      <c r="H88" s="2955" t="s">
        <v>3087</v>
      </c>
      <c r="I88" s="2955" t="s">
        <v>3088</v>
      </c>
      <c r="J88" s="2955" t="s">
        <v>3089</v>
      </c>
      <c r="K88" s="2956" t="s">
        <v>3090</v>
      </c>
      <c r="L88" s="2956" t="s">
        <v>3091</v>
      </c>
      <c r="M88" s="2957" t="s">
        <v>3092</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465" t="s">
        <v>3148</v>
      </c>
      <c r="D90" s="465" t="s">
        <v>3149</v>
      </c>
      <c r="E90" s="465" t="s">
        <v>3150</v>
      </c>
      <c r="F90" s="465" t="s">
        <v>3151</v>
      </c>
      <c r="G90" s="554"/>
      <c r="H90" s="555"/>
      <c r="I90" s="555"/>
      <c r="J90" s="555"/>
      <c r="K90" s="555"/>
      <c r="L90" s="556"/>
      <c r="M90" s="557"/>
      <c r="N90" s="1157"/>
      <c r="O90" s="1157"/>
      <c r="P90" s="2636"/>
      <c r="Q90" s="559"/>
    </row>
    <row r="91" spans="1:17" s="471" customFormat="1" ht="15.75" thickBot="1">
      <c r="A91" s="553"/>
      <c r="B91" s="543"/>
      <c r="C91" s="560">
        <v>100</v>
      </c>
      <c r="D91" s="560">
        <v>100</v>
      </c>
      <c r="E91" s="560">
        <v>105</v>
      </c>
      <c r="F91" s="560">
        <v>102.5</v>
      </c>
      <c r="G91" s="560"/>
      <c r="H91" s="562"/>
      <c r="I91" s="562"/>
      <c r="J91" s="562"/>
      <c r="K91" s="562"/>
      <c r="L91" s="562"/>
      <c r="M91" s="563"/>
      <c r="N91" s="1157"/>
      <c r="O91" s="1157"/>
      <c r="P91" s="2636"/>
      <c r="Q91" s="559"/>
    </row>
    <row r="92" spans="1:17" ht="15.75" thickTop="1">
      <c r="A92" s="534"/>
      <c r="B92" s="538" t="str">
        <f>B28</f>
        <v>道路级别</v>
      </c>
      <c r="C92" s="2955" t="s">
        <v>3094</v>
      </c>
      <c r="D92" s="2955" t="s">
        <v>3095</v>
      </c>
      <c r="E92" s="2955" t="s">
        <v>3096</v>
      </c>
      <c r="F92" s="2955" t="s">
        <v>3097</v>
      </c>
      <c r="G92" s="2955" t="s">
        <v>3098</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3099</v>
      </c>
      <c r="D100" s="2958" t="s">
        <v>3100</v>
      </c>
      <c r="E100" s="2959" t="s">
        <v>3101</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250(含)-300</v>
      </c>
      <c r="I102" s="578" t="str">
        <f t="shared" si="27"/>
        <v>300(含)-350</v>
      </c>
      <c r="J102" s="578" t="str">
        <f t="shared" si="27"/>
        <v>350(含)-400</v>
      </c>
      <c r="K102" s="578" t="str">
        <f>K103&amp;"(含)"&amp;"-"&amp;L103</f>
        <v>400(含)-</v>
      </c>
      <c r="L102" s="578" t="str">
        <f t="shared" si="27"/>
        <v>(含)-</v>
      </c>
      <c r="M102" s="578" t="str">
        <f>M103&amp;"(含)"&amp;"-"&amp;P103</f>
        <v>(含)-</v>
      </c>
      <c r="N102" s="1154"/>
      <c r="O102" s="1154"/>
      <c r="P102" s="2635"/>
      <c r="Q102" s="504"/>
    </row>
    <row r="103" spans="1:17" s="471" customFormat="1">
      <c r="A103" s="593"/>
      <c r="B103" s="594"/>
      <c r="C103" s="595">
        <v>0</v>
      </c>
      <c r="D103" s="595">
        <v>50</v>
      </c>
      <c r="E103" s="595">
        <v>100</v>
      </c>
      <c r="F103" s="595">
        <v>150</v>
      </c>
      <c r="G103" s="595">
        <v>200</v>
      </c>
      <c r="H103" s="595">
        <v>250</v>
      </c>
      <c r="I103" s="595">
        <v>300</v>
      </c>
      <c r="J103" s="596">
        <v>350</v>
      </c>
      <c r="K103" s="596">
        <v>400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3102</v>
      </c>
      <c r="D105" s="2955" t="s">
        <v>3103</v>
      </c>
      <c r="E105" s="2960" t="s">
        <v>3104</v>
      </c>
      <c r="F105" s="2960" t="s">
        <v>3105</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3106</v>
      </c>
      <c r="D109" s="2955" t="s">
        <v>3107</v>
      </c>
      <c r="E109" s="2955" t="s">
        <v>3108</v>
      </c>
      <c r="F109" s="2960" t="s">
        <v>3109</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3110</v>
      </c>
      <c r="D114" s="2955" t="s">
        <v>3111</v>
      </c>
      <c r="E114" s="2961" t="s">
        <v>3112</v>
      </c>
      <c r="F114" s="2961" t="s">
        <v>3113</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3114</v>
      </c>
      <c r="D116" s="2955" t="s">
        <v>3115</v>
      </c>
      <c r="E116" s="2955" t="s">
        <v>3116</v>
      </c>
      <c r="F116" s="2955" t="s">
        <v>3117</v>
      </c>
      <c r="G116" s="2955" t="s">
        <v>3118</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3119</v>
      </c>
      <c r="E118" s="2961" t="s">
        <v>3120</v>
      </c>
      <c r="F118" s="2960" t="s">
        <v>3121</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3106</v>
      </c>
      <c r="D122" s="2955" t="s">
        <v>3107</v>
      </c>
      <c r="E122" s="2955" t="s">
        <v>3108</v>
      </c>
      <c r="F122" s="2960" t="s">
        <v>3109</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0" sqref="D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3060</v>
      </c>
      <c r="D1" s="1823" t="s">
        <v>70</v>
      </c>
      <c r="E1" s="1824" t="s">
        <v>1383</v>
      </c>
      <c r="F1" s="1286">
        <f ca="1">J53</f>
        <v>53.5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213</v>
      </c>
      <c r="C2" s="1848" t="s">
        <v>1587</v>
      </c>
      <c r="D2" s="1941">
        <f ca="1">C40+J29+L46</f>
        <v>2127851</v>
      </c>
      <c r="E2" s="1849" t="s">
        <v>1588</v>
      </c>
      <c r="F2" s="1850"/>
      <c r="G2" s="1851"/>
      <c r="H2" s="1843"/>
      <c r="I2" s="1843"/>
      <c r="J2" s="1843"/>
      <c r="K2" s="1844"/>
      <c r="L2" s="1843"/>
      <c r="M2" s="1843"/>
    </row>
    <row r="3" spans="1:37" ht="18" customHeight="1" thickBot="1">
      <c r="A3" s="1852" t="s">
        <v>1589</v>
      </c>
      <c r="B3" s="1853">
        <f ca="1">IF(ISERROR(D2/F43),0,ROUND(D2/F43,0))</f>
        <v>18167</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40851</v>
      </c>
      <c r="D5" s="1825" t="s">
        <v>1597</v>
      </c>
      <c r="E5" s="1296"/>
      <c r="F5" s="1297"/>
      <c r="G5" s="1854"/>
      <c r="H5" s="344">
        <v>1</v>
      </c>
      <c r="I5" s="345" t="s">
        <v>1596</v>
      </c>
      <c r="J5" s="1295">
        <f ca="1">J6+J10+J12</f>
        <v>58783</v>
      </c>
      <c r="K5" s="1825" t="s">
        <v>1597</v>
      </c>
      <c r="L5" s="1296"/>
      <c r="M5" s="1297"/>
    </row>
    <row r="6" spans="1:37" ht="18" customHeight="1">
      <c r="A6" s="1294" t="s">
        <v>1032</v>
      </c>
      <c r="B6" s="3199" t="s">
        <v>1399</v>
      </c>
      <c r="C6" s="1299">
        <f ca="1">ROUND(F6*F8*F7*(1-F9),0)</f>
        <v>40800</v>
      </c>
      <c r="D6" s="164" t="s">
        <v>3029</v>
      </c>
      <c r="E6" s="347" t="s">
        <v>1401</v>
      </c>
      <c r="F6" s="348">
        <f ca="1">INDIRECT("'数据-取费表'!u"&amp;$G$1)</f>
        <v>3400</v>
      </c>
      <c r="G6" s="1854"/>
      <c r="H6" s="1294" t="s">
        <v>1032</v>
      </c>
      <c r="I6" s="3199" t="s">
        <v>1399</v>
      </c>
      <c r="J6" s="346">
        <f ca="1">ROUND(M6*M8*M7*(1-M9),0)</f>
        <v>58710</v>
      </c>
      <c r="K6" s="1837" t="s">
        <v>3030</v>
      </c>
      <c r="L6" s="347" t="s">
        <v>1401</v>
      </c>
      <c r="M6" s="348">
        <f ca="1">INDIRECT("'数据-取费表'!z"&amp;$G$1)</f>
        <v>5150</v>
      </c>
    </row>
    <row r="7" spans="1:37" ht="18" customHeight="1">
      <c r="A7" s="1298"/>
      <c r="B7" s="3200"/>
      <c r="C7" s="1300"/>
      <c r="D7" s="352"/>
      <c r="E7" s="1301" t="s">
        <v>1402</v>
      </c>
      <c r="F7" s="348">
        <f ca="1">IF(INDIRECT("'数据-取费表'!ah"&amp;$G$1)="",INDIRECT("'数据-取费表'!k"&amp;$G$1),INDIRECT("'数据-取费表'!ah"&amp;$G$1))</f>
        <v>1</v>
      </c>
      <c r="G7" s="1854"/>
      <c r="H7" s="349"/>
      <c r="I7" s="3200"/>
      <c r="J7" s="351"/>
      <c r="K7" s="352"/>
      <c r="L7" s="347" t="s">
        <v>1402</v>
      </c>
      <c r="M7" s="348">
        <f ca="1">F7</f>
        <v>1</v>
      </c>
    </row>
    <row r="8" spans="1:37" ht="18" customHeight="1">
      <c r="A8" s="349"/>
      <c r="B8" s="3200"/>
      <c r="C8" s="351"/>
      <c r="D8" s="352"/>
      <c r="E8" s="347" t="s">
        <v>1403</v>
      </c>
      <c r="F8" s="348">
        <f ca="1">INDIRECT("'数据-取费表'!ai"&amp;$G$1)</f>
        <v>12</v>
      </c>
      <c r="G8" s="1854"/>
      <c r="H8" s="349"/>
      <c r="I8" s="3200"/>
      <c r="J8" s="351"/>
      <c r="K8" s="352"/>
      <c r="L8" s="347" t="s">
        <v>1403</v>
      </c>
      <c r="M8" s="348">
        <f ca="1">INDIRECT("'数据-取费表'!ai"&amp;$G$1)</f>
        <v>12</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51</v>
      </c>
      <c r="D10" s="1827" t="s">
        <v>3040</v>
      </c>
      <c r="E10" s="358" t="s">
        <v>1406</v>
      </c>
      <c r="F10" s="1369" t="s">
        <v>3137</v>
      </c>
      <c r="G10" s="1854"/>
      <c r="H10" s="1294" t="s">
        <v>1036</v>
      </c>
      <c r="I10" s="1826" t="s">
        <v>1405</v>
      </c>
      <c r="J10" s="346">
        <f ca="1">ROUND(IF(M10="押一",J6/12*M11,IF(M10="押二",J6/12*2*M11,IF(M10="押三",J6/12*3*M11,J11*M11))),0)</f>
        <v>73</v>
      </c>
      <c r="K10" s="1838" t="s">
        <v>3042</v>
      </c>
      <c r="L10" s="358" t="s">
        <v>1406</v>
      </c>
      <c r="M10" s="1369" t="s">
        <v>3137</v>
      </c>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417862</v>
      </c>
      <c r="D13" s="1334" t="s">
        <v>1411</v>
      </c>
      <c r="E13" s="1334" t="s">
        <v>1412</v>
      </c>
      <c r="F13" s="1335">
        <f ca="1">INDIRECT("'数据-取费表'!y"&amp;$G$1)</f>
        <v>0.8</v>
      </c>
      <c r="G13" s="1854"/>
      <c r="H13" s="1332">
        <v>2</v>
      </c>
      <c r="I13" s="1333" t="s">
        <v>1410</v>
      </c>
      <c r="J13" s="1293">
        <f ca="1">ROUND(J14*J15,0)</f>
        <v>412638</v>
      </c>
      <c r="K13" s="1340" t="s">
        <v>1411</v>
      </c>
      <c r="L13" s="1855"/>
      <c r="M13" s="1856"/>
    </row>
    <row r="14" spans="1:37" ht="18" customHeight="1">
      <c r="A14" s="1204" t="s">
        <v>1031</v>
      </c>
      <c r="B14" s="347" t="s">
        <v>1413</v>
      </c>
      <c r="C14" s="363">
        <f ca="1">ROUND(INDIRECT("'数据-取费表'!l"&amp;$G$1)*F43+'数据-取费表'!L14*INDIRECT("'数据-取费表'!S"&amp;$G$1),0)</f>
        <v>327964</v>
      </c>
      <c r="D14" s="1803" t="s">
        <v>1414</v>
      </c>
      <c r="E14" s="1797"/>
      <c r="F14" s="364"/>
      <c r="G14" s="1854"/>
      <c r="H14" s="1204" t="s">
        <v>1032</v>
      </c>
      <c r="I14" s="347" t="s">
        <v>1415</v>
      </c>
      <c r="J14" s="24">
        <f ca="1">C29</f>
        <v>522327</v>
      </c>
      <c r="K14" s="15"/>
      <c r="L14" s="982"/>
      <c r="M14" s="983"/>
    </row>
    <row r="15" spans="1:37" s="1861" customFormat="1" ht="18" customHeight="1" thickBot="1">
      <c r="A15" s="1204" t="s">
        <v>1033</v>
      </c>
      <c r="B15" s="347" t="s">
        <v>1416</v>
      </c>
      <c r="C15" s="24">
        <f ca="1">ROUND(C14*F15,0)</f>
        <v>9839</v>
      </c>
      <c r="D15" s="365" t="s">
        <v>1417</v>
      </c>
      <c r="E15" s="365" t="s">
        <v>1418</v>
      </c>
      <c r="F15" s="366">
        <f>'数据-取费表'!B33</f>
        <v>0.03</v>
      </c>
      <c r="G15" s="1857"/>
      <c r="H15" s="1342" t="s">
        <v>1036</v>
      </c>
      <c r="I15" s="1343" t="s">
        <v>1412</v>
      </c>
      <c r="J15" s="1352">
        <f ca="1">INDIRECT("'数据-取费表'!ad"&amp;$G$1)</f>
        <v>0.79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16398</v>
      </c>
      <c r="D16" s="347" t="s">
        <v>1417</v>
      </c>
      <c r="E16" s="347" t="s">
        <v>1418</v>
      </c>
      <c r="F16" s="367">
        <f ca="1">IF(INDIRECT("'数据-取费表'!c"&amp;$G$1)="住宅",'数据-取费表'!B34,0)</f>
        <v>0.05</v>
      </c>
      <c r="G16" s="1854"/>
      <c r="H16" s="1332" t="s">
        <v>1027</v>
      </c>
      <c r="I16" s="1333" t="s">
        <v>1420</v>
      </c>
      <c r="J16" s="355">
        <f ca="1">ROUND(J17+J22+J23+J24,0)</f>
        <v>9163</v>
      </c>
      <c r="K16" s="1340" t="s">
        <v>1421</v>
      </c>
      <c r="L16" s="1341"/>
      <c r="M16" s="1297"/>
    </row>
    <row r="17" spans="1:37" s="1861" customFormat="1" ht="18" customHeight="1">
      <c r="A17" s="1204" t="s">
        <v>1386</v>
      </c>
      <c r="B17" s="347" t="s">
        <v>1422</v>
      </c>
      <c r="C17" s="24">
        <f ca="1">ROUND(F17*(F43+INDIRECT("'数据-取费表'!S"&amp;$G$1)),0)</f>
        <v>23426</v>
      </c>
      <c r="D17" s="347" t="s">
        <v>1423</v>
      </c>
      <c r="E17" s="347" t="s">
        <v>1424</v>
      </c>
      <c r="F17" s="26">
        <f>'数据-取费表'!B35</f>
        <v>200</v>
      </c>
      <c r="G17" s="1857"/>
      <c r="H17" s="1204" t="s">
        <v>1032</v>
      </c>
      <c r="I17" s="347" t="s">
        <v>1425</v>
      </c>
      <c r="J17" s="24">
        <f ca="1">ROUND(IF(项目基本情况!B11="自然人",J5*M17,J18+J19+J20),0)</f>
        <v>2939</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4919</v>
      </c>
      <c r="D18" s="347" t="s">
        <v>1417</v>
      </c>
      <c r="E18" s="347" t="s">
        <v>1418</v>
      </c>
      <c r="F18" s="367">
        <f>'数据-取费表'!B36</f>
        <v>1.4999999999999999E-2</v>
      </c>
      <c r="G18" s="1857"/>
      <c r="H18" s="1204" t="s">
        <v>1031</v>
      </c>
      <c r="I18" s="347" t="s">
        <v>1429</v>
      </c>
      <c r="J18" s="24">
        <f ca="1">ROUND(J5*M18/(1+'数据-取费表'!C42),0)</f>
        <v>3079</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382546</v>
      </c>
      <c r="D19" s="140" t="s">
        <v>1432</v>
      </c>
      <c r="E19" s="1821"/>
      <c r="F19" s="26"/>
      <c r="G19" s="1854"/>
      <c r="H19" s="1204" t="s">
        <v>1033</v>
      </c>
      <c r="I19" s="347" t="s">
        <v>1433</v>
      </c>
      <c r="J19" s="24">
        <f ca="1">IF(K19="按租金收入计税",ROUND(J5*M19,0),ROUND(C29*M19*0.7,0))</f>
        <v>4388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7651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5223</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13820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413</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588</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49620</v>
      </c>
      <c r="K25" s="1348" t="s">
        <v>1460</v>
      </c>
      <c r="L25" s="1349"/>
      <c r="M25" s="1350"/>
    </row>
    <row r="26" spans="1:37" ht="18" customHeight="1">
      <c r="A26" s="1204" t="s">
        <v>1031</v>
      </c>
      <c r="B26" s="347" t="s">
        <v>1461</v>
      </c>
      <c r="C26" s="24">
        <f ca="1">ROUND((C19+C20)*F26,0)</f>
        <v>78039</v>
      </c>
      <c r="D26" s="369" t="s">
        <v>1462</v>
      </c>
      <c r="E26" s="358" t="s">
        <v>1463</v>
      </c>
      <c r="F26" s="357">
        <f ca="1">INDIRECT("'数据-取费表'!q"&amp;$G$1)</f>
        <v>0.2</v>
      </c>
      <c r="G26" s="1854"/>
      <c r="H26" s="344" t="s">
        <v>1029</v>
      </c>
      <c r="I26" s="345" t="s">
        <v>1464</v>
      </c>
      <c r="J26" s="346">
        <f ca="1">IF(J5&lt;&gt;0,ROUND(J25*(1-((1+M28)/(1+M26))^M27)/(M26-M28),0),0)</f>
        <v>2202817</v>
      </c>
      <c r="K26" s="370" t="s">
        <v>1465</v>
      </c>
      <c r="L26" s="347" t="s">
        <v>1466</v>
      </c>
      <c r="M26" s="357">
        <f ca="1">INDIRECT("'数据-取费表'!I"&amp;$G$1)</f>
        <v>0.04</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52.08</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3.5000000000000003E-2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522327</v>
      </c>
      <c r="D29" s="1345"/>
      <c r="E29" s="1343"/>
      <c r="F29" s="1346"/>
      <c r="G29" s="1857"/>
      <c r="H29" s="380" t="s">
        <v>1030</v>
      </c>
      <c r="I29" s="381" t="s">
        <v>1475</v>
      </c>
      <c r="J29" s="382">
        <f ca="1">ROUND(J26/(1+F40)^F41,0)</f>
        <v>2083488</v>
      </c>
      <c r="K29" s="383" t="s">
        <v>1476</v>
      </c>
      <c r="L29" s="384"/>
      <c r="M29" s="385">
        <f ca="1">INDIRECT("'数据-取费表'!k"&amp;$G$1)</f>
        <v>117.13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8093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2043</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3145</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5223</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418</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408.5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32758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44363</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1.42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ROUND(C40/F43,0)</f>
        <v>379</v>
      </c>
      <c r="D43" s="383" t="s">
        <v>1484</v>
      </c>
      <c r="E43" s="384" t="s">
        <v>1485</v>
      </c>
      <c r="F43" s="385">
        <f ca="1">INDIRECT("'数据-取费表'!k"&amp;$G$1)</f>
        <v>117.13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21116</v>
      </c>
      <c r="D45" s="1943" t="s">
        <v>1600</v>
      </c>
      <c r="E45" s="1869"/>
      <c r="F45" s="1869"/>
      <c r="O45" s="1872" t="s">
        <v>1515</v>
      </c>
      <c r="P45" s="1842"/>
      <c r="Q45" s="1842"/>
      <c r="R45" s="1842"/>
    </row>
    <row r="46" spans="1:18" s="1845" customFormat="1" ht="13.5" thickBot="1">
      <c r="A46" s="1873" t="s">
        <v>1516</v>
      </c>
      <c r="C46" s="1874">
        <f ca="1">ROUND(C45/10000,0)</f>
        <v>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3065</v>
      </c>
      <c r="K47" s="1885" t="s">
        <v>1523</v>
      </c>
      <c r="L47" s="1886">
        <f ca="1">INDIRECT("'数据-取费表'!d"&amp;$G$1)</f>
        <v>70</v>
      </c>
      <c r="M47" s="1841" t="str">
        <f>IF(ISNUMBER(FIND("住宅",C1)),"住宅","非住宅")</f>
        <v>住宅</v>
      </c>
      <c r="O47" s="1887" t="s">
        <v>1037</v>
      </c>
      <c r="P47" s="1888" t="s">
        <v>1524</v>
      </c>
      <c r="Q47" s="1889">
        <f ca="1">C40+J29</f>
        <v>2127851</v>
      </c>
      <c r="R47" s="1889" t="s">
        <v>1525</v>
      </c>
    </row>
    <row r="48" spans="1:18" s="1845" customFormat="1" ht="28.5" thickBot="1">
      <c r="A48" s="1363" t="s">
        <v>1132</v>
      </c>
      <c r="B48" s="345" t="s">
        <v>1397</v>
      </c>
      <c r="C48" s="1820">
        <f ca="1">C49+C53+C55</f>
        <v>57071</v>
      </c>
      <c r="D48" s="1365"/>
      <c r="E48" s="1366"/>
      <c r="F48" s="1184"/>
      <c r="G48" s="792"/>
      <c r="H48" s="793"/>
      <c r="I48" s="1890" t="s">
        <v>1526</v>
      </c>
      <c r="J48" s="1891" t="s">
        <v>3066</v>
      </c>
      <c r="K48" s="1892" t="s">
        <v>1527</v>
      </c>
      <c r="L48" s="1893">
        <f ca="1">INDIRECT("'数据-取费表'!f"&amp;$G$1)</f>
        <v>53.5</v>
      </c>
      <c r="O48" s="1887" t="s">
        <v>1038</v>
      </c>
      <c r="P48" s="1888" t="s">
        <v>1528</v>
      </c>
      <c r="Q48" s="1889" t="str">
        <f ca="1">J60</f>
        <v>0</v>
      </c>
      <c r="R48" s="1889" t="s">
        <v>1529</v>
      </c>
    </row>
    <row r="49" spans="1:18" s="1845" customFormat="1" ht="13.5" thickBot="1">
      <c r="A49" s="1197" t="s">
        <v>1133</v>
      </c>
      <c r="B49" s="1832" t="s">
        <v>1486</v>
      </c>
      <c r="C49" s="1367">
        <f ca="1">ROUND(F49*F51*F50*(1-F52),0)</f>
        <v>57000</v>
      </c>
      <c r="D49" s="1279" t="s">
        <v>1400</v>
      </c>
      <c r="E49" s="1833" t="s">
        <v>1487</v>
      </c>
      <c r="F49" s="1284">
        <v>5000</v>
      </c>
      <c r="G49" s="1894"/>
      <c r="H49" s="793"/>
      <c r="I49" s="1890" t="s">
        <v>1530</v>
      </c>
      <c r="J49" s="1895">
        <v>2000</v>
      </c>
      <c r="K49" s="1892" t="s">
        <v>1531</v>
      </c>
      <c r="L49" s="1896"/>
      <c r="O49" s="1897" t="s">
        <v>1039</v>
      </c>
      <c r="P49" s="1888" t="s">
        <v>1532</v>
      </c>
      <c r="Q49" s="1889">
        <f ca="1">C29</f>
        <v>522327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-14716</v>
      </c>
      <c r="M51" s="1905"/>
      <c r="O51" s="1897" t="s">
        <v>1041</v>
      </c>
      <c r="P51" s="1888" t="s">
        <v>1538</v>
      </c>
      <c r="Q51" s="1900">
        <f>J52</f>
        <v>0</v>
      </c>
      <c r="R51" s="1889"/>
    </row>
    <row r="52" spans="1:18" s="1845" customFormat="1" ht="13.5" thickBot="1">
      <c r="A52" s="1199"/>
      <c r="B52" s="1201"/>
      <c r="C52" s="1202"/>
      <c r="D52" s="1175"/>
      <c r="E52" s="1203" t="s">
        <v>1404</v>
      </c>
      <c r="F52" s="1278">
        <v>0.05</v>
      </c>
      <c r="I52" s="1906" t="s">
        <v>1539</v>
      </c>
      <c r="J52" s="1907"/>
      <c r="K52" s="1906" t="s">
        <v>1540</v>
      </c>
      <c r="L52" s="1907"/>
      <c r="O52" s="1897" t="s">
        <v>1042</v>
      </c>
      <c r="P52" s="1888" t="s">
        <v>1541</v>
      </c>
      <c r="Q52" s="1889">
        <f ca="1">J53</f>
        <v>53.5</v>
      </c>
      <c r="R52" s="1889" t="s">
        <v>1542</v>
      </c>
    </row>
    <row r="53" spans="1:18" s="1845" customFormat="1" ht="30.75" customHeight="1" thickBot="1">
      <c r="A53" s="1364" t="s">
        <v>1134</v>
      </c>
      <c r="B53" s="369" t="s">
        <v>1405</v>
      </c>
      <c r="C53" s="361">
        <f ca="1">ROUND(IF(F53="押一",C49/12*F11,IF(F53="押二",C49/12*2*F11,IF(F53="押三",C49/12*3*F11,C54*F11))),0)</f>
        <v>71</v>
      </c>
      <c r="D53" s="1827" t="s">
        <v>3043</v>
      </c>
      <c r="E53" s="358" t="s">
        <v>1406</v>
      </c>
      <c r="F53" s="1369" t="s">
        <v>3137</v>
      </c>
      <c r="I53" s="1908" t="s">
        <v>1543</v>
      </c>
      <c r="J53" s="1909">
        <f ca="1">IF(M47="住宅",IF(D1="——",MAX(J51,L48),IF(D1="在建（套用方法）",MAX(J51,L48-'数据-取费表'!B24),MAX(J51,L48-'数据-取费表'!B20))),IF(D1="——",MIN(J51,L48),IF(D1="在建（套用方法）",MIN(J51,L48-'数据-取费表'!B24),IF(D1="土地（套用方法）",MIN(J51,L48-'数据-取费表'!B20)))))</f>
        <v>53.5</v>
      </c>
      <c r="K53" s="3202" t="s">
        <v>1544</v>
      </c>
      <c r="L53" s="3203"/>
      <c r="O53" s="1887" t="s">
        <v>1043</v>
      </c>
      <c r="P53" s="1888" t="s">
        <v>1545</v>
      </c>
      <c r="Q53" s="1889">
        <f ca="1">Q47+Q48</f>
        <v>2127851</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417862</v>
      </c>
      <c r="D56" s="1917"/>
      <c r="E56" s="1918"/>
      <c r="F56" s="1910"/>
      <c r="I56" s="1919" t="s">
        <v>1550</v>
      </c>
      <c r="J56" s="1920" t="s">
        <v>3058</v>
      </c>
      <c r="K56" s="1890" t="s">
        <v>1551</v>
      </c>
      <c r="L56" s="1893">
        <f ca="1">IF(L48&lt;J51,"——",L48-J51)</f>
        <v>12.5</v>
      </c>
      <c r="O56" s="1887" t="s">
        <v>1037</v>
      </c>
      <c r="P56" s="1888" t="s">
        <v>1524</v>
      </c>
      <c r="Q56" s="1889">
        <f ca="1">C40+J29</f>
        <v>2127851</v>
      </c>
      <c r="R56" s="1889" t="s">
        <v>1525</v>
      </c>
    </row>
    <row r="57" spans="1:18" s="1845" customFormat="1" ht="24.75" thickBot="1">
      <c r="A57" s="1921"/>
      <c r="B57" s="1172" t="s">
        <v>1474</v>
      </c>
      <c r="C57" s="282">
        <f ca="1">C29</f>
        <v>522327</v>
      </c>
      <c r="D57" s="1922"/>
      <c r="E57" s="1923"/>
      <c r="F57" s="1924"/>
      <c r="I57" s="1925" t="s">
        <v>1552</v>
      </c>
      <c r="J57" s="1926" t="str">
        <f ca="1">IF(OR(M47="住宅",J51&lt;L48,J56="是"),"——",J51-L48)</f>
        <v>——</v>
      </c>
      <c r="K57" s="1890" t="s">
        <v>1601</v>
      </c>
      <c r="L57" s="1893">
        <f ca="1">IF(L48&lt;J51,"——",IF(L55="比较法",L49,IF(L55="基准地价",L50,L51)))</f>
        <v>-14716</v>
      </c>
      <c r="O57" s="1887" t="s">
        <v>1038</v>
      </c>
      <c r="P57" s="1888" t="s">
        <v>1602</v>
      </c>
      <c r="Q57" s="1889">
        <f ca="1">L60</f>
        <v>0</v>
      </c>
      <c r="R57" s="1889" t="s">
        <v>1603</v>
      </c>
    </row>
    <row r="58" spans="1:18" s="1845" customFormat="1" ht="24.75" thickBot="1">
      <c r="A58" s="360" t="s">
        <v>1027</v>
      </c>
      <c r="B58" s="1180" t="s">
        <v>1420</v>
      </c>
      <c r="C58" s="361">
        <f ca="1">ROUND(C59+C64+C65+C66,0)</f>
        <v>9066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2854</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2127851</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5223</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418</v>
      </c>
      <c r="D65" s="1186" t="s">
        <v>1450</v>
      </c>
      <c r="E65" s="1172" t="s">
        <v>1451</v>
      </c>
      <c r="F65" s="376">
        <f t="shared" ca="1" si="0"/>
        <v>1E-3</v>
      </c>
      <c r="I65" s="1932" t="s">
        <v>1575</v>
      </c>
      <c r="J65" s="1933">
        <v>40</v>
      </c>
      <c r="K65" s="1933">
        <v>30</v>
      </c>
      <c r="L65" s="1933">
        <v>50</v>
      </c>
      <c r="M65" s="1935">
        <v>0.02</v>
      </c>
      <c r="O65" s="1887" t="s">
        <v>1037</v>
      </c>
      <c r="P65" s="1888" t="s">
        <v>1576</v>
      </c>
      <c r="Q65" s="1889">
        <f ca="1">C40+J29</f>
        <v>2127851</v>
      </c>
      <c r="R65" s="1889" t="s">
        <v>1525</v>
      </c>
    </row>
    <row r="66" spans="1:18" s="1845" customFormat="1" ht="16.5" thickBot="1">
      <c r="A66" s="1204" t="s">
        <v>1500</v>
      </c>
      <c r="B66" s="1172" t="s">
        <v>1435</v>
      </c>
      <c r="C66" s="24">
        <f ca="1">ROUND(C48*F66,0)</f>
        <v>571</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48005</v>
      </c>
      <c r="D67" s="1185" t="s">
        <v>1460</v>
      </c>
      <c r="E67" s="1190"/>
      <c r="F67" s="1191"/>
      <c r="O67" s="1897" t="s">
        <v>1039</v>
      </c>
      <c r="P67" s="1888" t="s">
        <v>1558</v>
      </c>
      <c r="Q67" s="1936">
        <f ca="1">L51</f>
        <v>-14716</v>
      </c>
      <c r="R67" s="1889" t="s">
        <v>1578</v>
      </c>
    </row>
    <row r="68" spans="1:18" s="1845" customFormat="1" ht="16.5" thickBot="1">
      <c r="A68" s="1169" t="s">
        <v>1029</v>
      </c>
      <c r="B68" s="1170" t="s">
        <v>1481</v>
      </c>
      <c r="C68" s="346">
        <f ca="1">ROUND(C67*(1-((1+F70)/(1+F68))^F69)/(F68-F70),0)</f>
        <v>65479</v>
      </c>
      <c r="D68" s="1187" t="s">
        <v>1465</v>
      </c>
      <c r="E68" s="1172" t="s">
        <v>1466</v>
      </c>
      <c r="F68" s="357">
        <f ca="1">F40</f>
        <v>0.04</v>
      </c>
      <c r="O68" s="1897" t="s">
        <v>1040</v>
      </c>
      <c r="P68" s="1937" t="s">
        <v>1579</v>
      </c>
      <c r="Q68" s="1889">
        <f ca="1">ROUND(Q69-Q70*Q71,0)</f>
        <v>-671</v>
      </c>
      <c r="R68" s="1889" t="s">
        <v>1048</v>
      </c>
    </row>
    <row r="69" spans="1:18" s="1845" customFormat="1" ht="13.5" thickBot="1">
      <c r="A69" s="1173"/>
      <c r="B69" s="1174"/>
      <c r="C69" s="351"/>
      <c r="D69" s="1192" t="s">
        <v>1469</v>
      </c>
      <c r="E69" s="1172" t="s">
        <v>1470</v>
      </c>
      <c r="F69" s="379">
        <f ca="1">F41</f>
        <v>1.42</v>
      </c>
      <c r="O69" s="1897" t="s">
        <v>1045</v>
      </c>
      <c r="P69" s="1937" t="s">
        <v>1580</v>
      </c>
      <c r="Q69" s="1889">
        <f ca="1">C39</f>
        <v>32758</v>
      </c>
      <c r="R69" s="1889" t="s">
        <v>1525</v>
      </c>
    </row>
    <row r="70" spans="1:18" s="1845" customFormat="1" ht="13.5" thickBot="1">
      <c r="A70" s="1176"/>
      <c r="B70" s="1177"/>
      <c r="C70" s="355"/>
      <c r="D70" s="1188"/>
      <c r="E70" s="1172" t="s">
        <v>1473</v>
      </c>
      <c r="F70" s="1278">
        <v>3.5000000000000003E-2</v>
      </c>
      <c r="O70" s="1897" t="s">
        <v>1046</v>
      </c>
      <c r="P70" s="1937" t="s">
        <v>1581</v>
      </c>
      <c r="Q70" s="1889">
        <f ca="1">C13</f>
        <v>417862</v>
      </c>
      <c r="R70" s="1889" t="s">
        <v>1525</v>
      </c>
    </row>
    <row r="71" spans="1:18" s="1845" customFormat="1" ht="13.5" thickBot="1">
      <c r="A71" s="1193" t="s">
        <v>1030</v>
      </c>
      <c r="B71" s="1194" t="s">
        <v>1483</v>
      </c>
      <c r="C71" s="382">
        <f ca="1">ROUND(C68/F71,0)</f>
        <v>559</v>
      </c>
      <c r="D71" s="1195" t="s">
        <v>1484</v>
      </c>
      <c r="E71" s="1196" t="s">
        <v>1485</v>
      </c>
      <c r="F71" s="385">
        <f ca="1">F43</f>
        <v>117.13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33429</v>
      </c>
      <c r="D75" s="1845"/>
      <c r="E75" s="1845"/>
      <c r="F75" s="1845"/>
      <c r="K75" s="1871"/>
      <c r="L75" s="1845"/>
      <c r="O75" s="1887" t="s">
        <v>1043</v>
      </c>
      <c r="P75" s="1888" t="s">
        <v>1545</v>
      </c>
      <c r="Q75" s="1889">
        <f ca="1">Q65+Q66</f>
        <v>2127851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-2.0000000000000018E-2</v>
      </c>
    </row>
    <row r="80" spans="1:18">
      <c r="B80" s="386" t="s">
        <v>1507</v>
      </c>
      <c r="C80" s="318">
        <f ca="1">ROUND(C75/C39,3)</f>
        <v>1.02</v>
      </c>
    </row>
    <row r="81" spans="2:3">
      <c r="B81" s="314" t="s">
        <v>1508</v>
      </c>
      <c r="C81" s="282"/>
    </row>
    <row r="82" spans="2:3">
      <c r="B82" s="317" t="s">
        <v>1509</v>
      </c>
      <c r="C82" s="319">
        <f ca="1">1-C83</f>
        <v>-8.4190000000000005</v>
      </c>
    </row>
    <row r="83" spans="2:3">
      <c r="B83" s="317" t="s">
        <v>1510</v>
      </c>
      <c r="C83" s="318">
        <f ca="1">ROUND(C13/C40,3)</f>
        <v>9.4190000000000005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t="e">
        <f>MATCH(B1,'数据-取费表'!A6:A16,0)+5</f>
        <v>#N/A</v>
      </c>
      <c r="H1" s="1285" t="str">
        <f>IF(ISERROR(FIND("住宅",B1)),"非住宅","住宅")</f>
        <v>非住宅</v>
      </c>
    </row>
    <row r="2" spans="1:8" s="244" customFormat="1" ht="18" customHeight="1">
      <c r="A2" s="245" t="s">
        <v>2328</v>
      </c>
      <c r="B2" s="246" t="e">
        <f ca="1">ROUND(IF(D2="——",C52/10000,C52/10000-E2),0)</f>
        <v>#DIV/0!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t="e">
        <f ca="1">ROUND(B2*10000/(IF(B1="",'数据-汇总表'!E3,INDIRECT("'数据-取费表'!k"&amp;$G$1))),0)</f>
        <v>#DIV/0!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t="e">
        <f ca="1">C6+C7+C8</f>
        <v>#DIV/0!</v>
      </c>
      <c r="D5" s="255" t="s">
        <v>2335</v>
      </c>
      <c r="E5" s="256" t="s">
        <v>2336</v>
      </c>
      <c r="F5" s="256" t="s">
        <v>2337</v>
      </c>
      <c r="G5" s="257"/>
    </row>
    <row r="6" spans="1:8" s="258" customFormat="1" ht="13.5" customHeight="1">
      <c r="A6" s="952" t="s">
        <v>2338</v>
      </c>
      <c r="B6" s="259" t="s">
        <v>2339</v>
      </c>
      <c r="C6" s="260" t="e">
        <f ca="1">ROUND(基准地价修正!C29*基准地价修正!D29,0)</f>
        <v>#DIV/0!</v>
      </c>
      <c r="D6" s="261"/>
      <c r="E6" s="262"/>
      <c r="F6" s="262"/>
      <c r="G6" s="263"/>
    </row>
    <row r="7" spans="1:8" s="258" customFormat="1" ht="13.5" customHeight="1">
      <c r="A7" s="952" t="s">
        <v>2340</v>
      </c>
      <c r="B7" s="259" t="s">
        <v>2341</v>
      </c>
      <c r="C7" s="264" t="e">
        <f ca="1">ROUND(C6*F7,0)</f>
        <v>#DIV/0!</v>
      </c>
      <c r="D7" s="264"/>
      <c r="E7" s="262"/>
      <c r="F7" s="265">
        <f>'数据-取费表'!B48+'数据-取费表'!B49</f>
        <v>3.0499999999999999E-2</v>
      </c>
      <c r="G7" s="263"/>
    </row>
    <row r="8" spans="1:8" s="267" customFormat="1">
      <c r="A8" s="952" t="s">
        <v>2342</v>
      </c>
      <c r="B8" s="259" t="s">
        <v>2343</v>
      </c>
      <c r="C8" s="264" t="e">
        <f ca="1">IF(G8="已包含在土地购买价格中",0,C9+C10)</f>
        <v>#N/A</v>
      </c>
      <c r="D8" s="266"/>
      <c r="E8" s="264"/>
      <c r="F8" s="265"/>
      <c r="G8" s="2557" t="s">
        <v>3072</v>
      </c>
    </row>
    <row r="9" spans="1:8" s="258" customFormat="1" ht="13.5" customHeight="1">
      <c r="A9" s="953" t="s">
        <v>800</v>
      </c>
      <c r="B9" s="268" t="s">
        <v>2344</v>
      </c>
      <c r="C9" s="269" t="e">
        <f ca="1">ROUND(D9*E9,0)</f>
        <v>#N/A</v>
      </c>
      <c r="D9" s="1035" t="e">
        <f ca="1">IF(B1="",'数据-汇总表'!E5,IF(INDIRECT("'数据-取费表'!c"&amp;$G$1)="住宅",INDIRECT("'数据-取费表'!k"&amp;$G$1),0))</f>
        <v>#N/A</v>
      </c>
      <c r="E9" s="269">
        <f>'数据-取费表'!B27</f>
        <v>160</v>
      </c>
      <c r="F9" s="265"/>
      <c r="G9" s="270"/>
    </row>
    <row r="10" spans="1:8" s="258" customFormat="1" ht="13.5" customHeight="1">
      <c r="A10" s="953" t="s">
        <v>801</v>
      </c>
      <c r="B10" s="268" t="s">
        <v>2346</v>
      </c>
      <c r="C10" s="269" t="e">
        <f ca="1">ROUND(D10*E10,0)</f>
        <v>#N/A</v>
      </c>
      <c r="D10" s="1035" t="e">
        <f ca="1">IF(B1="",'数据-汇总表'!E6,IF(INDIRECT("'数据-取费表'!c"&amp;$G$1)="住宅",INDIRECT("'数据-取费表'!s"&amp;$G$1),INDIRECT("'数据-取费表'!k"&amp;$G$1)+INDIRECT("'数据-取费表'!s"&amp;$G$1)))</f>
        <v>#N/A</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e">
        <f ca="1">IF(G19="已包含在土地取得成本中","0",ROUND(D19*E19,0))</f>
        <v>#N/A</v>
      </c>
      <c r="D19" s="1039" t="e">
        <f ca="1">D9+D10</f>
        <v>#N/A</v>
      </c>
      <c r="E19" s="255">
        <f>'数据-取费表'!B31</f>
        <v>200</v>
      </c>
      <c r="F19" s="275"/>
      <c r="G19" s="2557" t="s">
        <v>1071</v>
      </c>
    </row>
    <row r="20" spans="1:7" s="258" customFormat="1" ht="13.5" customHeight="1">
      <c r="A20" s="299" t="s">
        <v>2440</v>
      </c>
      <c r="B20" s="254" t="s">
        <v>2441</v>
      </c>
      <c r="C20" s="276" t="e">
        <f ca="1">ROUND((C5+C19)*F20,0)</f>
        <v>#DIV/0!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t="e">
        <f ca="1">ROUND(SUM(C23:C25),0)</f>
        <v>#DIV/0!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t="e">
        <f ca="1">ROUND(IF('数据-取费表'!B22&lt;=1,C5*F22*'数据-取费表'!B22,C5*(POWER((1+F22),'数据-取费表'!B22)-1)),0)</f>
        <v>#DIV/0!</v>
      </c>
      <c r="D23" s="282"/>
      <c r="E23" s="282"/>
      <c r="F23" s="283"/>
      <c r="G23" s="284" t="s">
        <v>2450</v>
      </c>
    </row>
    <row r="24" spans="1:7" s="258" customFormat="1" ht="13.5" customHeight="1">
      <c r="A24" s="954" t="s">
        <v>2340</v>
      </c>
      <c r="B24" s="259" t="s">
        <v>2451</v>
      </c>
      <c r="C24" s="1384" t="e">
        <f ca="1">ROUND(IF('数据-取费表'!B22&lt;=1,C19*F22*('数据-取费表'!B19/2+'数据-取费表'!B20),C19*(POWER((1+F22),('数据-取费表'!B19/2+'数据-取费表'!B20))-1)),0)</f>
        <v>#N/A</v>
      </c>
      <c r="D24" s="282"/>
      <c r="E24" s="282"/>
      <c r="F24" s="283"/>
      <c r="G24" s="284" t="s">
        <v>2452</v>
      </c>
    </row>
    <row r="25" spans="1:7" s="258" customFormat="1" ht="24">
      <c r="A25" s="954" t="s">
        <v>2342</v>
      </c>
      <c r="B25" s="259" t="s">
        <v>2453</v>
      </c>
      <c r="C25" s="1384" t="e">
        <f ca="1">ROUND(IF('数据-取费表'!B22&lt;=1,C20*F22*'数据-取费表'!B22/2,C20*(POWER((1+F22),'数据-取费表'!B22/2)-1)),0)</f>
        <v>#DIV/0!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t="e">
        <f ca="1">C28</f>
        <v>#DIV/0!</v>
      </c>
      <c r="D27" s="279" t="e">
        <f ca="1">C29</f>
        <v>#N/A</v>
      </c>
      <c r="E27" s="280" t="s">
        <v>2380</v>
      </c>
      <c r="F27" s="290" t="e">
        <f ca="1">IF(B1="",'数据-取费表'!Q16,INDIRECT("'数据-取费表'!q"&amp;$G$1))</f>
        <v>#N/A</v>
      </c>
      <c r="G27" s="291" t="s">
        <v>2381</v>
      </c>
    </row>
    <row r="28" spans="1:7" s="258" customFormat="1" ht="13.5" customHeight="1">
      <c r="A28" s="954" t="s">
        <v>791</v>
      </c>
      <c r="B28" s="292" t="s">
        <v>2382</v>
      </c>
      <c r="C28" s="293" t="e">
        <f ca="1">ROUND((C5+C19+C20)*F27,0)</f>
        <v>#DIV/0!</v>
      </c>
      <c r="D28" s="279"/>
      <c r="E28" s="280"/>
      <c r="F28" s="290"/>
      <c r="G28" s="291"/>
    </row>
    <row r="29" spans="1:7" s="258" customFormat="1" ht="13.5" customHeight="1">
      <c r="A29" s="954" t="s">
        <v>792</v>
      </c>
      <c r="B29" s="292" t="s">
        <v>2383</v>
      </c>
      <c r="C29" s="282" t="e">
        <f ca="1">ROUND(C21*F27,4)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#DIV/0!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t="e">
        <f ca="1">SUM(C34:C38)</f>
        <v>#N/A</v>
      </c>
      <c r="D33" s="276"/>
      <c r="E33" s="256"/>
      <c r="F33" s="285"/>
      <c r="G33" s="278"/>
    </row>
    <row r="34" spans="1:7" s="302" customFormat="1" ht="13.5" customHeight="1">
      <c r="A34" s="954" t="s">
        <v>791</v>
      </c>
      <c r="B34" s="259" t="s">
        <v>2391</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2393</v>
      </c>
      <c r="C35" s="264" t="e">
        <f ca="1">ROUND(C34*F35,0)</f>
        <v>#N/A</v>
      </c>
      <c r="D35" s="264"/>
      <c r="E35" s="264"/>
      <c r="F35" s="303">
        <f>'数据-取费表'!B33</f>
        <v>0.03</v>
      </c>
      <c r="G35" s="263" t="s">
        <v>2394</v>
      </c>
    </row>
    <row r="36" spans="1:7" ht="24">
      <c r="A36" s="954" t="s">
        <v>797</v>
      </c>
      <c r="B36" s="259" t="s">
        <v>2395</v>
      </c>
      <c r="C36" s="264" t="e">
        <f ca="1">ROUND(IF(B1="",SUM('数据-取费表'!AP6:AP13)*F36,IF(INDIRECT("'数据-取费表'!c"&amp;$G$1)="住宅",INDIRECT("'数据-取费表'!k"&amp;$G$1)*INDIRECT("'数据-取费表'!l"&amp;$G$1)*F36,0)),0)</f>
        <v>#N/A</v>
      </c>
      <c r="D36" s="264"/>
      <c r="E36" s="264"/>
      <c r="F36" s="303">
        <f>'数据-取费表'!B34</f>
        <v>0.05</v>
      </c>
      <c r="G36" s="304" t="s">
        <v>2396</v>
      </c>
    </row>
    <row r="37" spans="1:7" s="302" customFormat="1" ht="13.5" customHeight="1">
      <c r="A37" s="954" t="s">
        <v>798</v>
      </c>
      <c r="B37" s="259" t="s">
        <v>2397</v>
      </c>
      <c r="C37" s="293" t="e">
        <f ca="1">ROUND(E37*D37,0)</f>
        <v>#N/A</v>
      </c>
      <c r="D37" s="261" t="e">
        <f ca="1">D19</f>
        <v>#N/A</v>
      </c>
      <c r="E37" s="293">
        <f>'数据-取费表'!B35</f>
        <v>200</v>
      </c>
      <c r="F37" s="303"/>
      <c r="G37" s="305"/>
    </row>
    <row r="38" spans="1:7" ht="13.5" customHeight="1">
      <c r="A38" s="954"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t="e">
        <f ca="1">ROUND(SUM(C42:C43),0)</f>
        <v>#N/A</v>
      </c>
      <c r="D41" s="279">
        <f ca="1">C44</f>
        <v>6.9999999999999999E-4</v>
      </c>
      <c r="E41" s="280" t="s">
        <v>2405</v>
      </c>
      <c r="F41" s="281"/>
      <c r="G41" s="278" t="str">
        <f>IF('数据-取费表'!B22&lt;=1,"单利计息","复利计息")</f>
        <v>复利计息</v>
      </c>
    </row>
    <row r="42" spans="1:7" ht="13.5" customHeight="1">
      <c r="A42" s="954" t="s">
        <v>791</v>
      </c>
      <c r="B42" s="259" t="s">
        <v>2409</v>
      </c>
      <c r="C42" s="282" t="e">
        <f ca="1">ROUND(IF('数据-取费表'!B22&lt;=1,C33*F22*'数据-取费表'!B20/2,C33*(POWER((1+F22),'数据-取费表'!B20/2)-1)),0)</f>
        <v>#N/A</v>
      </c>
      <c r="D42" s="282"/>
      <c r="E42" s="282"/>
      <c r="F42" s="283"/>
      <c r="G42" s="3150" t="s">
        <v>2457</v>
      </c>
    </row>
    <row r="43" spans="1:7" ht="13.5" customHeight="1">
      <c r="A43" s="954" t="s">
        <v>792</v>
      </c>
      <c r="B43" s="259" t="s">
        <v>2411</v>
      </c>
      <c r="C43" s="282" t="e">
        <f ca="1">ROUND(IF('数据-取费表'!B22&lt;=1,C39*F22*'数据-取费表'!B20/2,C39*(POWER((1+F22),'数据-取费表'!B20/2)-1)),0)</f>
        <v>#N/A</v>
      </c>
      <c r="D43" s="282"/>
      <c r="E43" s="282"/>
      <c r="F43" s="283"/>
      <c r="G43" s="3151"/>
    </row>
    <row r="44" spans="1:7" ht="13.5" customHeight="1">
      <c r="A44" s="954" t="s">
        <v>793</v>
      </c>
      <c r="B44" s="259" t="s">
        <v>2412</v>
      </c>
      <c r="C44" s="282">
        <f ca="1">ROUND(IF('数据-取费表'!B22&lt;=1,C40*F22*'数据-取费表'!B20/2,C40*(POWER((1+F22),'数据-取费表'!B20/2)-1)),4)</f>
        <v>6.9999999999999999E-4</v>
      </c>
      <c r="D44" s="282"/>
      <c r="E44" s="282"/>
      <c r="F44" s="283"/>
      <c r="G44" s="3152"/>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4" t="s">
        <v>791</v>
      </c>
      <c r="B46" s="292" t="s">
        <v>2415</v>
      </c>
      <c r="C46" s="293" t="e">
        <f ca="1">ROUND((C33+C39)*F27,0)</f>
        <v>#N/A</v>
      </c>
      <c r="D46" s="307"/>
      <c r="E46" s="280"/>
      <c r="F46" s="290"/>
      <c r="G46" s="291"/>
    </row>
    <row r="47" spans="1:7" s="258" customFormat="1" ht="13.5" customHeight="1">
      <c r="A47" s="954" t="s">
        <v>792</v>
      </c>
      <c r="B47" s="292" t="s">
        <v>2416</v>
      </c>
      <c r="C47" s="282" t="e">
        <f ca="1">ROUND(C40*F27,4)</f>
        <v>#N/A</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t="e">
        <f ca="1">ROUND((C33+C39+C41+C45)/(1-C40-D41-D45-C48),0)</f>
        <v>#N/A</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t="e">
        <f ca="1">ROUND(C49*F50,0)</f>
        <v>#N/A</v>
      </c>
      <c r="D51" s="276"/>
      <c r="E51" s="276"/>
      <c r="F51" s="308"/>
      <c r="G51" s="278" t="s">
        <v>2426</v>
      </c>
    </row>
    <row r="52" spans="1:7" s="252" customFormat="1" ht="16.5" thickBot="1">
      <c r="A52" s="309" t="s">
        <v>2427</v>
      </c>
      <c r="B52" s="310"/>
      <c r="C52" s="311" t="e">
        <f ca="1">C31+C51</f>
        <v>#DIV/0!</v>
      </c>
      <c r="D52" s="310"/>
      <c r="E52" s="310"/>
      <c r="F52" s="310"/>
      <c r="G52" s="312"/>
    </row>
    <row r="54" spans="1:7">
      <c r="E54" s="2949" t="s">
        <v>3076</v>
      </c>
      <c r="F54" s="295" t="e">
        <f ca="1">ROUND(C52/292.44,0)</f>
        <v>#DIV/0!</v>
      </c>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235</v>
      </c>
      <c r="C2" s="320" t="s">
        <v>2461</v>
      </c>
      <c r="D2" s="320"/>
      <c r="E2" s="320"/>
      <c r="F2" s="320"/>
      <c r="G2" s="320"/>
      <c r="H2" s="320"/>
      <c r="I2" s="320"/>
      <c r="J2" s="320"/>
      <c r="K2" s="320"/>
    </row>
    <row r="3" spans="1:33" ht="18" customHeight="1" thickBot="1">
      <c r="A3" s="247" t="s">
        <v>2330</v>
      </c>
      <c r="B3" s="248">
        <f ca="1">ROUND(B2*10000/IF(C1="",'数据-汇总表'!E3,INDIRECT("'数据-取费表'!K"&amp;$K$1)),0)</f>
        <v>20063</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117.13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117.13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117.13</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235</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26" sqref="H2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117.13</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 ca="1">C26</f>
        <v>#DIV/0!</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2819</v>
      </c>
      <c r="B3" s="248" t="e">
        <f ca="1">ROUND(B2*10000/D1,0)</f>
        <v>#DIV/0!</v>
      </c>
      <c r="C3" s="2726" t="s">
        <v>2820</v>
      </c>
      <c r="D3" s="2727" t="s">
        <v>2821</v>
      </c>
      <c r="E3" s="2732" t="s">
        <v>3136</v>
      </c>
      <c r="F3" s="2733" t="s">
        <v>3067</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3068</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ca="1" si="0"/>
        <v>#DIV/0!</v>
      </c>
      <c r="U13" s="1606"/>
      <c r="V13" s="1605" t="e">
        <f t="shared" ca="1" si="1"/>
        <v>#DIV/0!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3069</v>
      </c>
      <c r="D14" s="2775" t="s">
        <v>3069</v>
      </c>
      <c r="E14" s="2775" t="s">
        <v>3069</v>
      </c>
      <c r="F14" s="2776" t="s">
        <v>3130</v>
      </c>
      <c r="G14" s="2777" t="s">
        <v>2877</v>
      </c>
      <c r="H14" s="2778"/>
      <c r="I14" s="2779"/>
      <c r="J14" s="2780"/>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3131</v>
      </c>
      <c r="F16" s="2786" t="s">
        <v>3132</v>
      </c>
      <c r="G16" s="2787" t="s">
        <v>3133</v>
      </c>
      <c r="H16" s="2787" t="s">
        <v>3134</v>
      </c>
      <c r="I16" s="2787"/>
      <c r="J16" s="2788"/>
      <c r="K16" s="1373"/>
      <c r="L16" s="2789" t="s">
        <v>2886</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43572</v>
      </c>
      <c r="H19" s="2803" t="s">
        <v>3070</v>
      </c>
      <c r="I19" s="930" t="str">
        <f>IF(H19="季度增幅（自定义）",SUMIF(N21:N24,E2,O21:O24),"")</f>
        <v/>
      </c>
      <c r="J19" s="2800"/>
      <c r="K19" s="1380"/>
      <c r="L19" s="2804" t="s">
        <v>2895</v>
      </c>
      <c r="M19" s="1737">
        <f>ROUND(SUMIF(地价!B2:F2,E2,地价!B25:F25),0)</f>
        <v>258</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 ca="1">ROUND(POWER(1+G20,J20-I20)*(POWER(1+G20,I20)-1)/(POWER(1+G20,J20)-1),4)</f>
        <v>#DIV/0!</v>
      </c>
      <c r="D20" s="2811" t="s">
        <v>2898</v>
      </c>
      <c r="E20" s="1771">
        <f ca="1">存贷款利率!D4/100</f>
        <v>4.3499999999999997E-2</v>
      </c>
      <c r="F20" s="2811" t="s">
        <v>2890</v>
      </c>
      <c r="G20" s="937">
        <f ca="1">SUMIF(M15:P15,E2,M17:P17)</f>
        <v>5.3999999999999999E-2</v>
      </c>
      <c r="H20" s="2811" t="s">
        <v>2899</v>
      </c>
      <c r="I20" s="938" t="e">
        <f>SUMIF('数据-取费表'!C6:C15,E2,'数据-取费表'!F6:F15)/COUNTIF('数据-取费表'!C6:C15,E2)</f>
        <v>#DIV/0!</v>
      </c>
      <c r="J20" s="939">
        <f>IF(E2="住宅",70,IF(E2="商业",40,50))</f>
        <v>40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3135</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 ca="1">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 ca="1">ROUND(C5*C18*C19*C20*C21*C24,0)</f>
        <v>#DIV/0!</v>
      </c>
      <c r="D29" s="2850">
        <f>'数据-汇总表'!E19</f>
        <v>117.13</v>
      </c>
      <c r="E29" s="945" t="e">
        <f ca="1">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 ca="1">ROUND(IF(E2="工业",C29*M39,C29*M38),0)</f>
        <v>#DIV/0!</v>
      </c>
      <c r="D30" s="2856"/>
      <c r="E30" s="945" t="e">
        <f ca="1">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t="e">
        <f ca="1">ROUND(D5*C19*C20*C24*F33,0)</f>
        <v>#DIV/0!</v>
      </c>
      <c r="D33" s="2850"/>
      <c r="E33" s="200" t="e">
        <f ca="1">ROUND(C33*D33/10000,0)</f>
        <v>#DIV/0!</v>
      </c>
      <c r="F33" s="200">
        <f>SUMIF(修正!A45:A56,G2,修正!B45:B56)</f>
        <v>0.7</v>
      </c>
      <c r="G33" s="200" t="e">
        <f t="shared" ref="G33" ca="1" si="6">ROUND(IF(E2="工业",C33*$M$39,C33*$M$38),0)</f>
        <v>#DIV/0!</v>
      </c>
      <c r="H33" s="200">
        <f>D33</f>
        <v>0</v>
      </c>
      <c r="I33" s="200" t="e">
        <f ca="1">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t="e">
        <f ca="1">ROUND(D5*C19*C20*C24*F34,0)</f>
        <v>#DIV/0!</v>
      </c>
      <c r="D34" s="2850"/>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t="e">
        <f ca="1">ROUND(D5*C19*C20*C24*F35,0)</f>
        <v>#DIV/0!</v>
      </c>
      <c r="D35" s="2850"/>
      <c r="E35" s="200" t="e">
        <f t="shared" ca="1" si="7"/>
        <v>#DIV/0!</v>
      </c>
      <c r="F35" s="200">
        <f>SUMIF(修正!A45:A56,G2,修正!D45:D56)</f>
        <v>0.28000000000000003</v>
      </c>
      <c r="G35" s="200" t="e">
        <f ca="1">ROUND(IF(E2="工业",C35*$M$39,C35*$M$38),0)</f>
        <v>#DIV/0!</v>
      </c>
      <c r="H35" s="200">
        <f t="shared" si="8"/>
        <v>0</v>
      </c>
      <c r="I35" s="200" t="e">
        <f t="shared" ca="1"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t="e">
        <f ca="1">ROUND(D5*C19*C20*C24*F36,0)</f>
        <v>#DIV/0!</v>
      </c>
      <c r="D36" s="2850"/>
      <c r="E36" s="200" t="e">
        <f t="shared" ca="1" si="7"/>
        <v>#DIV/0!</v>
      </c>
      <c r="F36" s="200">
        <f>SUMIF(修正!A45:A56,G2,修正!E45:E56)</f>
        <v>0.25</v>
      </c>
      <c r="G36" s="200" t="e">
        <f ca="1">ROUND(IF(E2="工业",C36*$M$39,C36*$M$38),0)</f>
        <v>#DIV/0!</v>
      </c>
      <c r="H36" s="200">
        <f t="shared" si="8"/>
        <v>0</v>
      </c>
      <c r="I36" s="200" t="e">
        <f t="shared" ca="1"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 ca="1">ROUND(D5*C19*C20*C24*F37,0)</f>
        <v>#DIV/0!</v>
      </c>
      <c r="D37" s="2850"/>
      <c r="E37" s="200" t="e">
        <f t="shared" ca="1" si="7"/>
        <v>#DIV/0!</v>
      </c>
      <c r="F37" s="206">
        <f>SUMIF(修正!A45:A56,G2,修正!F45:F56)</f>
        <v>0.25</v>
      </c>
      <c r="G37" s="200" t="e">
        <f ca="1">ROUND(IF(E2="工业",C37*$M$39,C37*$M$38),0)</f>
        <v>#DIV/0!</v>
      </c>
      <c r="H37" s="200">
        <f t="shared" si="8"/>
        <v>0</v>
      </c>
      <c r="I37" s="200" t="e">
        <f t="shared" ca="1"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3073</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3073</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3073</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3073</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3073</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3073</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3073</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3080</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3073</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3071</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3071</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3073</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3073</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3073</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3071</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3073</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3073</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3073</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213</v>
      </c>
      <c r="C2" s="2573" t="s">
        <v>2520</v>
      </c>
      <c r="D2" s="2574" t="s">
        <v>2521</v>
      </c>
      <c r="E2" s="2575">
        <f>SUM(E6:E13)</f>
        <v>117.13</v>
      </c>
    </row>
    <row r="3" spans="1:6" ht="15.75">
      <c r="A3" s="2571" t="s">
        <v>1391</v>
      </c>
      <c r="B3" s="2572">
        <f ca="1">ROUND(B2*10000/E2,0)</f>
        <v>18185</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213</v>
      </c>
      <c r="C6" s="2573" t="s">
        <v>2520</v>
      </c>
      <c r="D6" s="2576"/>
      <c r="E6" s="2584">
        <f>IF(OR(A6=0,F6="否"),0,'数据-取费表'!K6+'数据-取费表'!S6)</f>
        <v>117.13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246" t="s">
        <v>2543</v>
      </c>
      <c r="D5" s="3196"/>
      <c r="E5" s="3247" t="s">
        <v>2544</v>
      </c>
      <c r="F5" s="3191"/>
      <c r="G5" s="3246" t="s">
        <v>2545</v>
      </c>
      <c r="H5" s="3196"/>
      <c r="I5" s="3246" t="s">
        <v>2546</v>
      </c>
      <c r="J5" s="3196"/>
      <c r="K5" s="610"/>
      <c r="L5" s="1133"/>
      <c r="M5" s="1134"/>
      <c r="N5" s="1134"/>
      <c r="O5" s="1134"/>
      <c r="P5" s="3256"/>
      <c r="Q5" s="3178"/>
      <c r="R5" s="3183"/>
      <c r="S5" s="3184"/>
      <c r="T5" s="3183"/>
      <c r="U5" s="3184"/>
      <c r="V5" s="3187"/>
      <c r="W5" s="3187"/>
      <c r="X5" s="1816"/>
      <c r="Y5" s="3183"/>
      <c r="Z5" s="3184"/>
      <c r="AA5" s="3169"/>
      <c r="AB5" s="3169"/>
      <c r="AC5" s="3252"/>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7"/>
      <c r="Q6" s="3180"/>
      <c r="R6" s="3183"/>
      <c r="S6" s="3184"/>
      <c r="T6" s="3185"/>
      <c r="U6" s="3186"/>
      <c r="V6" s="3187"/>
      <c r="W6" s="3187"/>
      <c r="X6" s="1816"/>
      <c r="Y6" s="3185"/>
      <c r="Z6" s="3186"/>
      <c r="AA6" s="3170"/>
      <c r="AB6" s="3170"/>
      <c r="AC6" s="3253"/>
    </row>
    <row r="7" spans="1:29" s="117" customFormat="1" ht="15.75" thickBot="1">
      <c r="A7" s="408" t="s">
        <v>2549</v>
      </c>
      <c r="B7" s="409"/>
      <c r="C7" s="410">
        <f>'数据-取费表'!B2</f>
        <v>43572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2019年4月17日（评估专业人员实地查勘之日）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43572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56"/>
      <c r="Q10" s="1798" t="str">
        <f t="shared" si="6"/>
        <v>土地使用年限（年）</v>
      </c>
      <c r="R10" s="770" t="s">
        <v>17</v>
      </c>
      <c r="S10" s="771">
        <f t="shared" si="0"/>
        <v>107</v>
      </c>
      <c r="T10" s="770" t="s">
        <v>17</v>
      </c>
      <c r="U10" s="771">
        <f t="shared" si="1"/>
        <v>107</v>
      </c>
      <c r="V10" s="770" t="s">
        <v>17</v>
      </c>
      <c r="W10" s="771">
        <f t="shared" si="2"/>
        <v>107</v>
      </c>
      <c r="X10" s="772"/>
      <c r="Y10" s="3008"/>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117.13</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7"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7"/>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7"/>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7"/>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117.13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56"/>
      <c r="Q10" s="1798" t="str">
        <f t="shared" si="6"/>
        <v>土地使用年限（年）</v>
      </c>
      <c r="R10" s="770" t="s">
        <v>17</v>
      </c>
      <c r="S10" s="771">
        <f t="shared" si="0"/>
        <v>107</v>
      </c>
      <c r="T10" s="770" t="s">
        <v>17</v>
      </c>
      <c r="U10" s="771">
        <f t="shared" si="1"/>
        <v>107</v>
      </c>
      <c r="V10" s="770" t="s">
        <v>17</v>
      </c>
      <c r="W10" s="771">
        <f t="shared" si="2"/>
        <v>107</v>
      </c>
      <c r="X10" s="772"/>
      <c r="Y10" s="3008"/>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117.13</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7"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7"/>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7"/>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7"/>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t="e">
        <f ca="1">SUMIF(B6:B13,"&lt;&gt;#ref!",B6:B13)</f>
        <v>#DIV/0!</v>
      </c>
      <c r="C2" s="2915" t="s">
        <v>2996</v>
      </c>
      <c r="D2" s="2915" t="s">
        <v>2997</v>
      </c>
      <c r="E2" s="2916">
        <f ca="1">SUMIF(E6:E13,"&lt;&gt;#ref!",E6:E13)</f>
        <v>117.13</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2">
        <f ca="1">SUMIF(INDIRECT("'"&amp;A6&amp;"'"&amp;"!C:C"),"建筑面积",INDIRECT("'"&amp;A6&amp;"'"&amp;"!D:D"))</f>
        <v>117.13</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467</v>
      </c>
      <c r="E5" s="1962"/>
    </row>
    <row r="6" spans="1:5" ht="15.75">
      <c r="A6" s="1962"/>
      <c r="B6" s="2966"/>
      <c r="C6" s="1965" t="s">
        <v>1620</v>
      </c>
      <c r="D6" s="1043" t="str">
        <f ca="1">NUMBERSTRING(INT(D5*10000),2)&amp;"元整"</f>
        <v>肆佰陆拾柒万元整</v>
      </c>
      <c r="E6" s="1962"/>
    </row>
    <row r="7" spans="1:5" ht="15.75">
      <c r="A7" s="1962"/>
      <c r="B7" s="2971"/>
      <c r="C7" s="1966" t="s">
        <v>1621</v>
      </c>
      <c r="D7" s="1044">
        <f ca="1">结果表!H102</f>
        <v>39870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467</v>
      </c>
      <c r="E13" s="1962"/>
    </row>
    <row r="14" spans="1:5" ht="15.75">
      <c r="A14" s="1962"/>
      <c r="B14" s="2966"/>
      <c r="C14" s="1965" t="s">
        <v>1620</v>
      </c>
      <c r="D14" s="1043" t="str">
        <f ca="1">NUMBERSTRING(INT(D13*10000),2)&amp;"元整"</f>
        <v>肆佰陆拾柒万元整</v>
      </c>
      <c r="E14" s="1962"/>
    </row>
    <row r="15" spans="1:5" ht="15">
      <c r="A15" s="1962"/>
      <c r="B15" s="2971"/>
      <c r="C15" s="1966" t="s">
        <v>1630</v>
      </c>
      <c r="D15" s="1055">
        <f ca="1">结果表!H108</f>
        <v>39870</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52" workbookViewId="0">
      <selection activeCell="M183" sqref="M183"/>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29004</v>
      </c>
      <c r="C2" s="2" t="s">
        <v>133</v>
      </c>
      <c r="D2" s="243"/>
      <c r="E2" s="243"/>
      <c r="F2" s="243"/>
      <c r="G2" s="243"/>
    </row>
    <row r="3" spans="1:7" s="244" customFormat="1" ht="18" customHeight="1" thickBot="1">
      <c r="A3" s="247" t="s">
        <v>85</v>
      </c>
      <c r="B3" s="248">
        <f ca="1">ROUND(B2*10000/'数据-汇总表'!E3,0)</f>
        <v>2476223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117.13</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117.13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117.13</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8</v>
      </c>
      <c r="D45" s="279">
        <f>C47</f>
        <v>4.0000000000000001E-3</v>
      </c>
      <c r="E45" s="280" t="s">
        <v>129</v>
      </c>
      <c r="F45" s="290"/>
      <c r="G45" s="291" t="s">
        <v>1069</v>
      </c>
    </row>
    <row r="46" spans="1:7" s="258" customFormat="1" ht="13.5" customHeight="1">
      <c r="A46" s="954" t="s">
        <v>794</v>
      </c>
      <c r="B46" s="292" t="s">
        <v>1062</v>
      </c>
      <c r="C46" s="293">
        <f>ROUND((C33+C39)*F27,0)</f>
        <v>8</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42</v>
      </c>
      <c r="D51" s="276"/>
      <c r="E51" s="276"/>
      <c r="F51" s="308"/>
      <c r="G51" s="278" t="s">
        <v>64</v>
      </c>
    </row>
    <row r="52" spans="1:7" s="252" customFormat="1" ht="16.5" thickBot="1">
      <c r="A52" s="309" t="s">
        <v>65</v>
      </c>
      <c r="B52" s="310"/>
      <c r="C52" s="311">
        <f ca="1">C31+C51</f>
        <v>29004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43572</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117.13</v>
      </c>
      <c r="C4" s="1047">
        <f>项目基本情况!C18</f>
        <v>0</v>
      </c>
      <c r="D4" s="1047" t="e">
        <f ca="1">结果表!D118</f>
        <v>#REF!</v>
      </c>
      <c r="E4" s="1047" t="e">
        <f ca="1">结果表!E118</f>
        <v>#REF!</v>
      </c>
      <c r="F4" s="1047" t="e">
        <f ca="1">结果表!F118</f>
        <v>#REF!</v>
      </c>
      <c r="G4" s="1047" t="e">
        <f ca="1">结果表!G118</f>
        <v>#REF!</v>
      </c>
      <c r="H4" s="1047">
        <f ca="1">结果表!H118</f>
        <v>467</v>
      </c>
      <c r="I4" s="1047">
        <f ca="1">结果表!I118</f>
        <v>39870</v>
      </c>
    </row>
    <row r="5" spans="1:9" ht="30" customHeight="1">
      <c r="A5" s="2979" t="s">
        <v>1636</v>
      </c>
      <c r="B5" s="2979"/>
      <c r="C5" s="2979"/>
      <c r="D5" s="2980" t="e">
        <f ca="1">结果表!D119</f>
        <v>#REF!</v>
      </c>
      <c r="E5" s="2980"/>
      <c r="F5" s="2980" t="e">
        <f ca="1">结果表!F119</f>
        <v>#REF!</v>
      </c>
      <c r="G5" s="2980"/>
      <c r="H5" s="2980" t="str">
        <f ca="1">结果表!H119</f>
        <v>肆佰陆拾柒万元整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467</v>
      </c>
      <c r="E8" s="2978"/>
      <c r="F8" s="2978"/>
      <c r="G8" s="2978"/>
      <c r="H8" s="2978"/>
      <c r="I8" s="2978"/>
    </row>
    <row r="9" spans="1:9" ht="15">
      <c r="A9" s="2979" t="s">
        <v>1636</v>
      </c>
      <c r="B9" s="2979"/>
      <c r="C9" s="2979"/>
      <c r="D9" s="2980" t="str">
        <f ca="1">结果表!D123</f>
        <v>肆佰陆拾柒万元整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2019-04-19T08:08:58Z</dcterms:modified>
</cp:coreProperties>
</file>