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朝阳区霞光里66号院1号楼1至2层商业A04\"/>
    </mc:Choice>
  </mc:AlternateContent>
  <xr:revisionPtr revIDLastSave="0" documentId="13_ncr:1_{764F5794-18D3-478E-847D-62974BBF61C8}"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案例"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9">成本法!$A$1:$G$57</definedName>
    <definedName name="_xlnm.Print_Area" localSheetId="36">'成本法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I36" i="33"/>
  <c r="I47" i="33"/>
  <c r="G47" i="33"/>
  <c r="E47" i="33"/>
  <c r="E36" i="33"/>
  <c r="C36" i="33"/>
  <c r="C33" i="33"/>
  <c r="U3" i="43"/>
  <c r="U2" i="43"/>
  <c r="G51" i="43"/>
  <c r="G52" i="43"/>
  <c r="G53" i="43"/>
  <c r="G54" i="43"/>
  <c r="G55" i="43"/>
  <c r="G56" i="43"/>
  <c r="G57" i="43"/>
  <c r="G58" i="43"/>
  <c r="G50" i="43"/>
  <c r="Y6" i="1"/>
  <c r="N6" i="1"/>
  <c r="I7" i="6"/>
  <c r="F19" i="6"/>
  <c r="C19" i="6"/>
  <c r="I13" i="3"/>
  <c r="F31" i="80"/>
  <c r="F33" i="80" s="1"/>
  <c r="E33" i="80" s="1"/>
  <c r="U6" i="1" s="1"/>
  <c r="C33" i="80"/>
  <c r="E32" i="80"/>
  <c r="F32" i="80"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W22" i="79"/>
  <c r="AK22" i="79" s="1"/>
  <c r="AH22" i="79"/>
  <c r="Z3" i="79"/>
  <c r="S33" i="79"/>
  <c r="AG33" i="79" s="1"/>
  <c r="S35" i="79"/>
  <c r="AG35" i="79" s="1"/>
  <c r="S34" i="79"/>
  <c r="AG34"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6" i="79" l="1"/>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AH34" i="79"/>
  <c r="W34" i="79"/>
  <c r="AK34" i="79" s="1"/>
  <c r="W50" i="79"/>
  <c r="AK50" i="79" s="1"/>
  <c r="AH50" i="79"/>
  <c r="W23" i="79"/>
  <c r="AK23" i="79" s="1"/>
  <c r="AH23" i="79"/>
  <c r="W12" i="79"/>
  <c r="AK12" i="79" s="1"/>
  <c r="AH12" i="79"/>
  <c r="W21" i="79"/>
  <c r="AK21" i="79" s="1"/>
  <c r="AH21" i="79"/>
  <c r="W47" i="79"/>
  <c r="AK47" i="79" s="1"/>
  <c r="AH47" i="79"/>
  <c r="W45" i="79"/>
  <c r="AK45" i="79" s="1"/>
  <c r="AH45" i="79"/>
  <c r="AH33" i="79"/>
  <c r="W33" i="79"/>
  <c r="AK33" i="79" s="1"/>
  <c r="W14" i="79"/>
  <c r="AK14" i="79" s="1"/>
  <c r="AH14" i="79"/>
  <c r="W19" i="79"/>
  <c r="AK19" i="79" s="1"/>
  <c r="AH19" i="79"/>
  <c r="W41" i="79"/>
  <c r="AK41" i="79" s="1"/>
  <c r="AH41" i="79"/>
  <c r="W35" i="79"/>
  <c r="AK35" i="79" s="1"/>
  <c r="AH35" i="79"/>
  <c r="W40" i="79"/>
  <c r="AK40" i="79" s="1"/>
  <c r="AH40"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N66" i="7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U29" i="39"/>
  <c r="W29" i="39"/>
  <c r="W18" i="36"/>
  <c r="S21" i="37"/>
  <c r="U21" i="34"/>
  <c r="AC18" i="35"/>
  <c r="J21" i="37"/>
  <c r="W21" i="37" s="1"/>
  <c r="G84" i="34"/>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AZ566" i="3" s="1"/>
  <c r="BC566" i="3"/>
  <c r="BD566" i="3"/>
  <c r="BE566" i="3"/>
  <c r="BF566" i="3"/>
  <c r="BG566" i="3"/>
  <c r="BH566" i="3"/>
  <c r="BI566" i="3"/>
  <c r="BJ566" i="3"/>
  <c r="BJ5" i="3" s="1"/>
  <c r="BK566" i="3"/>
  <c r="BM566" i="3"/>
  <c r="BN566" i="3"/>
  <c r="BO566" i="3"/>
  <c r="BL566" i="3" s="1"/>
  <c r="BP566" i="3"/>
  <c r="BQ566" i="3"/>
  <c r="BR566" i="3"/>
  <c r="BS566" i="3"/>
  <c r="BS5" i="3" s="1"/>
  <c r="BT566" i="3"/>
  <c r="H567" i="3"/>
  <c r="AC567" i="3"/>
  <c r="BB567" i="3"/>
  <c r="BC567" i="3"/>
  <c r="BD567" i="3"/>
  <c r="BE567" i="3"/>
  <c r="BF567" i="3"/>
  <c r="BG567" i="3"/>
  <c r="BH567" i="3"/>
  <c r="BI567" i="3"/>
  <c r="BJ567" i="3"/>
  <c r="BK567" i="3"/>
  <c r="BM567" i="3"/>
  <c r="BN567" i="3"/>
  <c r="BO567" i="3"/>
  <c r="BL567" i="3" s="1"/>
  <c r="BP567" i="3"/>
  <c r="BR567" i="3"/>
  <c r="BS567" i="3"/>
  <c r="BT567" i="3"/>
  <c r="BT5" i="3" s="1"/>
  <c r="H568" i="3"/>
  <c r="AC568" i="3"/>
  <c r="BB568" i="3"/>
  <c r="BC568" i="3"/>
  <c r="BA568" i="3" s="1"/>
  <c r="BD568" i="3"/>
  <c r="BE568" i="3"/>
  <c r="BF568" i="3"/>
  <c r="BG568" i="3"/>
  <c r="BH568" i="3"/>
  <c r="BI568" i="3"/>
  <c r="BJ568" i="3"/>
  <c r="BK568" i="3"/>
  <c r="BK5" i="3" s="1"/>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AC14" i="33" s="1"/>
  <c r="B72" i="33"/>
  <c r="B70" i="33"/>
  <c r="J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AB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W9" i="34"/>
  <c r="U34" i="34"/>
  <c r="H39" i="33"/>
  <c r="AB39" i="33" s="1"/>
  <c r="H39" i="37"/>
  <c r="AB39" i="37"/>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H32" i="33"/>
  <c r="U32" i="33" s="1"/>
  <c r="H11" i="21"/>
  <c r="U11" i="21" s="1"/>
  <c r="J11" i="21"/>
  <c r="W11" i="21" s="1"/>
  <c r="H37" i="40"/>
  <c r="U37" i="40"/>
  <c r="H36" i="40"/>
  <c r="AB36" i="40" s="1"/>
  <c r="F35" i="40"/>
  <c r="AA35" i="40" s="1"/>
  <c r="H23" i="40"/>
  <c r="AB23" i="40" s="1"/>
  <c r="H17" i="40"/>
  <c r="U17" i="40"/>
  <c r="J15" i="40"/>
  <c r="W15" i="40" s="1"/>
  <c r="J11" i="40"/>
  <c r="AB8" i="39"/>
  <c r="AC12" i="34"/>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S41" i="33" s="1"/>
  <c r="E113" i="33"/>
  <c r="F32" i="33"/>
  <c r="AA32" i="33" s="1"/>
  <c r="J19" i="33"/>
  <c r="AC19" i="33" s="1"/>
  <c r="J15" i="33"/>
  <c r="AC15" i="33" s="1"/>
  <c r="F11" i="33"/>
  <c r="AA11" i="33" s="1"/>
  <c r="U40" i="33"/>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F14" i="21"/>
  <c r="S14" i="21" s="1"/>
  <c r="J44" i="21"/>
  <c r="AC44" i="21" s="1"/>
  <c r="H44" i="21"/>
  <c r="U44" i="21" s="1"/>
  <c r="F44" i="21"/>
  <c r="AA44" i="21" s="1"/>
  <c r="H46" i="21"/>
  <c r="U46" i="21" s="1"/>
  <c r="J46" i="21"/>
  <c r="F46" i="21"/>
  <c r="AA46" i="21"/>
  <c r="H28" i="33"/>
  <c r="U28" i="33" s="1"/>
  <c r="F28" i="33"/>
  <c r="AA28" i="33" s="1"/>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W13" i="33" s="1"/>
  <c r="H13" i="33"/>
  <c r="U13" i="33" s="1"/>
  <c r="F13" i="33"/>
  <c r="S13" i="33" s="1"/>
  <c r="J29" i="33"/>
  <c r="H29" i="33"/>
  <c r="U29" i="33" s="1"/>
  <c r="F29" i="33"/>
  <c r="S29" i="33" s="1"/>
  <c r="J31" i="33"/>
  <c r="W31" i="33" s="1"/>
  <c r="H31" i="33"/>
  <c r="F31" i="33"/>
  <c r="S31" i="33" s="1"/>
  <c r="H45" i="33"/>
  <c r="U45" i="33" s="1"/>
  <c r="J45" i="33"/>
  <c r="W45" i="33" s="1"/>
  <c r="F45" i="33"/>
  <c r="AA45" i="33" s="1"/>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30" i="33"/>
  <c r="AB30" i="33" s="1"/>
  <c r="F30" i="33"/>
  <c r="J30" i="33"/>
  <c r="W30" i="33" s="1"/>
  <c r="J44" i="33"/>
  <c r="AC44" i="33" s="1"/>
  <c r="J46" i="33"/>
  <c r="AC46" i="33" s="1"/>
  <c r="F46" i="33"/>
  <c r="AA46" i="33" s="1"/>
  <c r="H46" i="33"/>
  <c r="AB46" i="33" s="1"/>
  <c r="J29" i="34"/>
  <c r="W29" i="34" s="1"/>
  <c r="F29" i="34"/>
  <c r="S29" i="34" s="1"/>
  <c r="H29" i="34"/>
  <c r="AB29" i="34" s="1"/>
  <c r="F31" i="34"/>
  <c r="S31" i="34" s="1"/>
  <c r="H45" i="34"/>
  <c r="U45" i="34" s="1"/>
  <c r="J45" i="34"/>
  <c r="W45" i="34"/>
  <c r="F45" i="34"/>
  <c r="S45" i="34" s="1"/>
  <c r="F13" i="35"/>
  <c r="J13" i="35"/>
  <c r="AC13" i="35"/>
  <c r="H13" i="35"/>
  <c r="U13"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s="1"/>
  <c r="F33" i="40"/>
  <c r="AA33" i="40" s="1"/>
  <c r="H33" i="40"/>
  <c r="U33" i="40"/>
  <c r="J35" i="40"/>
  <c r="AC35" i="40" s="1"/>
  <c r="J37" i="40"/>
  <c r="AC37" i="40" s="1"/>
  <c r="H13" i="40"/>
  <c r="U13" i="40" s="1"/>
  <c r="J13" i="40"/>
  <c r="W13" i="40"/>
  <c r="F13" i="40"/>
  <c r="AA13" i="40" s="1"/>
  <c r="F14" i="37"/>
  <c r="AA14" i="37" s="1"/>
  <c r="F27" i="37"/>
  <c r="AA27" i="37" s="1"/>
  <c r="F13" i="39"/>
  <c r="J13" i="39"/>
  <c r="W13" i="39" s="1"/>
  <c r="H13" i="39"/>
  <c r="H14" i="40"/>
  <c r="AB14" i="40"/>
  <c r="J14" i="40"/>
  <c r="W14" i="40" s="1"/>
  <c r="F14" i="40"/>
  <c r="AA14" i="40" s="1"/>
  <c r="J14" i="37"/>
  <c r="J27" i="37"/>
  <c r="AC27" i="37" s="1"/>
  <c r="U46" i="33"/>
  <c r="J36" i="37"/>
  <c r="AC36" i="37" s="1"/>
  <c r="J10" i="36"/>
  <c r="AC10" i="36" s="1"/>
  <c r="S11" i="36"/>
  <c r="AA1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4" i="3"/>
  <c r="AZ564" i="3" s="1"/>
  <c r="BA562" i="3"/>
  <c r="BA560" i="3"/>
  <c r="BA558" i="3"/>
  <c r="AZ558" i="3"/>
  <c r="BA556" i="3"/>
  <c r="AZ556" i="3" s="1"/>
  <c r="BA554" i="3"/>
  <c r="AZ554" i="3" s="1"/>
  <c r="BA552" i="3"/>
  <c r="AZ552" i="3" s="1"/>
  <c r="BA548" i="3"/>
  <c r="BA546" i="3"/>
  <c r="AZ546" i="3" s="1"/>
  <c r="BA544" i="3"/>
  <c r="AZ544" i="3" s="1"/>
  <c r="BA542" i="3"/>
  <c r="AZ542" i="3" s="1"/>
  <c r="BA540" i="3"/>
  <c r="BA538" i="3"/>
  <c r="AZ538" i="3"/>
  <c r="BA536" i="3"/>
  <c r="AZ536" i="3" s="1"/>
  <c r="BA534" i="3"/>
  <c r="BA532" i="3"/>
  <c r="AZ532" i="3" s="1"/>
  <c r="BA530" i="3"/>
  <c r="BA528" i="3"/>
  <c r="AZ528" i="3" s="1"/>
  <c r="BA526" i="3"/>
  <c r="AZ526" i="3" s="1"/>
  <c r="BA524" i="3"/>
  <c r="AZ524" i="3" s="1"/>
  <c r="BA522" i="3"/>
  <c r="BA520" i="3"/>
  <c r="BA518" i="3"/>
  <c r="BA516" i="3"/>
  <c r="BA514" i="3"/>
  <c r="BA512" i="3"/>
  <c r="AZ512" i="3" s="1"/>
  <c r="BA510" i="3"/>
  <c r="AZ510" i="3" s="1"/>
  <c r="BA508" i="3"/>
  <c r="AZ508" i="3" s="1"/>
  <c r="BA506" i="3"/>
  <c r="AZ506" i="3" s="1"/>
  <c r="BA504" i="3"/>
  <c r="AZ504" i="3" s="1"/>
  <c r="BA502" i="3"/>
  <c r="BA500" i="3"/>
  <c r="BA498" i="3"/>
  <c r="AZ498" i="3" s="1"/>
  <c r="BA496" i="3"/>
  <c r="BA494" i="3"/>
  <c r="BA583" i="3"/>
  <c r="BA581" i="3"/>
  <c r="BA579" i="3"/>
  <c r="BA577" i="3"/>
  <c r="BA575" i="3"/>
  <c r="AZ575" i="3" s="1"/>
  <c r="BA573" i="3"/>
  <c r="BA571" i="3"/>
  <c r="BA567" i="3"/>
  <c r="BA565" i="3"/>
  <c r="BA563" i="3"/>
  <c r="BA561" i="3"/>
  <c r="BA559" i="3"/>
  <c r="AZ559" i="3" s="1"/>
  <c r="BA555" i="3"/>
  <c r="BA553" i="3"/>
  <c r="BA549" i="3"/>
  <c r="BA547" i="3"/>
  <c r="BA545" i="3"/>
  <c r="BA543" i="3"/>
  <c r="BA541" i="3"/>
  <c r="BA539" i="3"/>
  <c r="BA537" i="3"/>
  <c r="AZ537" i="3" s="1"/>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Q567" i="3"/>
  <c r="BQ565" i="3"/>
  <c r="BL565" i="3" s="1"/>
  <c r="BQ563" i="3"/>
  <c r="BL563" i="3"/>
  <c r="AZ563" i="3" s="1"/>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c r="BQ527" i="3"/>
  <c r="BL527" i="3" s="1"/>
  <c r="BQ525" i="3"/>
  <c r="BL525" i="3" s="1"/>
  <c r="AZ525" i="3" s="1"/>
  <c r="BQ523" i="3"/>
  <c r="BL523" i="3" s="1"/>
  <c r="BA521" i="3"/>
  <c r="AC521" i="3"/>
  <c r="G521"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s="1"/>
  <c r="AZ505" i="3" s="1"/>
  <c r="BQ503" i="3"/>
  <c r="BL503" i="3" s="1"/>
  <c r="BQ501" i="3"/>
  <c r="BL501" i="3"/>
  <c r="AZ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c r="F37" i="37"/>
  <c r="AA37" i="37" s="1"/>
  <c r="F31" i="40"/>
  <c r="S31" i="40" s="1"/>
  <c r="H31" i="40"/>
  <c r="U31" i="40" s="1"/>
  <c r="F32" i="40"/>
  <c r="S32" i="40"/>
  <c r="H32" i="40"/>
  <c r="AB32" i="40" s="1"/>
  <c r="J36" i="40"/>
  <c r="W36" i="40" s="1"/>
  <c r="H19" i="37"/>
  <c r="AB19" i="37" s="1"/>
  <c r="H42" i="33"/>
  <c r="AB42" i="33" s="1"/>
  <c r="J43" i="33"/>
  <c r="AC43" i="33" s="1"/>
  <c r="S28" i="31"/>
  <c r="S27" i="31"/>
  <c r="S26" i="31"/>
  <c r="U14" i="40"/>
  <c r="W23" i="35"/>
  <c r="U39" i="37"/>
  <c r="U26" i="37"/>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BL136" i="3"/>
  <c r="G137" i="3"/>
  <c r="BA139" i="3"/>
  <c r="BL140" i="3"/>
  <c r="AZ140" i="3" s="1"/>
  <c r="G141" i="3"/>
  <c r="BA143" i="3"/>
  <c r="BL144" i="3"/>
  <c r="G145" i="3"/>
  <c r="BA147" i="3"/>
  <c r="BL148" i="3"/>
  <c r="AZ148" i="3" s="1"/>
  <c r="G149" i="3"/>
  <c r="BA151" i="3"/>
  <c r="BL152" i="3"/>
  <c r="AZ152" i="3" s="1"/>
  <c r="G153" i="3"/>
  <c r="BA155" i="3"/>
  <c r="BL156" i="3"/>
  <c r="G157" i="3"/>
  <c r="BA159" i="3"/>
  <c r="BL160" i="3"/>
  <c r="AZ160" i="3" s="1"/>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BA379" i="3"/>
  <c r="AZ379" i="3" s="1"/>
  <c r="BL380" i="3"/>
  <c r="G381" i="3"/>
  <c r="BA383" i="3"/>
  <c r="AZ383" i="3" s="1"/>
  <c r="BL384" i="3"/>
  <c r="AZ384" i="3" s="1"/>
  <c r="G385" i="3"/>
  <c r="BA387" i="3"/>
  <c r="AZ387" i="3" s="1"/>
  <c r="BL388" i="3"/>
  <c r="G389" i="3"/>
  <c r="BA391" i="3"/>
  <c r="BL392" i="3"/>
  <c r="AZ392" i="3" s="1"/>
  <c r="G393" i="3"/>
  <c r="AZ291" i="3"/>
  <c r="BO5" i="3"/>
  <c r="BM5" i="3"/>
  <c r="BH5" i="3"/>
  <c r="BF5" i="3"/>
  <c r="BD5" i="3"/>
  <c r="AC5" i="3"/>
  <c r="AZ496" i="3"/>
  <c r="G548" i="3"/>
  <c r="G538" i="3"/>
  <c r="G520" i="3"/>
  <c r="G502" i="3"/>
  <c r="BP5" i="3"/>
  <c r="BN5" i="3"/>
  <c r="BI5" i="3"/>
  <c r="BG5" i="3"/>
  <c r="BE5" i="3"/>
  <c r="G17" i="3"/>
  <c r="BA17" i="3"/>
  <c r="AZ17" i="3" s="1"/>
  <c r="BA15" i="3"/>
  <c r="AZ15" i="3" s="1"/>
  <c r="BR5" i="3"/>
  <c r="AZ380" i="3"/>
  <c r="AZ499" i="3"/>
  <c r="G509" i="3"/>
  <c r="BL493" i="3"/>
  <c r="AZ493" i="3" s="1"/>
  <c r="U36" i="40"/>
  <c r="F83" i="43"/>
  <c r="H85" i="43" s="1"/>
  <c r="F50" i="43"/>
  <c r="H54" i="43" s="1"/>
  <c r="F72" i="43"/>
  <c r="H75" i="43" s="1"/>
  <c r="U17" i="39"/>
  <c r="S14" i="35"/>
  <c r="U43" i="21"/>
  <c r="U35" i="21"/>
  <c r="AC35" i="2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130" i="3"/>
  <c r="AZ69" i="3"/>
  <c r="AZ72"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W12" i="39"/>
  <c r="AC39" i="40"/>
  <c r="W39" i="40"/>
  <c r="AZ412" i="3"/>
  <c r="AZ433" i="3"/>
  <c r="W12" i="33"/>
  <c r="AC12" i="33"/>
  <c r="AZ437" i="3"/>
  <c r="BL14" i="3"/>
  <c r="U30" i="33"/>
  <c r="W28" i="37"/>
  <c r="S19" i="39"/>
  <c r="F12" i="33"/>
  <c r="H12" i="39"/>
  <c r="AB12" i="39" s="1"/>
  <c r="F39" i="40"/>
  <c r="S39" i="40" s="1"/>
  <c r="BA14" i="3"/>
  <c r="AZ224" i="3"/>
  <c r="AZ254" i="3"/>
  <c r="AZ297" i="3"/>
  <c r="AZ149" i="3"/>
  <c r="AZ173" i="3"/>
  <c r="AZ181" i="3"/>
  <c r="B12" i="1"/>
  <c r="E12" i="1" s="1"/>
  <c r="B10" i="1"/>
  <c r="E10" i="1" s="1"/>
  <c r="K12" i="1"/>
  <c r="M12" i="1" s="1"/>
  <c r="S13" i="1"/>
  <c r="AR13" i="1" s="1"/>
  <c r="R13" i="1"/>
  <c r="J51" i="67"/>
  <c r="C42" i="1"/>
  <c r="C24" i="12" s="1"/>
  <c r="B41" i="1"/>
  <c r="F48" i="9" s="1"/>
  <c r="O52" i="9" s="1"/>
  <c r="AB37" i="40"/>
  <c r="S35" i="40"/>
  <c r="U35" i="40"/>
  <c r="W38" i="40"/>
  <c r="AA32" i="40"/>
  <c r="S17" i="40"/>
  <c r="S23" i="40"/>
  <c r="AC17" i="40"/>
  <c r="AC15"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U13" i="36"/>
  <c r="U26" i="36"/>
  <c r="S33" i="36"/>
  <c r="AA34" i="36"/>
  <c r="AC26" i="36"/>
  <c r="AA22" i="36"/>
  <c r="W14" i="36"/>
  <c r="AB14" i="36"/>
  <c r="U22" i="36"/>
  <c r="S16" i="36"/>
  <c r="AA25" i="36"/>
  <c r="S24" i="36"/>
  <c r="AB20" i="36"/>
  <c r="U16" i="36"/>
  <c r="S14" i="36"/>
  <c r="S23" i="35"/>
  <c r="W24" i="35"/>
  <c r="AB13" i="35"/>
  <c r="U29" i="35"/>
  <c r="U28" i="35"/>
  <c r="AB27" i="35"/>
  <c r="U36" i="35"/>
  <c r="U32" i="35"/>
  <c r="AA33" i="35"/>
  <c r="AC30" i="35"/>
  <c r="S32" i="35"/>
  <c r="S28" i="35"/>
  <c r="AB16" i="35"/>
  <c r="U22" i="35"/>
  <c r="S20" i="35"/>
  <c r="AC20" i="35"/>
  <c r="S22" i="35"/>
  <c r="U14" i="35"/>
  <c r="AA11" i="35"/>
  <c r="AC9" i="35"/>
  <c r="W9" i="35"/>
  <c r="AC12" i="35"/>
  <c r="W13" i="35"/>
  <c r="F9" i="35"/>
  <c r="S9" i="35" s="1"/>
  <c r="H9" i="35"/>
  <c r="U9" i="35" s="1"/>
  <c r="AB40" i="37"/>
  <c r="S25" i="37"/>
  <c r="W27" i="37"/>
  <c r="AC29" i="37"/>
  <c r="U29" i="37"/>
  <c r="S32" i="37"/>
  <c r="W30" i="37"/>
  <c r="S36" i="37"/>
  <c r="AA38" i="37"/>
  <c r="W38" i="37"/>
  <c r="AC35" i="37"/>
  <c r="W39" i="37"/>
  <c r="S30" i="37"/>
  <c r="S37" i="37"/>
  <c r="J17" i="37"/>
  <c r="W17" i="37" s="1"/>
  <c r="G73" i="37"/>
  <c r="F17" i="37"/>
  <c r="AA17" i="37" s="1"/>
  <c r="AB17" i="37"/>
  <c r="F75" i="37"/>
  <c r="F19" i="37"/>
  <c r="S19" i="37" s="1"/>
  <c r="F79" i="37"/>
  <c r="F23" i="37"/>
  <c r="S23" i="37" s="1"/>
  <c r="U15"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S17" i="34"/>
  <c r="AA29" i="34"/>
  <c r="U27" i="34"/>
  <c r="S23" i="34"/>
  <c r="U15" i="34"/>
  <c r="H10" i="34"/>
  <c r="AB10" i="34" s="1"/>
  <c r="F11" i="34"/>
  <c r="S11" i="34" s="1"/>
  <c r="F70" i="34"/>
  <c r="G70" i="34" s="1"/>
  <c r="H70" i="34" s="1"/>
  <c r="I70" i="34" s="1"/>
  <c r="J70" i="34" s="1"/>
  <c r="K70" i="34" s="1"/>
  <c r="L70" i="34" s="1"/>
  <c r="M70" i="34" s="1"/>
  <c r="AA29" i="33"/>
  <c r="W38" i="33"/>
  <c r="H41" i="33"/>
  <c r="U41" i="33" s="1"/>
  <c r="F121" i="33"/>
  <c r="G121" i="33" s="1"/>
  <c r="H121" i="33" s="1"/>
  <c r="I121" i="33" s="1"/>
  <c r="J121" i="33" s="1"/>
  <c r="K121" i="33" s="1"/>
  <c r="L121" i="33" s="1"/>
  <c r="M121" i="33" s="1"/>
  <c r="G108" i="33"/>
  <c r="H108" i="33" s="1"/>
  <c r="I108" i="33" s="1"/>
  <c r="J108" i="33" s="1"/>
  <c r="K108" i="33" s="1"/>
  <c r="L108" i="33" s="1"/>
  <c r="M108" i="33" s="1"/>
  <c r="J35" i="33"/>
  <c r="W35" i="33" s="1"/>
  <c r="S39" i="33"/>
  <c r="F101" i="33"/>
  <c r="G101" i="33"/>
  <c r="H101" i="33" s="1"/>
  <c r="I101" i="33" s="1"/>
  <c r="J101" i="33" s="1"/>
  <c r="K101" i="33" s="1"/>
  <c r="L101" i="33" s="1"/>
  <c r="M101" i="33" s="1"/>
  <c r="J32" i="33"/>
  <c r="AC32" i="33" s="1"/>
  <c r="S46" i="33"/>
  <c r="F91" i="33"/>
  <c r="G91" i="33" s="1"/>
  <c r="H91" i="33" s="1"/>
  <c r="I91" i="33" s="1"/>
  <c r="J91" i="33" s="1"/>
  <c r="K91" i="33" s="1"/>
  <c r="L91" i="33" s="1"/>
  <c r="M91" i="33" s="1"/>
  <c r="H27" i="33"/>
  <c r="AB27" i="33" s="1"/>
  <c r="F87" i="33"/>
  <c r="H25" i="33"/>
  <c r="U25" i="33" s="1"/>
  <c r="F25" i="33"/>
  <c r="S25" i="33" s="1"/>
  <c r="F81" i="33"/>
  <c r="G81" i="33" s="1"/>
  <c r="F19" i="33"/>
  <c r="S19" i="33" s="1"/>
  <c r="J17" i="33"/>
  <c r="AC17" i="33" s="1"/>
  <c r="F79" i="33"/>
  <c r="G79" i="33" s="1"/>
  <c r="J10" i="33"/>
  <c r="W10" i="33" s="1"/>
  <c r="H10" i="33"/>
  <c r="U10" i="33" s="1"/>
  <c r="W43" i="21"/>
  <c r="W36" i="21"/>
  <c r="W41" i="21"/>
  <c r="AB39" i="21"/>
  <c r="AA43" i="21"/>
  <c r="S39" i="21"/>
  <c r="AA38" i="21"/>
  <c r="AA36" i="21"/>
  <c r="AC40" i="21"/>
  <c r="J15" i="21"/>
  <c r="W15" i="21" s="1"/>
  <c r="F77" i="21"/>
  <c r="G77" i="21" s="1"/>
  <c r="F23" i="21"/>
  <c r="S23" i="21" s="1"/>
  <c r="E85" i="21"/>
  <c r="AA14" i="21"/>
  <c r="C18" i="9"/>
  <c r="D18" i="9" s="1"/>
  <c r="F34" i="67"/>
  <c r="F62" i="67" s="1"/>
  <c r="M20" i="67"/>
  <c r="F34" i="15"/>
  <c r="F62" i="15" s="1"/>
  <c r="G13" i="3"/>
  <c r="BL17" i="3"/>
  <c r="BL13" i="3"/>
  <c r="J56" i="9"/>
  <c r="J57" i="9" s="1"/>
  <c r="J59" i="9" s="1"/>
  <c r="J61" i="9" s="1"/>
  <c r="U29" i="34"/>
  <c r="E5" i="6"/>
  <c r="E32" i="6"/>
  <c r="E19" i="69"/>
  <c r="E19" i="68"/>
  <c r="E19" i="11"/>
  <c r="G22" i="68"/>
  <c r="C6" i="43"/>
  <c r="B19" i="53"/>
  <c r="B37" i="72" s="1"/>
  <c r="C7" i="39"/>
  <c r="C67" i="39" s="1"/>
  <c r="C7" i="35"/>
  <c r="C7" i="33"/>
  <c r="E7" i="33" s="1"/>
  <c r="G7" i="33" s="1"/>
  <c r="I7" i="33" s="1"/>
  <c r="C7" i="21"/>
  <c r="C7" i="40"/>
  <c r="C63" i="40" s="1"/>
  <c r="M47" i="9"/>
  <c r="G23" i="43"/>
  <c r="C23" i="43" s="1"/>
  <c r="C48" i="35"/>
  <c r="D48" i="35" s="1"/>
  <c r="L20" i="6"/>
  <c r="K11" i="1"/>
  <c r="M11" i="1" s="1"/>
  <c r="O11" i="1" s="1"/>
  <c r="B9" i="1"/>
  <c r="E9" i="1" s="1"/>
  <c r="K7" i="1"/>
  <c r="M7" i="1" s="1"/>
  <c r="O7" i="1" s="1"/>
  <c r="P7" i="1" s="1"/>
  <c r="G1" i="67"/>
  <c r="W23" i="40"/>
  <c r="U32" i="40"/>
  <c r="AB31" i="40"/>
  <c r="S37" i="40"/>
  <c r="AB28" i="40"/>
  <c r="W28" i="40"/>
  <c r="W34" i="40"/>
  <c r="W19" i="40"/>
  <c r="S36" i="40"/>
  <c r="W37" i="40"/>
  <c r="S13" i="40"/>
  <c r="S33" i="40"/>
  <c r="AA15" i="40"/>
  <c r="U1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W29" i="36"/>
  <c r="U25" i="36"/>
  <c r="AB28" i="36"/>
  <c r="AA13" i="36"/>
  <c r="W9" i="36"/>
  <c r="W22" i="36"/>
  <c r="AB20" i="35"/>
  <c r="S24" i="35"/>
  <c r="U24" i="35"/>
  <c r="S35" i="35"/>
  <c r="W35" i="35"/>
  <c r="AA16" i="35"/>
  <c r="AA35" i="37"/>
  <c r="W36" i="37"/>
  <c r="S27" i="37"/>
  <c r="S28" i="37"/>
  <c r="W32" i="37"/>
  <c r="U36" i="37"/>
  <c r="AB37" i="37"/>
  <c r="AC34" i="37"/>
  <c r="AB35" i="37"/>
  <c r="AA31" i="37"/>
  <c r="U19" i="37"/>
  <c r="AA29" i="37"/>
  <c r="U8" i="37"/>
  <c r="AB40" i="34"/>
  <c r="U19" i="34"/>
  <c r="W19" i="34"/>
  <c r="AB33" i="34"/>
  <c r="AC45" i="34"/>
  <c r="AA30" i="34"/>
  <c r="AB45" i="34"/>
  <c r="AB47" i="34"/>
  <c r="U25" i="34"/>
  <c r="AB36"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3" i="33"/>
  <c r="S30" i="33"/>
  <c r="AA30" i="33"/>
  <c r="AC30" i="33"/>
  <c r="S11" i="33"/>
  <c r="S44" i="21"/>
  <c r="AB42" i="21"/>
  <c r="S45" i="21"/>
  <c r="F33" i="21"/>
  <c r="AA33" i="21" s="1"/>
  <c r="J33" i="21"/>
  <c r="AC33" i="21" s="1"/>
  <c r="H33" i="21"/>
  <c r="AB33" i="21" s="1"/>
  <c r="F37" i="21"/>
  <c r="AA37" i="21" s="1"/>
  <c r="AA26" i="21"/>
  <c r="U40" i="21"/>
  <c r="U31" i="21"/>
  <c r="U13" i="21"/>
  <c r="AB13" i="21"/>
  <c r="S35" i="21"/>
  <c r="J37" i="21"/>
  <c r="W37" i="21" s="1"/>
  <c r="H15" i="21"/>
  <c r="U15" i="21" s="1"/>
  <c r="J17" i="21"/>
  <c r="AC17" i="21" s="1"/>
  <c r="AC19" i="21"/>
  <c r="W39" i="21"/>
  <c r="S46" i="21"/>
  <c r="H45" i="21"/>
  <c r="U45" i="21" s="1"/>
  <c r="F29" i="21"/>
  <c r="AA29" i="21" s="1"/>
  <c r="F13" i="21"/>
  <c r="AA13" i="21" s="1"/>
  <c r="AC38" i="21"/>
  <c r="H32" i="21"/>
  <c r="H9" i="21"/>
  <c r="U9" i="21" s="1"/>
  <c r="J9" i="21"/>
  <c r="J32" i="21"/>
  <c r="W32" i="21" s="1"/>
  <c r="F32" i="21"/>
  <c r="AA31" i="21"/>
  <c r="U17" i="21"/>
  <c r="W29" i="21"/>
  <c r="S9" i="21"/>
  <c r="AA9" i="21"/>
  <c r="K141" i="21"/>
  <c r="K144" i="21"/>
  <c r="K143" i="21"/>
  <c r="U27" i="21"/>
  <c r="AB25" i="21"/>
  <c r="AB44" i="21"/>
  <c r="W13" i="21"/>
  <c r="W42" i="21"/>
  <c r="AC45" i="21"/>
  <c r="F10" i="21"/>
  <c r="AA10" i="21" s="1"/>
  <c r="K145" i="21"/>
  <c r="W25" i="21"/>
  <c r="W31" i="21"/>
  <c r="S27" i="21"/>
  <c r="S17" i="21"/>
  <c r="AA15" i="21"/>
  <c r="AC27" i="21"/>
  <c r="AC26" i="21"/>
  <c r="AB29"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32" i="39"/>
  <c r="AB21" i="39"/>
  <c r="U21" i="39"/>
  <c r="AA21" i="39"/>
  <c r="S21" i="39"/>
  <c r="AC17" i="37"/>
  <c r="S17" i="37"/>
  <c r="J19" i="37"/>
  <c r="W19" i="37" s="1"/>
  <c r="G75" i="37"/>
  <c r="J23" i="37"/>
  <c r="AC23" i="37" s="1"/>
  <c r="G79" i="37"/>
  <c r="J10" i="37"/>
  <c r="W10" i="37" s="1"/>
  <c r="H11" i="37"/>
  <c r="AB11" i="37" s="1"/>
  <c r="H11" i="34"/>
  <c r="U11" i="34" s="1"/>
  <c r="J10" i="34"/>
  <c r="AC10" i="34" s="1"/>
  <c r="J27" i="33"/>
  <c r="AC27" i="33" s="1"/>
  <c r="AA25" i="33"/>
  <c r="G87" i="33"/>
  <c r="H87" i="33"/>
  <c r="I87" i="33" s="1"/>
  <c r="J87" i="33" s="1"/>
  <c r="K87" i="33" s="1"/>
  <c r="L87" i="33" s="1"/>
  <c r="M87" i="33" s="1"/>
  <c r="J25" i="33"/>
  <c r="W25" i="33" s="1"/>
  <c r="H19" i="33"/>
  <c r="U19" i="33" s="1"/>
  <c r="H17" i="33"/>
  <c r="U17" i="33" s="1"/>
  <c r="F17" i="33"/>
  <c r="S17" i="33" s="1"/>
  <c r="S37" i="21"/>
  <c r="AB15" i="21"/>
  <c r="J23" i="21"/>
  <c r="F85" i="21"/>
  <c r="G85" i="21" s="1"/>
  <c r="H23" i="21"/>
  <c r="S13" i="21"/>
  <c r="AP7" i="1"/>
  <c r="AB45" i="21"/>
  <c r="AA32" i="21"/>
  <c r="S32" i="21"/>
  <c r="W9" i="21"/>
  <c r="AC9" i="21"/>
  <c r="AB32" i="21"/>
  <c r="U32" i="21"/>
  <c r="U32" i="39"/>
  <c r="AC32" i="39"/>
  <c r="J11" i="37"/>
  <c r="AC11" i="37" s="1"/>
  <c r="J11" i="34"/>
  <c r="W11" i="34" s="1"/>
  <c r="U23" i="21"/>
  <c r="AB23" i="21"/>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F5" i="73"/>
  <c r="F6" i="67"/>
  <c r="E13" i="76"/>
  <c r="F8" i="67"/>
  <c r="B9" i="76"/>
  <c r="F9" i="67"/>
  <c r="E9" i="76"/>
  <c r="M29" i="67"/>
  <c r="M28" i="67"/>
  <c r="E12" i="76"/>
  <c r="B11" i="76"/>
  <c r="F16" i="67"/>
  <c r="F13" i="67"/>
  <c r="F6" i="73"/>
  <c r="M8" i="67"/>
  <c r="F7" i="73"/>
  <c r="J15" i="67"/>
  <c r="AO13" i="1"/>
  <c r="B7" i="76"/>
  <c r="M9" i="67"/>
  <c r="B12" i="76"/>
  <c r="M23" i="67"/>
  <c r="E2" i="69"/>
  <c r="F20" i="31"/>
  <c r="C76" i="67"/>
  <c r="E7" i="76"/>
  <c r="F37" i="67"/>
  <c r="E11" i="76"/>
  <c r="E2" i="68"/>
  <c r="M6" i="67"/>
  <c r="F3" i="73"/>
  <c r="B8" i="76"/>
  <c r="F43" i="67"/>
  <c r="B10" i="76"/>
  <c r="F4" i="73"/>
  <c r="M26" i="67"/>
  <c r="E8" i="76"/>
  <c r="E10" i="76"/>
  <c r="D6" i="73"/>
  <c r="F6" i="1" l="1"/>
  <c r="I24" i="43" s="1"/>
  <c r="C24" i="43" s="1"/>
  <c r="W42" i="33"/>
  <c r="U39" i="33"/>
  <c r="F111" i="33"/>
  <c r="G111" i="33" s="1"/>
  <c r="F36" i="33"/>
  <c r="AA36" i="33" s="1"/>
  <c r="H36" i="33"/>
  <c r="U36" i="33" s="1"/>
  <c r="AC35" i="33"/>
  <c r="J23" i="33"/>
  <c r="AC23" i="33" s="1"/>
  <c r="F85" i="33"/>
  <c r="G85" i="33" s="1"/>
  <c r="F23" i="33"/>
  <c r="S23" i="33" s="1"/>
  <c r="H23" i="33"/>
  <c r="AB23" i="33" s="1"/>
  <c r="S15" i="33"/>
  <c r="U33" i="33"/>
  <c r="W8" i="33"/>
  <c r="W9" i="33"/>
  <c r="U9" i="33"/>
  <c r="W15" i="33"/>
  <c r="S28" i="33"/>
  <c r="AC28" i="33"/>
  <c r="AB28" i="33"/>
  <c r="U27" i="33"/>
  <c r="S27" i="33"/>
  <c r="AC11" i="33"/>
  <c r="W32" i="33"/>
  <c r="AB32" i="33"/>
  <c r="S32" i="33"/>
  <c r="AC37" i="33"/>
  <c r="S40" i="33"/>
  <c r="AA34" i="33"/>
  <c r="U42" i="33"/>
  <c r="AB41" i="33"/>
  <c r="AA41" i="33"/>
  <c r="W40" i="33"/>
  <c r="W39" i="33"/>
  <c r="U37" i="33"/>
  <c r="S37" i="33"/>
  <c r="AA35" i="33"/>
  <c r="AC34" i="33"/>
  <c r="W33" i="33"/>
  <c r="S21" i="33"/>
  <c r="W19" i="33"/>
  <c r="AA17" i="33"/>
  <c r="U15" i="33"/>
  <c r="S45" i="33"/>
  <c r="S43" i="33"/>
  <c r="W14" i="33"/>
  <c r="AA31" i="33"/>
  <c r="D22" i="15"/>
  <c r="D23" i="15"/>
  <c r="D51" i="43"/>
  <c r="D55" i="43"/>
  <c r="D53" i="43"/>
  <c r="C40" i="11"/>
  <c r="C21" i="68"/>
  <c r="G22" i="69"/>
  <c r="E1" i="73"/>
  <c r="G22" i="11"/>
  <c r="G26" i="12"/>
  <c r="G1" i="69"/>
  <c r="B6" i="1"/>
  <c r="E6" i="1" s="1"/>
  <c r="K1" i="12"/>
  <c r="G1" i="15"/>
  <c r="G1" i="68"/>
  <c r="G29" i="6"/>
  <c r="B72" i="43"/>
  <c r="B68" i="43"/>
  <c r="B57" i="43"/>
  <c r="B77" i="43"/>
  <c r="H109" i="9"/>
  <c r="B16" i="53"/>
  <c r="B33" i="72" s="1"/>
  <c r="AZ365" i="3"/>
  <c r="F28" i="34"/>
  <c r="J28" i="34"/>
  <c r="H25" i="35"/>
  <c r="J25" i="35"/>
  <c r="U39" i="40"/>
  <c r="AB39" i="40"/>
  <c r="AB19" i="33"/>
  <c r="W27" i="33"/>
  <c r="W23" i="37"/>
  <c r="AB9" i="21"/>
  <c r="W17" i="33"/>
  <c r="U23" i="33"/>
  <c r="AA19" i="37"/>
  <c r="W17" i="21"/>
  <c r="AB29" i="33"/>
  <c r="AA36" i="35"/>
  <c r="U12" i="39"/>
  <c r="AA12" i="39"/>
  <c r="AB27" i="40"/>
  <c r="BB5" i="3"/>
  <c r="E15" i="6" s="1"/>
  <c r="E64" i="39" s="1"/>
  <c r="AZ374" i="3"/>
  <c r="AZ539" i="3"/>
  <c r="F47" i="34"/>
  <c r="H13" i="34"/>
  <c r="U13" i="34" s="1"/>
  <c r="F14" i="33"/>
  <c r="U12" i="36"/>
  <c r="AB12" i="36"/>
  <c r="J12" i="36"/>
  <c r="F12" i="36"/>
  <c r="F32" i="36"/>
  <c r="H32" i="36"/>
  <c r="AB25" i="33"/>
  <c r="AC13" i="33"/>
  <c r="AB34" i="33"/>
  <c r="AC29" i="34"/>
  <c r="S40" i="37"/>
  <c r="AC14" i="40"/>
  <c r="D120" i="9"/>
  <c r="AA27" i="40"/>
  <c r="BC5" i="3"/>
  <c r="AZ370" i="3"/>
  <c r="AC25" i="33"/>
  <c r="AB36" i="33"/>
  <c r="AA23" i="21"/>
  <c r="AA19" i="33"/>
  <c r="AC15" i="21"/>
  <c r="AB46" i="21"/>
  <c r="AA31" i="34"/>
  <c r="AC20" i="36"/>
  <c r="AA39" i="39"/>
  <c r="AC13" i="37"/>
  <c r="AC15" i="37"/>
  <c r="AC13" i="39"/>
  <c r="AA30" i="40"/>
  <c r="AC11" i="39"/>
  <c r="F29" i="6"/>
  <c r="AZ391" i="3"/>
  <c r="AZ349" i="3"/>
  <c r="AZ318" i="3"/>
  <c r="AZ364" i="3"/>
  <c r="AZ329" i="3"/>
  <c r="AZ306" i="3"/>
  <c r="AA15" i="37"/>
  <c r="AA31" i="40"/>
  <c r="H28" i="34"/>
  <c r="AZ529" i="3"/>
  <c r="AZ565" i="3"/>
  <c r="AZ548" i="3"/>
  <c r="AZ502" i="3"/>
  <c r="AB45" i="33"/>
  <c r="S14" i="37"/>
  <c r="F25" i="35"/>
  <c r="H14" i="33"/>
  <c r="W11" i="35"/>
  <c r="AC11" i="35"/>
  <c r="U46" i="34"/>
  <c r="H30" i="21"/>
  <c r="F30" i="21"/>
  <c r="J30" i="21"/>
  <c r="B97" i="43"/>
  <c r="B75" i="43"/>
  <c r="AB35" i="33"/>
  <c r="U35" i="33"/>
  <c r="AA38" i="33"/>
  <c r="S38" i="33"/>
  <c r="W27" i="35"/>
  <c r="AC27" i="35"/>
  <c r="AZ143" i="3"/>
  <c r="AC11" i="40"/>
  <c r="W11" i="40"/>
  <c r="S44" i="33"/>
  <c r="AA44" i="33"/>
  <c r="AC22" i="35"/>
  <c r="W22" i="35"/>
  <c r="H23" i="36"/>
  <c r="J23" i="36"/>
  <c r="AC12" i="40"/>
  <c r="W12" i="40"/>
  <c r="BA569" i="3"/>
  <c r="AZ568" i="3"/>
  <c r="H28" i="21"/>
  <c r="J28" i="21"/>
  <c r="S36" i="33"/>
  <c r="AA23" i="37"/>
  <c r="S19" i="21"/>
  <c r="W33" i="34"/>
  <c r="AA40" i="34"/>
  <c r="U38" i="37"/>
  <c r="U38" i="39"/>
  <c r="W27" i="40"/>
  <c r="W43" i="33"/>
  <c r="S42" i="33"/>
  <c r="U23" i="37"/>
  <c r="U32" i="37"/>
  <c r="AB31" i="37"/>
  <c r="AA26" i="36"/>
  <c r="S23" i="36"/>
  <c r="U21" i="40"/>
  <c r="AC36" i="40"/>
  <c r="AZ14" i="3"/>
  <c r="AC13" i="34"/>
  <c r="AB23" i="35"/>
  <c r="AZ345" i="3"/>
  <c r="AZ334" i="3"/>
  <c r="AZ372" i="3"/>
  <c r="AZ347" i="3"/>
  <c r="AZ337" i="3"/>
  <c r="AZ200" i="3"/>
  <c r="AZ192" i="3"/>
  <c r="AZ376" i="3"/>
  <c r="AZ324" i="3"/>
  <c r="AZ309" i="3"/>
  <c r="AA11" i="39"/>
  <c r="H5" i="3"/>
  <c r="AC12" i="37"/>
  <c r="AZ518" i="3"/>
  <c r="J47" i="34"/>
  <c r="J31" i="34"/>
  <c r="F13" i="34"/>
  <c r="H44" i="33"/>
  <c r="F28" i="21"/>
  <c r="AB12" i="35"/>
  <c r="BA587" i="3"/>
  <c r="H14" i="21"/>
  <c r="J14" i="21"/>
  <c r="J26" i="33"/>
  <c r="F26" i="33"/>
  <c r="H26" i="33"/>
  <c r="AZ519" i="3"/>
  <c r="AZ531" i="3"/>
  <c r="AZ573" i="3"/>
  <c r="AZ583" i="3"/>
  <c r="AZ576" i="3"/>
  <c r="BL550" i="3"/>
  <c r="AZ523" i="3"/>
  <c r="AZ547" i="3"/>
  <c r="BL569" i="3"/>
  <c r="AZ571" i="3"/>
  <c r="AZ579" i="3"/>
  <c r="AZ516" i="3"/>
  <c r="BL585" i="3"/>
  <c r="AZ585" i="3" s="1"/>
  <c r="H12" i="33"/>
  <c r="U12" i="33" s="1"/>
  <c r="G552" i="3"/>
  <c r="AZ402" i="3"/>
  <c r="AZ406" i="3"/>
  <c r="AZ413" i="3"/>
  <c r="BL587" i="3"/>
  <c r="BL586" i="3"/>
  <c r="AZ586" i="3" s="1"/>
  <c r="J36" i="35"/>
  <c r="AC36" i="35" s="1"/>
  <c r="J24" i="36"/>
  <c r="H24" i="36"/>
  <c r="AZ425" i="3"/>
  <c r="AZ435" i="3"/>
  <c r="AZ451" i="3"/>
  <c r="AZ469" i="3"/>
  <c r="AZ483" i="3"/>
  <c r="AZ284" i="3"/>
  <c r="AZ301" i="3"/>
  <c r="C67" i="71"/>
  <c r="T68" i="71"/>
  <c r="O68" i="71"/>
  <c r="D68" i="71"/>
  <c r="T76" i="71"/>
  <c r="D76" i="71"/>
  <c r="C75" i="71"/>
  <c r="Y26" i="71"/>
  <c r="Z26" i="71" s="1"/>
  <c r="Y25" i="71"/>
  <c r="Z25" i="71" s="1"/>
  <c r="AA3" i="71"/>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AZ438" i="3" s="1"/>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A241" i="3"/>
  <c r="AZ241" i="3" s="1"/>
  <c r="BL241" i="3"/>
  <c r="BA243" i="3"/>
  <c r="AZ243" i="3" s="1"/>
  <c r="BA248" i="3"/>
  <c r="AZ248" i="3" s="1"/>
  <c r="G266" i="3"/>
  <c r="G270" i="3"/>
  <c r="G138" i="3"/>
  <c r="BA156" i="3"/>
  <c r="AZ156" i="3" s="1"/>
  <c r="W25" i="40"/>
  <c r="AC25" i="40"/>
  <c r="AB34" i="71"/>
  <c r="AB32" i="71"/>
  <c r="AA38" i="71"/>
  <c r="AA28" i="71"/>
  <c r="AA35" i="71"/>
  <c r="C47" i="71"/>
  <c r="D47" i="71" s="1"/>
  <c r="D46" i="71"/>
  <c r="D50" i="71"/>
  <c r="C51" i="71"/>
  <c r="BA551" i="3"/>
  <c r="AZ551" i="3" s="1"/>
  <c r="BA550" i="3"/>
  <c r="BL548" i="3"/>
  <c r="BL400" i="3"/>
  <c r="AZ400" i="3" s="1"/>
  <c r="BL408" i="3"/>
  <c r="BL411" i="3"/>
  <c r="BL413" i="3"/>
  <c r="BL417" i="3"/>
  <c r="BL418" i="3"/>
  <c r="AZ418" i="3" s="1"/>
  <c r="BL420" i="3"/>
  <c r="BL424" i="3"/>
  <c r="BL428" i="3"/>
  <c r="BL429" i="3"/>
  <c r="BL432" i="3"/>
  <c r="BL435" i="3"/>
  <c r="BL436" i="3"/>
  <c r="BA439" i="3"/>
  <c r="AZ439" i="3" s="1"/>
  <c r="BA440" i="3"/>
  <c r="AZ440" i="3" s="1"/>
  <c r="BA442" i="3"/>
  <c r="BA445" i="3"/>
  <c r="BA447" i="3"/>
  <c r="AZ447" i="3" s="1"/>
  <c r="BA449" i="3"/>
  <c r="BL453" i="3"/>
  <c r="BL454" i="3"/>
  <c r="AZ454" i="3" s="1"/>
  <c r="BL459" i="3"/>
  <c r="AZ459" i="3" s="1"/>
  <c r="G461" i="3"/>
  <c r="BA465" i="3"/>
  <c r="AZ465" i="3" s="1"/>
  <c r="BA467" i="3"/>
  <c r="BA468" i="3"/>
  <c r="AZ468" i="3" s="1"/>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G214" i="3"/>
  <c r="BL214" i="3"/>
  <c r="AZ214" i="3" s="1"/>
  <c r="G216" i="3"/>
  <c r="BL225" i="3"/>
  <c r="BL226" i="3"/>
  <c r="G227" i="3"/>
  <c r="BA239" i="3"/>
  <c r="AZ239" i="3" s="1"/>
  <c r="BL239" i="3"/>
  <c r="G246" i="3"/>
  <c r="BA247" i="3"/>
  <c r="AZ247" i="3" s="1"/>
  <c r="BL247" i="3"/>
  <c r="G256" i="3"/>
  <c r="G260" i="3"/>
  <c r="G302" i="3"/>
  <c r="BA133" i="3"/>
  <c r="BA177" i="3"/>
  <c r="AZ177" i="3" s="1"/>
  <c r="BA22" i="3"/>
  <c r="BA30" i="3"/>
  <c r="AC21" i="21"/>
  <c r="W21" i="21"/>
  <c r="F40" i="69"/>
  <c r="C40" i="69"/>
  <c r="P65" i="71"/>
  <c r="P66" i="71"/>
  <c r="AB27" i="71"/>
  <c r="D31" i="71"/>
  <c r="C32" i="71"/>
  <c r="G558" i="3"/>
  <c r="BL398" i="3"/>
  <c r="AZ398" i="3" s="1"/>
  <c r="G402" i="3"/>
  <c r="BL403" i="3"/>
  <c r="G405" i="3"/>
  <c r="G406" i="3"/>
  <c r="BA408" i="3"/>
  <c r="BA409" i="3"/>
  <c r="AZ409" i="3" s="1"/>
  <c r="BA411" i="3"/>
  <c r="AZ411" i="3" s="1"/>
  <c r="BL414" i="3"/>
  <c r="AZ414" i="3" s="1"/>
  <c r="BL415" i="3"/>
  <c r="AZ415" i="3" s="1"/>
  <c r="BA417" i="3"/>
  <c r="BL421" i="3"/>
  <c r="AZ421" i="3" s="1"/>
  <c r="BL422" i="3"/>
  <c r="BL425" i="3"/>
  <c r="BL426" i="3"/>
  <c r="BA428" i="3"/>
  <c r="AZ428" i="3" s="1"/>
  <c r="BA429" i="3"/>
  <c r="AZ429" i="3" s="1"/>
  <c r="BA430" i="3"/>
  <c r="AZ430" i="3" s="1"/>
  <c r="BA432" i="3"/>
  <c r="BA434" i="3"/>
  <c r="BA436" i="3"/>
  <c r="AZ436" i="3" s="1"/>
  <c r="BA438" i="3"/>
  <c r="G442" i="3"/>
  <c r="G443" i="3"/>
  <c r="BA446" i="3"/>
  <c r="AZ446" i="3" s="1"/>
  <c r="BA450" i="3"/>
  <c r="BA453" i="3"/>
  <c r="AZ453" i="3" s="1"/>
  <c r="BA455" i="3"/>
  <c r="AZ455" i="3" s="1"/>
  <c r="BL457" i="3"/>
  <c r="AZ457" i="3" s="1"/>
  <c r="BL460" i="3"/>
  <c r="AZ460" i="3" s="1"/>
  <c r="BL461" i="3"/>
  <c r="AZ461" i="3" s="1"/>
  <c r="BL463" i="3"/>
  <c r="G465" i="3"/>
  <c r="BA471" i="3"/>
  <c r="AZ471" i="3" s="1"/>
  <c r="G486" i="3"/>
  <c r="G488" i="3"/>
  <c r="BL317" i="3"/>
  <c r="G318" i="3"/>
  <c r="BA349" i="3"/>
  <c r="BA353" i="3"/>
  <c r="BL353" i="3"/>
  <c r="BA358" i="3"/>
  <c r="AZ358" i="3" s="1"/>
  <c r="G362" i="3"/>
  <c r="BL365" i="3"/>
  <c r="G366" i="3"/>
  <c r="BA368" i="3"/>
  <c r="AZ368" i="3" s="1"/>
  <c r="BL368" i="3"/>
  <c r="BA374" i="3"/>
  <c r="BA388" i="3"/>
  <c r="AZ388" i="3" s="1"/>
  <c r="BA396" i="3"/>
  <c r="BA209" i="3"/>
  <c r="BL217" i="3"/>
  <c r="AZ217" i="3" s="1"/>
  <c r="BA219" i="3"/>
  <c r="AZ219" i="3" s="1"/>
  <c r="BA221" i="3"/>
  <c r="BA223" i="3"/>
  <c r="BL228" i="3"/>
  <c r="AZ228" i="3" s="1"/>
  <c r="BA230" i="3"/>
  <c r="AZ230" i="3" s="1"/>
  <c r="BL232" i="3"/>
  <c r="BL234" i="3"/>
  <c r="BA236" i="3"/>
  <c r="BA238" i="3"/>
  <c r="AZ238" i="3" s="1"/>
  <c r="BL242" i="3"/>
  <c r="BL243" i="3"/>
  <c r="G244" i="3"/>
  <c r="BA246" i="3"/>
  <c r="G268" i="3"/>
  <c r="BA132" i="3"/>
  <c r="AZ132" i="3" s="1"/>
  <c r="BL135" i="3"/>
  <c r="AZ135" i="3" s="1"/>
  <c r="BA168" i="3"/>
  <c r="AZ168" i="3" s="1"/>
  <c r="BL175" i="3"/>
  <c r="AZ175" i="3" s="1"/>
  <c r="BA201" i="3"/>
  <c r="AZ201" i="3" s="1"/>
  <c r="BA55" i="3"/>
  <c r="AZ55" i="3" s="1"/>
  <c r="C44" i="71"/>
  <c r="D43" i="7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BL139" i="3"/>
  <c r="AZ139" i="3" s="1"/>
  <c r="BL141" i="3"/>
  <c r="BL143" i="3"/>
  <c r="BL157" i="3"/>
  <c r="AZ157" i="3" s="1"/>
  <c r="BL159" i="3"/>
  <c r="AZ159" i="3" s="1"/>
  <c r="BL177" i="3"/>
  <c r="BL183" i="3"/>
  <c r="AZ183" i="3" s="1"/>
  <c r="BA186" i="3"/>
  <c r="AZ186" i="3" s="1"/>
  <c r="BA190" i="3"/>
  <c r="BA197" i="3"/>
  <c r="BL201" i="3"/>
  <c r="BL203" i="3"/>
  <c r="AZ203" i="3" s="1"/>
  <c r="BA204" i="3"/>
  <c r="AZ204" i="3" s="1"/>
  <c r="BA18" i="3"/>
  <c r="BL21" i="3"/>
  <c r="G23" i="3"/>
  <c r="BL29" i="3"/>
  <c r="G33" i="3"/>
  <c r="BA40" i="3"/>
  <c r="G47" i="3"/>
  <c r="BL48" i="3"/>
  <c r="BA51" i="3"/>
  <c r="G55" i="3"/>
  <c r="BL56" i="3"/>
  <c r="BA58" i="3"/>
  <c r="AZ58" i="3" s="1"/>
  <c r="BL59" i="3"/>
  <c r="AZ59" i="3" s="1"/>
  <c r="BL60" i="3"/>
  <c r="BA75" i="3"/>
  <c r="AZ75" i="3" s="1"/>
  <c r="AB21" i="37"/>
  <c r="U21" i="37"/>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AZ302" i="3" s="1"/>
  <c r="BA114" i="3"/>
  <c r="BL123" i="3"/>
  <c r="AZ123" i="3" s="1"/>
  <c r="BA128" i="3"/>
  <c r="AZ128" i="3" s="1"/>
  <c r="BL134" i="3"/>
  <c r="AZ134" i="3" s="1"/>
  <c r="BL137" i="3"/>
  <c r="AZ137" i="3" s="1"/>
  <c r="BA146" i="3"/>
  <c r="AZ146" i="3" s="1"/>
  <c r="BA150" i="3"/>
  <c r="AZ150" i="3" s="1"/>
  <c r="G159" i="3"/>
  <c r="BL167" i="3"/>
  <c r="AZ167" i="3" s="1"/>
  <c r="G175" i="3"/>
  <c r="G176" i="3"/>
  <c r="BL178" i="3"/>
  <c r="BA180" i="3"/>
  <c r="AZ180" i="3" s="1"/>
  <c r="BL182" i="3"/>
  <c r="AZ182" i="3" s="1"/>
  <c r="G183" i="3"/>
  <c r="BA185" i="3"/>
  <c r="AZ185" i="3" s="1"/>
  <c r="BL191" i="3"/>
  <c r="AZ191" i="3" s="1"/>
  <c r="G192" i="3"/>
  <c r="BA193" i="3"/>
  <c r="AZ193" i="3" s="1"/>
  <c r="BA196" i="3"/>
  <c r="AZ196" i="3" s="1"/>
  <c r="G203" i="3"/>
  <c r="BA205" i="3"/>
  <c r="AZ205" i="3" s="1"/>
  <c r="G20" i="3"/>
  <c r="BL20" i="3"/>
  <c r="BA21" i="3"/>
  <c r="AZ21" i="3" s="1"/>
  <c r="BA25" i="3"/>
  <c r="BA26" i="3"/>
  <c r="G28" i="3"/>
  <c r="BL28" i="3"/>
  <c r="BA29" i="3"/>
  <c r="BA36" i="3"/>
  <c r="BL38" i="3"/>
  <c r="AZ38" i="3" s="1"/>
  <c r="BA39" i="3"/>
  <c r="BA41" i="3"/>
  <c r="AZ41" i="3" s="1"/>
  <c r="BA42" i="3"/>
  <c r="BL45" i="3"/>
  <c r="BA48" i="3"/>
  <c r="BA49" i="3"/>
  <c r="BL64" i="3"/>
  <c r="AZ64" i="3" s="1"/>
  <c r="G65" i="3"/>
  <c r="BL65" i="3"/>
  <c r="BL66" i="3"/>
  <c r="BL67" i="3"/>
  <c r="AZ67" i="3" s="1"/>
  <c r="G69" i="3"/>
  <c r="G72" i="3"/>
  <c r="BL73" i="3"/>
  <c r="BA74" i="3"/>
  <c r="AZ74" i="3" s="1"/>
  <c r="BL82" i="3"/>
  <c r="U21" i="33"/>
  <c r="AB21" i="33"/>
  <c r="C86" i="71"/>
  <c r="D86" i="71" s="1"/>
  <c r="D87" i="71"/>
  <c r="C36" i="71"/>
  <c r="D35" i="71"/>
  <c r="Y35" i="71"/>
  <c r="Z35" i="71" s="1"/>
  <c r="S80" i="71"/>
  <c r="B79" i="71"/>
  <c r="B78" i="71" s="1"/>
  <c r="BA249" i="3"/>
  <c r="BL249" i="3"/>
  <c r="BA251" i="3"/>
  <c r="AZ251" i="3" s="1"/>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BL197" i="3"/>
  <c r="G198" i="3"/>
  <c r="BL199" i="3"/>
  <c r="AZ199" i="3" s="1"/>
  <c r="BA200" i="3"/>
  <c r="BA202" i="3"/>
  <c r="BL207" i="3"/>
  <c r="BL18" i="3"/>
  <c r="G19" i="3"/>
  <c r="BL19" i="3"/>
  <c r="AZ19" i="3" s="1"/>
  <c r="BA20" i="3"/>
  <c r="AZ20" i="3" s="1"/>
  <c r="BL25" i="3"/>
  <c r="BL27" i="3"/>
  <c r="AZ27" i="3" s="1"/>
  <c r="BA28" i="3"/>
  <c r="AZ28" i="3" s="1"/>
  <c r="BA31" i="3"/>
  <c r="AZ31" i="3" s="1"/>
  <c r="BA32" i="3"/>
  <c r="BA38" i="3"/>
  <c r="G51" i="3"/>
  <c r="BA52" i="3"/>
  <c r="AZ52" i="3" s="1"/>
  <c r="BA53" i="3"/>
  <c r="AZ53" i="3" s="1"/>
  <c r="BA54" i="3"/>
  <c r="BL57" i="3"/>
  <c r="G62" i="3"/>
  <c r="BL62" i="3"/>
  <c r="AZ62" i="3" s="1"/>
  <c r="BL63" i="3"/>
  <c r="AZ65" i="3"/>
  <c r="BL76" i="3"/>
  <c r="G89" i="3"/>
  <c r="BA98" i="3"/>
  <c r="E39" i="71"/>
  <c r="E40" i="71" s="1"/>
  <c r="U40" i="71" s="1"/>
  <c r="Y37" i="71"/>
  <c r="Z37" i="71" s="1"/>
  <c r="F66" i="71"/>
  <c r="Q67" i="71"/>
  <c r="X25" i="71"/>
  <c r="V24" i="71"/>
  <c r="E23" i="71"/>
  <c r="E22" i="71" s="1"/>
  <c r="E21" i="71" s="1"/>
  <c r="E20" i="71" s="1"/>
  <c r="BA61" i="3"/>
  <c r="AZ61" i="3" s="1"/>
  <c r="BA68" i="3"/>
  <c r="BA73" i="3"/>
  <c r="AZ73" i="3" s="1"/>
  <c r="BA80" i="3"/>
  <c r="BL84" i="3"/>
  <c r="BA89" i="3"/>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G34" i="3"/>
  <c r="BA37" i="3"/>
  <c r="G39" i="3"/>
  <c r="BL39" i="3"/>
  <c r="G43" i="3"/>
  <c r="G44" i="3"/>
  <c r="BA45" i="3"/>
  <c r="AZ45" i="3" s="1"/>
  <c r="BA46" i="3"/>
  <c r="BL49" i="3"/>
  <c r="BL50" i="3"/>
  <c r="AZ50" i="3" s="1"/>
  <c r="BL51" i="3"/>
  <c r="G53" i="3"/>
  <c r="BL53" i="3"/>
  <c r="BA56" i="3"/>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S21" i="34"/>
  <c r="B88" i="43"/>
  <c r="F35" i="71"/>
  <c r="F36" i="71" s="1"/>
  <c r="V36" i="71" s="1"/>
  <c r="AA34" i="71"/>
  <c r="BL75" i="3"/>
  <c r="G79" i="3"/>
  <c r="BL81" i="3"/>
  <c r="BA82" i="3"/>
  <c r="BL83" i="3"/>
  <c r="G86" i="3"/>
  <c r="G87" i="3"/>
  <c r="BA90" i="3"/>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70" i="3"/>
  <c r="W35" i="39"/>
  <c r="F27" i="34"/>
  <c r="C21" i="39"/>
  <c r="U9" i="36"/>
  <c r="U14" i="37"/>
  <c r="H12" i="21"/>
  <c r="G526" i="3"/>
  <c r="AZ420" i="3"/>
  <c r="AZ424" i="3"/>
  <c r="AZ434" i="3"/>
  <c r="AZ450" i="3"/>
  <c r="G28" i="6"/>
  <c r="U26" i="21"/>
  <c r="W36" i="39"/>
  <c r="U23" i="40"/>
  <c r="AA39" i="37"/>
  <c r="AC16" i="36"/>
  <c r="C27" i="39"/>
  <c r="U40" i="40"/>
  <c r="AC9" i="40"/>
  <c r="W36" i="35"/>
  <c r="J12" i="21"/>
  <c r="B73" i="43"/>
  <c r="B76" i="43"/>
  <c r="F9" i="36"/>
  <c r="J40" i="40"/>
  <c r="G562" i="3"/>
  <c r="AZ426" i="3"/>
  <c r="AZ463" i="3"/>
  <c r="AZ489" i="3"/>
  <c r="AZ385" i="3"/>
  <c r="AZ212" i="3"/>
  <c r="AZ220"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BA261" i="3"/>
  <c r="AZ261" i="3" s="1"/>
  <c r="BA264" i="3"/>
  <c r="AZ264" i="3" s="1"/>
  <c r="BA266" i="3"/>
  <c r="AZ266" i="3" s="1"/>
  <c r="G272" i="3"/>
  <c r="G275" i="3"/>
  <c r="BL276" i="3"/>
  <c r="AZ276" i="3" s="1"/>
  <c r="BL279" i="3"/>
  <c r="BL281" i="3"/>
  <c r="AZ281" i="3" s="1"/>
  <c r="BA285" i="3"/>
  <c r="AZ285" i="3" s="1"/>
  <c r="BA287" i="3"/>
  <c r="AZ287" i="3" s="1"/>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AZ30" i="3"/>
  <c r="BL36" i="3"/>
  <c r="AZ40" i="3"/>
  <c r="AZ48" i="3"/>
  <c r="AZ68" i="3"/>
  <c r="AZ106" i="3"/>
  <c r="G200" i="3"/>
  <c r="G207" i="3"/>
  <c r="BA23" i="3"/>
  <c r="AZ23" i="3" s="1"/>
  <c r="BA24" i="3"/>
  <c r="AZ24" i="3" s="1"/>
  <c r="BL26" i="3"/>
  <c r="AZ26" i="3" s="1"/>
  <c r="BL32" i="3"/>
  <c r="AZ32" i="3" s="1"/>
  <c r="BA34" i="3"/>
  <c r="AZ34" i="3" s="1"/>
  <c r="BA35" i="3"/>
  <c r="AZ35" i="3" s="1"/>
  <c r="BL37" i="3"/>
  <c r="AZ37" i="3" s="1"/>
  <c r="BL42" i="3"/>
  <c r="BA44" i="3"/>
  <c r="AZ44" i="3" s="1"/>
  <c r="AZ46" i="3"/>
  <c r="AZ56" i="3"/>
  <c r="BA206" i="3"/>
  <c r="AZ206" i="3" s="1"/>
  <c r="BL22" i="3"/>
  <c r="AZ22" i="3" s="1"/>
  <c r="BL33" i="3"/>
  <c r="AZ33" i="3" s="1"/>
  <c r="BL43" i="3"/>
  <c r="AZ43" i="3" s="1"/>
  <c r="BL46" i="3"/>
  <c r="AZ54" i="3"/>
  <c r="AZ90" i="3"/>
  <c r="BL78" i="3"/>
  <c r="BA83" i="3"/>
  <c r="AZ83" i="3" s="1"/>
  <c r="G91" i="3"/>
  <c r="BL95" i="3"/>
  <c r="BL98" i="3"/>
  <c r="AZ98" i="3" s="1"/>
  <c r="BL109" i="3"/>
  <c r="AZ109" i="3" s="1"/>
  <c r="AB21" i="21"/>
  <c r="D36" i="71"/>
  <c r="T36" i="71"/>
  <c r="AZ78" i="3"/>
  <c r="AZ95" i="3"/>
  <c r="G77" i="3"/>
  <c r="BA81" i="3"/>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Q71" i="67"/>
  <c r="F71" i="67"/>
  <c r="B13" i="70"/>
  <c r="C36" i="68"/>
  <c r="D9" i="69"/>
  <c r="C36" i="69"/>
  <c r="D9" i="68"/>
  <c r="L48" i="67"/>
  <c r="F37" i="15"/>
  <c r="F36" i="67"/>
  <c r="M24" i="67"/>
  <c r="D4" i="73"/>
  <c r="M8" i="15"/>
  <c r="M22" i="15"/>
  <c r="D7" i="73"/>
  <c r="M26" i="15"/>
  <c r="M6" i="15"/>
  <c r="F9" i="15"/>
  <c r="F16" i="15"/>
  <c r="M29" i="15"/>
  <c r="L47" i="67"/>
  <c r="J15" i="15"/>
  <c r="M23" i="15"/>
  <c r="L48" i="15"/>
  <c r="D3" i="73"/>
  <c r="D5" i="73"/>
  <c r="C76" i="15"/>
  <c r="L47" i="15"/>
  <c r="M28" i="15"/>
  <c r="F7" i="67"/>
  <c r="F38" i="67"/>
  <c r="F43" i="15"/>
  <c r="F13" i="15"/>
  <c r="F8" i="15"/>
  <c r="F36" i="15"/>
  <c r="F42" i="67"/>
  <c r="F7" i="15"/>
  <c r="M24" i="15"/>
  <c r="M22" i="67"/>
  <c r="C16" i="67"/>
  <c r="M9" i="15"/>
  <c r="F40" i="67"/>
  <c r="F26" i="15"/>
  <c r="F38" i="15"/>
  <c r="F40" i="15"/>
  <c r="F6" i="15"/>
  <c r="F26" i="67"/>
  <c r="F42" i="15"/>
  <c r="F27" i="69" l="1"/>
  <c r="Q17" i="1"/>
  <c r="L56" i="67"/>
  <c r="J53" i="67"/>
  <c r="F1" i="67" s="1"/>
  <c r="J57" i="67"/>
  <c r="J55" i="67" s="1"/>
  <c r="J58" i="67" s="1"/>
  <c r="Q50" i="67" s="1"/>
  <c r="I54" i="67"/>
  <c r="J36" i="33"/>
  <c r="H111" i="33"/>
  <c r="I111" i="33" s="1"/>
  <c r="J111" i="33" s="1"/>
  <c r="K111" i="33" s="1"/>
  <c r="L111" i="33" s="1"/>
  <c r="M111" i="33" s="1"/>
  <c r="F65" i="15"/>
  <c r="F50" i="15"/>
  <c r="M7" i="15"/>
  <c r="J6" i="15" s="1"/>
  <c r="J18" i="15" s="1"/>
  <c r="N370" i="46"/>
  <c r="E11" i="6"/>
  <c r="E60" i="39" s="1"/>
  <c r="F26" i="43"/>
  <c r="K16" i="1"/>
  <c r="P6" i="1"/>
  <c r="C13" i="12" s="1"/>
  <c r="E59" i="40"/>
  <c r="M59" i="15"/>
  <c r="L59" i="15"/>
  <c r="Q61" i="15" s="1"/>
  <c r="L58" i="15"/>
  <c r="Q73" i="15" s="1"/>
  <c r="N59" i="15"/>
  <c r="Q71" i="15"/>
  <c r="F66" i="15"/>
  <c r="F64" i="15"/>
  <c r="C27" i="15"/>
  <c r="F31" i="15"/>
  <c r="C6" i="15"/>
  <c r="C32" i="15" s="1"/>
  <c r="C27" i="67"/>
  <c r="F51" i="15"/>
  <c r="J53" i="15"/>
  <c r="L56" i="15" s="1"/>
  <c r="J57" i="15"/>
  <c r="J55" i="15" s="1"/>
  <c r="J58" i="15" s="1"/>
  <c r="Q50" i="15" s="1"/>
  <c r="I54" i="15"/>
  <c r="F68" i="67"/>
  <c r="F71" i="15"/>
  <c r="F66" i="67"/>
  <c r="L59" i="67"/>
  <c r="Q61" i="67" s="1"/>
  <c r="L58" i="67"/>
  <c r="Q73" i="67" s="1"/>
  <c r="M59" i="67"/>
  <c r="N59" i="67"/>
  <c r="F31" i="67"/>
  <c r="C6" i="67"/>
  <c r="C32" i="67" s="1"/>
  <c r="M7" i="67"/>
  <c r="J6" i="67" s="1"/>
  <c r="J18" i="67" s="1"/>
  <c r="F50" i="67"/>
  <c r="F59" i="67" s="1"/>
  <c r="F64" i="67"/>
  <c r="F68" i="15"/>
  <c r="AZ422" i="3"/>
  <c r="AC24" i="36"/>
  <c r="W24" i="36"/>
  <c r="AB28" i="34"/>
  <c r="U28" i="34"/>
  <c r="S14" i="33"/>
  <c r="AA14" i="33"/>
  <c r="E26" i="43"/>
  <c r="H26" i="43"/>
  <c r="AZ81" i="3"/>
  <c r="AB12" i="33"/>
  <c r="C40" i="71"/>
  <c r="D39" i="71"/>
  <c r="AZ249" i="3"/>
  <c r="C26" i="71"/>
  <c r="D26" i="71" s="1"/>
  <c r="D27" i="71"/>
  <c r="AZ271" i="3"/>
  <c r="D44" i="71"/>
  <c r="T44" i="71"/>
  <c r="AZ353" i="3"/>
  <c r="C52" i="71"/>
  <c r="D51" i="71"/>
  <c r="D67" i="71"/>
  <c r="C66" i="71"/>
  <c r="O67" i="71"/>
  <c r="AZ569" i="3"/>
  <c r="W14" i="21"/>
  <c r="AC14" i="21"/>
  <c r="AA28" i="21"/>
  <c r="S28" i="21"/>
  <c r="AC47" i="34"/>
  <c r="W47" i="34"/>
  <c r="AB28" i="21"/>
  <c r="U28" i="21"/>
  <c r="S25" i="35"/>
  <c r="AA25" i="35"/>
  <c r="W12" i="36"/>
  <c r="AC12" i="36"/>
  <c r="AA28" i="34"/>
  <c r="S28" i="34"/>
  <c r="D83" i="71"/>
  <c r="C82" i="71"/>
  <c r="D82" i="71" s="1"/>
  <c r="AC26" i="33"/>
  <c r="W26" i="33"/>
  <c r="AB30" i="21"/>
  <c r="U30" i="21"/>
  <c r="W28" i="34"/>
  <c r="AC28" i="34"/>
  <c r="G26" i="43"/>
  <c r="AZ76" i="3"/>
  <c r="G5" i="3"/>
  <c r="B3" i="3" s="1"/>
  <c r="E152" i="3" s="1"/>
  <c r="AZ42" i="3"/>
  <c r="AZ36" i="3"/>
  <c r="AZ113" i="3"/>
  <c r="AZ253" i="3"/>
  <c r="AZ482" i="3"/>
  <c r="AZ348" i="3"/>
  <c r="AZ317" i="3"/>
  <c r="C70" i="71"/>
  <c r="D70" i="71" s="1"/>
  <c r="D71" i="71"/>
  <c r="AZ178" i="3"/>
  <c r="AZ118" i="3"/>
  <c r="AZ49" i="3"/>
  <c r="AZ29" i="3"/>
  <c r="AZ25" i="3"/>
  <c r="B19" i="71"/>
  <c r="B18" i="71" s="1"/>
  <c r="B17" i="71" s="1"/>
  <c r="B16" i="71" s="1"/>
  <c r="S20" i="71"/>
  <c r="AZ121" i="3"/>
  <c r="AZ223" i="3"/>
  <c r="AZ432" i="3"/>
  <c r="AZ417" i="3"/>
  <c r="T32" i="71"/>
  <c r="D32" i="71"/>
  <c r="AZ133" i="3"/>
  <c r="AZ397" i="3"/>
  <c r="AZ229" i="3"/>
  <c r="AZ218" i="3"/>
  <c r="U26" i="33"/>
  <c r="AB26" i="33"/>
  <c r="U14" i="21"/>
  <c r="AB14" i="21"/>
  <c r="U44" i="33"/>
  <c r="AB44" i="33"/>
  <c r="AC30" i="21"/>
  <c r="W30" i="21"/>
  <c r="AB32" i="36"/>
  <c r="U32" i="36"/>
  <c r="S47" i="34"/>
  <c r="AA47" i="34"/>
  <c r="AC25" i="35"/>
  <c r="W25" i="35"/>
  <c r="C56" i="71"/>
  <c r="D55" i="71"/>
  <c r="AZ190" i="3"/>
  <c r="AC31" i="34"/>
  <c r="W31" i="34"/>
  <c r="W28" i="21"/>
  <c r="AC28" i="21"/>
  <c r="AB23" i="36"/>
  <c r="U23" i="36"/>
  <c r="U14" i="33"/>
  <c r="AB14" i="33"/>
  <c r="AA12" i="36"/>
  <c r="S12" i="36"/>
  <c r="J7" i="36"/>
  <c r="AC7" i="36" s="1"/>
  <c r="V36" i="36" s="1"/>
  <c r="I36" i="36" s="1"/>
  <c r="N94" i="46"/>
  <c r="AZ279" i="3"/>
  <c r="AZ246" i="3"/>
  <c r="G16" i="1"/>
  <c r="F10" i="39" s="1"/>
  <c r="AA10" i="39" s="1"/>
  <c r="AZ82" i="3"/>
  <c r="D79" i="71"/>
  <c r="C78" i="71"/>
  <c r="D78" i="71" s="1"/>
  <c r="AZ39" i="3"/>
  <c r="C22" i="71"/>
  <c r="D23" i="71"/>
  <c r="AZ51" i="3"/>
  <c r="AZ197" i="3"/>
  <c r="AZ408" i="3"/>
  <c r="AZ550" i="3"/>
  <c r="D75" i="71"/>
  <c r="C74" i="71"/>
  <c r="D74" i="71" s="1"/>
  <c r="AB24" i="36"/>
  <c r="U24" i="36"/>
  <c r="AA26" i="33"/>
  <c r="S26" i="33"/>
  <c r="AZ587" i="3"/>
  <c r="AA13" i="34"/>
  <c r="S13" i="34"/>
  <c r="AC23" i="36"/>
  <c r="W23" i="36"/>
  <c r="S30" i="21"/>
  <c r="AA30" i="21"/>
  <c r="D121" i="9"/>
  <c r="D7" i="52" s="1"/>
  <c r="D6" i="52"/>
  <c r="S32" i="36"/>
  <c r="AA32" i="36"/>
  <c r="AB25" i="35"/>
  <c r="U25" i="35"/>
  <c r="J7" i="37"/>
  <c r="AC7" i="37" s="1"/>
  <c r="K1" i="73"/>
  <c r="E212" i="3"/>
  <c r="E466" i="3"/>
  <c r="E544" i="3"/>
  <c r="E46" i="3"/>
  <c r="E355" i="3"/>
  <c r="E42" i="3"/>
  <c r="E113" i="3"/>
  <c r="E525" i="3"/>
  <c r="E412" i="3"/>
  <c r="E232" i="3"/>
  <c r="E188" i="3"/>
  <c r="E178" i="3"/>
  <c r="E60" i="3"/>
  <c r="AQ6" i="3"/>
  <c r="E524" i="3"/>
  <c r="E250" i="3"/>
  <c r="E520" i="3"/>
  <c r="E375" i="3"/>
  <c r="E341" i="3"/>
  <c r="E39" i="3"/>
  <c r="E154" i="3"/>
  <c r="E504" i="3"/>
  <c r="E352" i="3"/>
  <c r="E474" i="3"/>
  <c r="E471" i="3"/>
  <c r="E168" i="3"/>
  <c r="E207" i="3"/>
  <c r="U6" i="3"/>
  <c r="E548" i="3"/>
  <c r="E71" i="3"/>
  <c r="E126" i="3"/>
  <c r="E317" i="3"/>
  <c r="E319" i="3"/>
  <c r="E328" i="3"/>
  <c r="O6" i="3"/>
  <c r="S6" i="3"/>
  <c r="E523" i="3"/>
  <c r="E338" i="3"/>
  <c r="E304" i="3"/>
  <c r="E565" i="3"/>
  <c r="E302" i="3"/>
  <c r="E254" i="3"/>
  <c r="E402" i="3"/>
  <c r="AN6" i="3"/>
  <c r="E156" i="3"/>
  <c r="E238" i="3"/>
  <c r="E434" i="3"/>
  <c r="E120" i="3"/>
  <c r="E177" i="3"/>
  <c r="Q6" i="3"/>
  <c r="E481" i="3"/>
  <c r="E344" i="3"/>
  <c r="AE6" i="3"/>
  <c r="E55" i="3"/>
  <c r="E73" i="3"/>
  <c r="E203" i="3"/>
  <c r="E394" i="3"/>
  <c r="E580" i="3"/>
  <c r="I6" i="3"/>
  <c r="E252" i="3"/>
  <c r="E576" i="3"/>
  <c r="AG6" i="3"/>
  <c r="E443" i="3"/>
  <c r="E558" i="3"/>
  <c r="E581" i="3"/>
  <c r="E88" i="3"/>
  <c r="E121" i="3"/>
  <c r="E295" i="3"/>
  <c r="E334" i="3"/>
  <c r="E480" i="3"/>
  <c r="E125" i="3"/>
  <c r="E282" i="3"/>
  <c r="N6" i="3"/>
  <c r="E239" i="3"/>
  <c r="E396" i="3"/>
  <c r="E229" i="3"/>
  <c r="E358" i="3"/>
  <c r="E551" i="3"/>
  <c r="E407" i="3"/>
  <c r="E320" i="3"/>
  <c r="E130" i="3"/>
  <c r="E114" i="3"/>
  <c r="E415" i="3"/>
  <c r="E550" i="3"/>
  <c r="E117" i="3"/>
  <c r="E61" i="3"/>
  <c r="E382" i="3"/>
  <c r="E518" i="3"/>
  <c r="E293" i="3"/>
  <c r="E253" i="3"/>
  <c r="E453" i="3"/>
  <c r="E85" i="3"/>
  <c r="E99" i="3"/>
  <c r="E45" i="3"/>
  <c r="E519" i="3"/>
  <c r="E458" i="3"/>
  <c r="E457" i="3"/>
  <c r="E562" i="3"/>
  <c r="E433" i="3"/>
  <c r="E72" i="3"/>
  <c r="E111" i="3"/>
  <c r="E351" i="3"/>
  <c r="E318" i="3"/>
  <c r="E567" i="3"/>
  <c r="E269" i="3"/>
  <c r="E107" i="3"/>
  <c r="E585" i="3"/>
  <c r="E414" i="3"/>
  <c r="E477" i="3"/>
  <c r="E505" i="3"/>
  <c r="E447" i="3"/>
  <c r="E27" i="3"/>
  <c r="E186" i="3"/>
  <c r="E331" i="3"/>
  <c r="E44" i="3"/>
  <c r="E441" i="3"/>
  <c r="E343" i="3"/>
  <c r="E305" i="3"/>
  <c r="E508" i="3"/>
  <c r="E410" i="3"/>
  <c r="E337" i="3"/>
  <c r="E270" i="3"/>
  <c r="AR6" i="3"/>
  <c r="E538" i="3"/>
  <c r="E439" i="3"/>
  <c r="E216" i="3"/>
  <c r="E185" i="3"/>
  <c r="E261" i="3"/>
  <c r="E361" i="3"/>
  <c r="E503" i="3"/>
  <c r="E91" i="3"/>
  <c r="E301" i="3"/>
  <c r="E586" i="3"/>
  <c r="E495" i="3"/>
  <c r="E347" i="3"/>
  <c r="E77" i="3"/>
  <c r="E568" i="3"/>
  <c r="AK6" i="3"/>
  <c r="E228" i="3"/>
  <c r="E133" i="3"/>
  <c r="E560" i="3"/>
  <c r="E406" i="3"/>
  <c r="E465" i="3"/>
  <c r="E468" i="3"/>
  <c r="E454" i="3"/>
  <c r="E106" i="3"/>
  <c r="E214" i="3"/>
  <c r="E315" i="3"/>
  <c r="E74" i="3"/>
  <c r="E368" i="3"/>
  <c r="E204" i="3"/>
  <c r="E327" i="3"/>
  <c r="E485" i="3"/>
  <c r="E400" i="3"/>
  <c r="E345" i="3"/>
  <c r="E489" i="3"/>
  <c r="E28" i="3"/>
  <c r="E182" i="3"/>
  <c r="E273" i="3"/>
  <c r="E572" i="3"/>
  <c r="E109" i="3"/>
  <c r="E268" i="3"/>
  <c r="E322" i="3"/>
  <c r="AJ6" i="3"/>
  <c r="E431" i="3"/>
  <c r="E247" i="3"/>
  <c r="E311" i="3"/>
  <c r="E570" i="3"/>
  <c r="AB6" i="3"/>
  <c r="E387" i="3"/>
  <c r="E189" i="3"/>
  <c r="E69" i="3"/>
  <c r="E278" i="3"/>
  <c r="E445" i="3"/>
  <c r="E535" i="3"/>
  <c r="E135" i="3"/>
  <c r="E263" i="3"/>
  <c r="AI6" i="3"/>
  <c r="E385" i="3"/>
  <c r="E100" i="3"/>
  <c r="E200" i="3"/>
  <c r="E148" i="3"/>
  <c r="E296" i="3"/>
  <c r="E275" i="3"/>
  <c r="E483" i="3"/>
  <c r="AA26" i="37"/>
  <c r="S26" i="37"/>
  <c r="BA5" i="3"/>
  <c r="E27" i="6" s="1"/>
  <c r="K26" i="6" s="1"/>
  <c r="M26" i="6" s="1"/>
  <c r="I26" i="6" s="1"/>
  <c r="S26" i="6" s="1"/>
  <c r="AZ5" i="3"/>
  <c r="AY6" i="3"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31" i="3"/>
  <c r="E142" i="3"/>
  <c r="E118"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H7" i="37"/>
  <c r="AB7" i="37" s="1"/>
  <c r="T42" i="37" s="1"/>
  <c r="G42" i="37" s="1"/>
  <c r="H7" i="33"/>
  <c r="J7" i="33"/>
  <c r="D65" i="40"/>
  <c r="E63" i="40"/>
  <c r="F48" i="35"/>
  <c r="F7" i="33"/>
  <c r="E58" i="21"/>
  <c r="F7" i="37"/>
  <c r="P28" i="43"/>
  <c r="B66" i="40" s="1"/>
  <c r="P25" i="43"/>
  <c r="P29" i="43"/>
  <c r="P27" i="43"/>
  <c r="B70" i="39" s="1"/>
  <c r="M11" i="67"/>
  <c r="J10" i="67" s="1"/>
  <c r="F11" i="15"/>
  <c r="M11" i="15"/>
  <c r="J10" i="15" s="1"/>
  <c r="F11" i="67"/>
  <c r="AE11" i="1"/>
  <c r="AE9" i="1"/>
  <c r="F27" i="68"/>
  <c r="AE7" i="1"/>
  <c r="AE8" i="1"/>
  <c r="AE12" i="1"/>
  <c r="AE10" i="1"/>
  <c r="C16" i="15"/>
  <c r="G1" i="73"/>
  <c r="AE6" i="1"/>
  <c r="F41" i="67"/>
  <c r="Q52" i="67" l="1"/>
  <c r="W7" i="36"/>
  <c r="U7" i="36"/>
  <c r="AA7" i="36"/>
  <c r="R36" i="36" s="1"/>
  <c r="H10" i="39"/>
  <c r="U10" i="39" s="1"/>
  <c r="W36" i="33"/>
  <c r="AC36" i="33"/>
  <c r="Q74" i="15"/>
  <c r="M17" i="15"/>
  <c r="C49" i="15"/>
  <c r="H10" i="40"/>
  <c r="AB10" i="40" s="1"/>
  <c r="S10" i="39"/>
  <c r="J10" i="39"/>
  <c r="W10" i="39" s="1"/>
  <c r="E378" i="3"/>
  <c r="E248" i="3"/>
  <c r="E240" i="3"/>
  <c r="E132" i="3"/>
  <c r="E246" i="3"/>
  <c r="E191" i="3"/>
  <c r="E172" i="3"/>
  <c r="E335" i="3"/>
  <c r="E514" i="3"/>
  <c r="E579" i="3"/>
  <c r="E217" i="3"/>
  <c r="E211" i="3"/>
  <c r="E531" i="3"/>
  <c r="Z6" i="3"/>
  <c r="E227" i="3"/>
  <c r="E171" i="3"/>
  <c r="E587" i="3"/>
  <c r="K6" i="3"/>
  <c r="H6" i="3" s="1"/>
  <c r="E6" i="3" s="1"/>
  <c r="E545" i="3"/>
  <c r="E124" i="3"/>
  <c r="E134" i="3"/>
  <c r="E183" i="3"/>
  <c r="E380" i="3"/>
  <c r="E533" i="3"/>
  <c r="E555" i="3"/>
  <c r="E175" i="3"/>
  <c r="E210" i="3"/>
  <c r="E476" i="3"/>
  <c r="E515" i="3"/>
  <c r="E549" i="3"/>
  <c r="E279" i="3"/>
  <c r="E571" i="3"/>
  <c r="E573" i="3"/>
  <c r="E511" i="3"/>
  <c r="E336" i="3"/>
  <c r="E245" i="3"/>
  <c r="E260" i="3"/>
  <c r="E294" i="3"/>
  <c r="E559" i="3"/>
  <c r="E569" i="3"/>
  <c r="E366" i="3"/>
  <c r="E316" i="3"/>
  <c r="E404" i="3"/>
  <c r="E448" i="3"/>
  <c r="E236" i="3"/>
  <c r="E274" i="3"/>
  <c r="E429" i="3"/>
  <c r="E437" i="3"/>
  <c r="E262" i="3"/>
  <c r="E280" i="3"/>
  <c r="E221" i="3"/>
  <c r="E298" i="3"/>
  <c r="E359" i="3"/>
  <c r="E53" i="3"/>
  <c r="E403" i="3"/>
  <c r="E357" i="3"/>
  <c r="E313" i="3"/>
  <c r="E459" i="3"/>
  <c r="E284" i="3"/>
  <c r="E364" i="3"/>
  <c r="J6" i="3"/>
  <c r="E451" i="3"/>
  <c r="E513" i="3"/>
  <c r="E286" i="3"/>
  <c r="E517" i="3"/>
  <c r="E492" i="3"/>
  <c r="E383" i="3"/>
  <c r="E26" i="3"/>
  <c r="E427" i="3"/>
  <c r="E170" i="3"/>
  <c r="E90" i="3"/>
  <c r="E464" i="3"/>
  <c r="E66" i="3"/>
  <c r="E82" i="3"/>
  <c r="W6" i="3"/>
  <c r="E93" i="3"/>
  <c r="E547" i="3"/>
  <c r="E291" i="3"/>
  <c r="E501" i="3"/>
  <c r="E97" i="3"/>
  <c r="E321" i="3"/>
  <c r="E213" i="3"/>
  <c r="E303"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D26" i="43"/>
  <c r="C25" i="43" s="1"/>
  <c r="E353" i="3"/>
  <c r="E159" i="3"/>
  <c r="E17" i="3"/>
  <c r="E237" i="3"/>
  <c r="E506" i="3"/>
  <c r="E285" i="3"/>
  <c r="E426" i="3"/>
  <c r="AM6" i="3"/>
  <c r="E92" i="3"/>
  <c r="E367" i="3"/>
  <c r="E145" i="3"/>
  <c r="E14" i="3"/>
  <c r="E54" i="3"/>
  <c r="E438"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11" i="3"/>
  <c r="E196" i="3"/>
  <c r="E208" i="3"/>
  <c r="E537"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E3" i="6"/>
  <c r="E138" i="3"/>
  <c r="E312" i="3"/>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M17" i="67"/>
  <c r="J5" i="67"/>
  <c r="J24" i="67" s="1"/>
  <c r="Q52" i="15"/>
  <c r="F1" i="15"/>
  <c r="C49" i="67"/>
  <c r="Q74" i="67"/>
  <c r="Q60" i="15"/>
  <c r="F59" i="15"/>
  <c r="W7" i="37"/>
  <c r="Q60" i="67"/>
  <c r="F10" i="40"/>
  <c r="S10" i="40" s="1"/>
  <c r="J5" i="15"/>
  <c r="J24" i="15" s="1"/>
  <c r="O65" i="71"/>
  <c r="D66" i="71"/>
  <c r="O66" i="71"/>
  <c r="T40" i="71"/>
  <c r="D40" i="71"/>
  <c r="D22" i="71"/>
  <c r="C21" i="71"/>
  <c r="D56" i="71"/>
  <c r="T56" i="71"/>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C10" i="15"/>
  <c r="C5" i="15" s="1"/>
  <c r="C38" i="15" s="1"/>
  <c r="M27" i="67"/>
  <c r="M27" i="15"/>
  <c r="F41" i="15"/>
  <c r="I46" i="37" l="1"/>
  <c r="J46" i="37" s="1"/>
  <c r="V2" i="43"/>
  <c r="C6" i="69"/>
  <c r="C7" i="69" s="1"/>
  <c r="C48" i="15"/>
  <c r="C66" i="15" s="1"/>
  <c r="C48" i="67"/>
  <c r="C66" i="67" s="1"/>
  <c r="D116" i="43"/>
  <c r="F25" i="12"/>
  <c r="C26" i="12" s="1"/>
  <c r="D25" i="12" s="1"/>
  <c r="F22" i="68"/>
  <c r="D21" i="71"/>
  <c r="C20"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4" i="67"/>
  <c r="C17" i="67"/>
  <c r="C17" i="15"/>
  <c r="C44" i="11" l="1"/>
  <c r="D41" i="11" s="1"/>
  <c r="H24" i="6"/>
  <c r="H21" i="6"/>
  <c r="H25" i="6"/>
  <c r="R25" i="6" s="1"/>
  <c r="R12" i="1" s="1"/>
  <c r="C26" i="68"/>
  <c r="D22" i="68" s="1"/>
  <c r="C44" i="68"/>
  <c r="D41" i="68" s="1"/>
  <c r="F41" i="68"/>
  <c r="C26" i="11"/>
  <c r="D22"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5" i="69" l="1"/>
  <c r="C23" i="69" s="1"/>
  <c r="B29" i="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M21" i="67"/>
  <c r="F35" i="67"/>
  <c r="C25" i="68" l="1"/>
  <c r="C22" i="68" s="1"/>
  <c r="C31" i="68" s="1"/>
  <c r="C27" i="12"/>
  <c r="C25" i="12" s="1"/>
  <c r="C32" i="12" s="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52" i="68" l="1"/>
  <c r="B2" i="68" s="1"/>
  <c r="B3" i="68" s="1"/>
  <c r="B3" i="6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D2" i="34"/>
  <c r="D2" i="36"/>
  <c r="D2" i="37"/>
  <c r="D19" i="9"/>
  <c r="L51" i="15"/>
  <c r="C102" i="9" l="1"/>
  <c r="C21" i="9"/>
  <c r="B3" i="33"/>
  <c r="D102" i="9"/>
  <c r="D21" i="9"/>
  <c r="D22" i="9"/>
  <c r="G19"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D35" i="9"/>
  <c r="C20" i="9"/>
  <c r="AO6" i="1"/>
  <c r="AO10" i="1"/>
  <c r="AO12" i="1"/>
  <c r="AO8" i="1"/>
  <c r="AO7" i="1"/>
  <c r="D20" i="9"/>
  <c r="AO9" i="1"/>
  <c r="AO11" i="1"/>
  <c r="G21" i="9" l="1"/>
  <c r="D14" i="74"/>
  <c r="G14" i="74" s="1"/>
  <c r="C103" i="9"/>
  <c r="D103" i="9"/>
  <c r="G20" i="9"/>
  <c r="I19"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20" i="9" l="1"/>
  <c r="J21" i="9" s="1"/>
  <c r="C32" i="9"/>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1" i="9"/>
  <c r="D126" i="9" s="1"/>
  <c r="H112" i="9"/>
  <c r="C8" i="74"/>
  <c r="D19" i="53"/>
  <c r="B38" i="72" s="1"/>
  <c r="D21" i="53"/>
  <c r="B39" i="72"/>
  <c r="D127" i="9" l="1"/>
  <c r="D13" i="52" s="1"/>
  <c r="D12" i="52"/>
  <c r="D20" i="53"/>
  <c r="B40" i="72" s="1"/>
  <c r="D118" i="9"/>
  <c r="D119" i="9" s="1"/>
  <c r="D5" i="52" s="1"/>
  <c r="B49" i="72" s="1"/>
  <c r="F118" i="9"/>
  <c r="G118" i="9" s="1"/>
  <c r="G4" i="52" s="1"/>
  <c r="B52" i="72" s="1"/>
  <c r="H118" i="9"/>
  <c r="H101" i="9" s="1"/>
  <c r="F4" i="52" l="1"/>
  <c r="B51" i="72" s="1"/>
  <c r="F119" i="9"/>
  <c r="F5" i="52" s="1"/>
  <c r="B53" i="72" s="1"/>
  <c r="I118" i="9"/>
  <c r="I4" i="52" s="1"/>
  <c r="M48" i="9"/>
  <c r="H107" i="9"/>
  <c r="D45" i="9"/>
  <c r="D5" i="53"/>
  <c r="C104" i="9"/>
  <c r="H4" i="52"/>
  <c r="H119" i="9"/>
  <c r="H5" i="52" s="1"/>
  <c r="D4" i="52"/>
  <c r="B47" i="72" s="1"/>
  <c r="C105" i="9" l="1"/>
  <c r="H102" i="9"/>
  <c r="D7" i="53" s="1"/>
  <c r="B21" i="72" s="1"/>
  <c r="E118" i="9"/>
  <c r="E4" i="52" s="1"/>
  <c r="B48" i="72" s="1"/>
  <c r="M49" i="9"/>
  <c r="D13" i="53"/>
  <c r="D122" i="9"/>
  <c r="D6" i="53"/>
  <c r="B22" i="72" s="1"/>
  <c r="B20" i="72"/>
  <c r="C72" i="9"/>
  <c r="C85" i="9"/>
  <c r="C64" i="9"/>
  <c r="C63" i="9" s="1"/>
  <c r="C67" i="9" s="1"/>
  <c r="D53" i="9"/>
  <c r="D52" i="9"/>
  <c r="C78" i="9"/>
  <c r="C73" i="9" s="1"/>
  <c r="C93" i="9"/>
  <c r="C86" i="9" s="1"/>
  <c r="D55" i="9"/>
  <c r="M53" i="9" s="1"/>
  <c r="C5" i="74" l="1"/>
  <c r="H108" i="9"/>
  <c r="C6" i="74" s="1"/>
  <c r="D59" i="9"/>
  <c r="M55" i="9" s="1"/>
  <c r="C68" i="9"/>
  <c r="D54" i="9" s="1"/>
  <c r="C95" i="9"/>
  <c r="D123" i="9"/>
  <c r="D9" i="52" s="1"/>
  <c r="D8" i="52"/>
  <c r="C79" i="9"/>
  <c r="B30" i="72"/>
  <c r="D14" i="53"/>
  <c r="B32" i="72" s="1"/>
  <c r="D15" i="53"/>
  <c r="B31" i="72" s="1"/>
  <c r="L65" i="9"/>
  <c r="M65" i="9" s="1"/>
  <c r="L68" i="9"/>
  <c r="M68" i="9" s="1"/>
  <c r="L67" i="9"/>
  <c r="M67" i="9" s="1"/>
  <c r="L64" i="9"/>
  <c r="M64" i="9" s="1"/>
  <c r="L66" i="9"/>
  <c r="M66" i="9" s="1"/>
  <c r="L63" i="9"/>
  <c r="M63" i="9" s="1"/>
  <c r="C96" i="9" l="1"/>
  <c r="E96" i="9" s="1"/>
  <c r="E97" i="9" s="1"/>
  <c r="C97" i="9"/>
  <c r="D58" i="9" s="1"/>
  <c r="D56" i="9" s="1"/>
  <c r="M54" i="9" s="1"/>
  <c r="N57" i="9" s="1"/>
  <c r="M69" i="9"/>
  <c r="N69" i="9" s="1"/>
  <c r="C80" i="9"/>
  <c r="E80" i="9" s="1"/>
  <c r="E81" i="9" s="1"/>
  <c r="C81" i="9" l="1"/>
  <c r="N58" i="9"/>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<sst xmlns="http://schemas.openxmlformats.org/spreadsheetml/2006/main" count="7947" uniqueCount="3466">
  <si>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</si>
  <si>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</si>
  <si>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</si>
  <si>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</si>
  <si>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</si>
  <si>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</si>
  <si>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</si>
  <si>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</si>
  <si>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</si>
  <si>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</si>
  <si>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</si>
  <si>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</si>
  <si>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</si>
  <si>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</si>
  <si>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</si>
  <si>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</si>
  <si>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</si>
  <si>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</si>
  <si>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</si>
  <si>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</si>
  <si>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</si>
  <si>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</si>
  <si>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</si>
  <si>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</si>
  <si>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</si>
  <si>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</si>
  <si>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</si>
  <si>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</si>
  <si>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</si>
  <si>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</si>
  <si>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</si>
  <si>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</si>
  <si>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</si>
  <si>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</si>
  <si>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</si>
  <si>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</si>
  <si>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</si>
  <si>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</si>
  <si>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</si>
  <si>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</si>
  <si>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</si>
  <si>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</si>
  <si>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</si>
  <si>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</si>
  <si>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</si>
  <si>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</si>
  <si>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</si>
  <si>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</si>
  <si>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</si>
  <si>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</si>
  <si>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</si>
  <si>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</si>
  <si>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</si>
  <si>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</si>
  <si>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</si>
  <si>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</si>
  <si>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</si>
  <si>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</si>
  <si>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</si>
  <si>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</si>
  <si>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</si>
  <si>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</si>
  <si>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</si>
  <si>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</si>
  <si>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</si>
  <si>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</si>
  <si>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</si>
  <si>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</si>
  <si>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</si>
  <si>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</si>
  <si>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</si>
  <si>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</si>
  <si>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</si>
  <si>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</si>
  <si>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</si>
  <si>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</si>
  <si>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</si>
  <si>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</si>
  <si>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</si>
  <si>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</si>
  <si>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</si>
  <si>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</si>
  <si>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</si>
  <si>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</si>
  <si>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</si>
  <si>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</si>
  <si>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</si>
  <si>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</si>
  <si>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</si>
  <si>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</si>
  <si>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</si>
  <si>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</si>
  <si>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</si>
  <si>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</si>
  <si>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</si>
  <si>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</si>
  <si>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</si>
  <si>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</si>
  <si>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</si>
  <si>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</si>
  <si>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</si>
  <si>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</si>
  <si>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</si>
  <si>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</si>
  <si>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</si>
  <si>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</si>
  <si>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</si>
  <si>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</si>
  <si>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</si>
  <si>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</si>
  <si>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</si>
  <si>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</si>
  <si>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</si>
  <si>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</si>
  <si>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</si>
  <si>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</si>
  <si>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</si>
  <si>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</si>
  <si>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</si>
  <si>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</si>
  <si>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</si>
  <si>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</si>
  <si>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</si>
  <si>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</si>
  <si>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</si>
  <si>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</si>
  <si>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</si>
  <si>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</si>
  <si>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</si>
  <si>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</si>
  <si>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</si>
  <si>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</si>
  <si>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</si>
  <si>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</si>
  <si>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</si>
  <si>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</si>
  <si>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</si>
  <si>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</si>
  <si>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</si>
  <si>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</si>
  <si>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</si>
  <si>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</si>
  <si>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</si>
  <si>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</si>
  <si>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</si>
  <si>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</si>
  <si>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</si>
  <si>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</si>
  <si>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</si>
  <si>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</si>
  <si>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</si>
  <si>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</si>
  <si>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</si>
  <si>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</si>
  <si>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</si>
  <si>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</si>
  <si>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</si>
  <si>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</si>
  <si>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</si>
  <si>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</si>
  <si>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</si>
  <si>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</si>
  <si>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</si>
  <si>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</si>
  <si>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</si>
  <si>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</si>
  <si>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</si>
  <si>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</si>
  <si>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</si>
  <si>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</si>
  <si>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</si>
  <si>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</si>
  <si>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</si>
  <si>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</si>
  <si>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</si>
  <si>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</si>
  <si>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</si>
  <si>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</si>
  <si>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</si>
  <si>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</si>
  <si>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</si>
  <si>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</si>
  <si>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</si>
  <si>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</si>
  <si>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</si>
  <si>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</si>
  <si>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</si>
  <si>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</si>
  <si>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</si>
  <si>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</si>
  <si>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</si>
  <si>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</si>
  <si>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</si>
  <si>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</si>
  <si>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</si>
  <si>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</si>
  <si>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</si>
  <si>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</si>
  <si>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</si>
  <si>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</si>
  <si>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</si>
  <si>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</si>
  <si>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</si>
  <si>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</si>
  <si>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</si>
  <si>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</si>
  <si>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</si>
  <si>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</si>
  <si>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</si>
  <si>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</si>
  <si>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</si>
  <si>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</si>
  <si>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</si>
  <si>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</si>
  <si>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</si>
  <si>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</si>
  <si>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</si>
  <si>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</si>
  <si>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</si>
  <si>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</si>
  <si>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</si>
  <si>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</si>
  <si>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</si>
  <si>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</si>
  <si>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</si>
  <si>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</si>
  <si>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</si>
  <si>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</si>
  <si>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</si>
  <si>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</si>
  <si>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</si>
  <si>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</si>
  <si>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</si>
  <si>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</si>
  <si>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</si>
  <si>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</si>
  <si>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</si>
  <si>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</si>
  <si>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</si>
  <si>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</si>
  <si>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</si>
  <si>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</si>
  <si>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</si>
  <si>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</si>
  <si>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</si>
  <si>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</si>
  <si>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</si>
  <si>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</si>
  <si>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</si>
  <si>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</si>
  <si>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</si>
  <si>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</si>
  <si>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</si>
  <si>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</si>
  <si>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</si>
  <si>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</si>
  <si>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</si>
  <si>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</si>
  <si>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</si>
  <si>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</si>
  <si>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</si>
  <si>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</si>
  <si>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</si>
  <si>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</si>
  <si>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</si>
  <si>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</si>
  <si>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</si>
  <si>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</si>
  <si>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</si>
  <si>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</si>
  <si>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</si>
  <si>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</si>
  <si>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</si>
  <si>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</si>
  <si>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</si>
  <si>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</si>
  <si>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</si>
  <si>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</si>
  <si>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</si>
  <si>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</si>
  <si>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</si>
  <si>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</si>
  <si>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</si>
  <si>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</si>
  <si>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</si>
  <si>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</si>
  <si>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</si>
  <si>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</si>
  <si>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</si>
  <si>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</si>
  <si>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</si>
  <si>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</si>
  <si>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</si>
  <si>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</si>
  <si>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</si>
  <si>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</si>
  <si>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</si>
  <si>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</si>
  <si>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</si>
  <si>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</si>
  <si>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</si>
  <si>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</si>
  <si>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</si>
  <si>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</si>
  <si>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</si>
  <si>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</si>
  <si>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</si>
  <si>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</si>
  <si>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</si>
  <si>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</si>
  <si>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</si>
  <si>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</si>
  <si>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</si>
  <si>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</si>
  <si>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</si>
  <si>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</si>
  <si>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</si>
  <si>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</si>
  <si>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</si>
  <si>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</si>
  <si>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</si>
  <si>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</si>
  <si>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</si>
  <si>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</si>
  <si>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</si>
  <si>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</si>
  <si>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</si>
  <si>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</si>
  <si>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</si>
  <si>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</si>
  <si>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</si>
  <si>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</si>
  <si>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</si>
  <si>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</si>
  <si>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</si>
  <si>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</si>
  <si>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</si>
  <si>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</si>
  <si>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</si>
  <si>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</si>
  <si>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</si>
  <si>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</si>
  <si>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</si>
  <si>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</si>
  <si>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</si>
  <si>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</si>
  <si>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</si>
  <si>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</si>
  <si>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</si>
  <si>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</si>
  <si>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</si>
  <si>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</si>
  <si>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</si>
  <si>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</si>
  <si>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</si>
  <si>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</si>
  <si>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</si>
  <si>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</si>
  <si>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</si>
  <si>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</si>
  <si>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</si>
  <si>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</si>
  <si>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</si>
  <si>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</si>
  <si>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</si>
  <si>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</si>
  <si>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</si>
  <si>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</si>
  <si>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</si>
  <si>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</si>
  <si>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</si>
  <si>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</si>
  <si>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</si>
  <si>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</si>
  <si>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</si>
  <si>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</si>
  <si>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</si>
  <si>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</si>
  <si>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</si>
  <si>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</si>
  <si>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</si>
  <si>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</si>
  <si>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</si>
  <si>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</si>
  <si>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</si>
  <si>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</si>
  <si>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</si>
  <si>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</si>
  <si>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</si>
  <si>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</si>
  <si>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</si>
  <si>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</si>
  <si>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</si>
  <si>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</si>
  <si>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</si>
  <si>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</si>
  <si>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</si>
  <si>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</si>
  <si>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</si>
  <si>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</si>
  <si>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</si>
  <si>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</si>
  <si>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</si>
  <si>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</si>
  <si>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</si>
  <si>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</si>
  <si>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</si>
  <si>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</si>
  <si>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</si>
  <si>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</si>
  <si>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</si>
  <si>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</si>
  <si>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</si>
  <si>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</si>
  <si>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</si>
  <si>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</si>
  <si>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</si>
  <si>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</si>
  <si>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</si>
  <si>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</si>
  <si>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</si>
  <si>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</si>
  <si>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</si>
  <si>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</si>
  <si>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</si>
  <si>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</si>
  <si>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</si>
  <si>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</si>
  <si>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</si>
  <si>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</si>
  <si>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</si>
  <si>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</si>
  <si>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</si>
  <si>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</si>
  <si>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</si>
  <si>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</si>
  <si>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</si>
  <si>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</si>
  <si>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</si>
  <si>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</si>
  <si>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</si>
  <si>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</si>
  <si>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</si>
  <si>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</si>
  <si>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</si>
  <si>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</si>
  <si>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</si>
  <si>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</si>
  <si>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</si>
  <si>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</si>
  <si>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</si>
  <si>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</si>
  <si>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</si>
  <si>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</si>
  <si>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</si>
  <si>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</si>
  <si>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</si>
  <si>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</si>
  <si>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</si>
  <si>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</si>
  <si>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</si>
  <si>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</si>
  <si>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</si>
  <si>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</si>
  <si>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</si>
  <si>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</si>
  <si>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</si>
  <si>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</si>
  <si>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</si>
  <si>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</si>
  <si>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</si>
  <si>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</si>
  <si>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</si>
  <si>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</si>
  <si>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</si>
  <si>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</si>
  <si>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</si>
  <si>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</si>
  <si>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</si>
  <si>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</si>
  <si>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</si>
  <si>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</si>
  <si>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</si>
  <si>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</si>
  <si>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</si>
  <si>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</si>
  <si>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</si>
  <si>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</si>
  <si>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</si>
  <si>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</si>
  <si>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</si>
  <si>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</si>
  <si>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</si>
  <si>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</si>
  <si>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</si>
  <si>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</si>
  <si>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</si>
  <si>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</si>
  <si>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</si>
  <si>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</si>
  <si>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</si>
  <si>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</si>
  <si>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</si>
  <si>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</si>
  <si>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</si>
  <si>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</si>
  <si>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</si>
  <si>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</si>
  <si>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</si>
  <si>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</si>
  <si>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</si>
  <si>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</si>
  <si>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</si>
  <si>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</si>
  <si>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</si>
  <si>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</si>
  <si>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</si>
  <si>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</si>
  <si>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</si>
  <si>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</si>
  <si>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</si>
  <si>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</si>
  <si>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</si>
  <si>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</si>
  <si>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</si>
  <si>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</si>
  <si>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</si>
  <si>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</si>
  <si>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</si>
  <si>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</si>
  <si>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</si>
  <si>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</si>
  <si>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</si>
  <si>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</si>
  <si>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</si>
  <si>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</si>
  <si>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</si>
  <si>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</si>
  <si>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</si>
  <si>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</si>
  <si>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</si>
  <si>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</si>
  <si>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</si>
  <si>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</si>
  <si>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</si>
  <si>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</si>
  <si>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</si>
  <si>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</si>
  <si>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</si>
  <si>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</si>
  <si>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</si>
  <si>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</si>
  <si>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</si>
  <si>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</si>
  <si>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</si>
  <si>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</si>
  <si>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</si>
  <si>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</si>
  <si>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</si>
  <si>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</si>
  <si>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</si>
  <si>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</si>
  <si>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</si>
  <si>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</si>
  <si>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</si>
  <si>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</si>
  <si>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</si>
  <si>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</si>
  <si>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</si>
  <si>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</si>
  <si>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</si>
  <si>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</si>
  <si>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</si>
  <si>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</si>
  <si>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</si>
  <si>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</si>
  <si>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</si>
  <si>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</si>
  <si>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</si>
  <si>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</si>
  <si>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</si>
  <si>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</si>
  <si>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</si>
  <si>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</si>
  <si>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</si>
  <si>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</si>
  <si>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</si>
  <si>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</si>
  <si>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</si>
  <si>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</si>
  <si>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</si>
  <si>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</si>
  <si>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</si>
  <si>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</si>
  <si>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</si>
  <si>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</si>
  <si>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</si>
  <si>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</si>
  <si>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</si>
  <si>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</si>
  <si>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</si>
  <si>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</si>
  <si>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</si>
  <si>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</si>
  <si>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</si>
  <si>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</si>
  <si>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</si>
  <si>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</si>
  <si>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</si>
  <si>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</si>
  <si>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</si>
  <si>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</si>
  <si>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</si>
  <si>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</si>
  <si>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</si>
  <si>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</si>
  <si>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</si>
  <si>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</si>
  <si>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</si>
  <si>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</si>
  <si>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</si>
  <si>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</si>
  <si>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</si>
  <si>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</si>
  <si>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</si>
  <si>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</si>
  <si>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</si>
  <si>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</si>
  <si>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</si>
  <si>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</si>
  <si>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</si>
  <si>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</si>
  <si>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</si>
  <si>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</si>
  <si>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</si>
  <si>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</si>
  <si>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</si>
  <si>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</si>
  <si>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</si>
  <si>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</si>
  <si>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</si>
  <si>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</si>
  <si>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</si>
  <si>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</si>
  <si>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</si>
  <si>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</si>
  <si>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</si>
  <si>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</si>
  <si>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</si>
  <si>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</si>
  <si>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</si>
  <si>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</si>
  <si>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</si>
  <si>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</si>
  <si>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</si>
  <si>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</si>
  <si>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</si>
  <si>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</si>
  <si>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</si>
  <si>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</si>
  <si>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</si>
  <si>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</si>
  <si>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</si>
  <si>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</si>
  <si>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</si>
  <si>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</si>
  <si>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</si>
  <si>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</si>
  <si>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</si>
  <si>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</si>
  <si>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</si>
  <si>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</si>
  <si>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</si>
  <si>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</si>
  <si>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</si>
  <si>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</si>
  <si>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</si>
  <si>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</si>
  <si>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</si>
  <si>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</si>
  <si>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</si>
  <si>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</si>
  <si>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</si>
  <si>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</si>
  <si>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</si>
  <si>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</si>
  <si>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</si>
  <si>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</si>
  <si>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</si>
  <si>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</si>
  <si>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</si>
  <si>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</si>
  <si>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</si>
  <si>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</si>
  <si>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</si>
  <si>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</si>
  <si>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</si>
  <si>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</si>
  <si>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</si>
  <si>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</si>
  <si>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</si>
  <si>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</si>
  <si>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</si>
  <si>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</si>
  <si>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</si>
  <si>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</si>
  <si>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</si>
  <si>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</si>
  <si>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</si>
  <si>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</si>
  <si>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</si>
  <si>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</si>
  <si>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</si>
  <si>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</si>
  <si>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</si>
  <si>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</si>
  <si>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</si>
  <si>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</si>
  <si>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</si>
  <si>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</si>
  <si>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</si>
  <si>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</si>
  <si>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</si>
  <si>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</si>
  <si>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</si>
  <si>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</si>
  <si>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</si>
  <si>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</si>
  <si>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</si>
  <si>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</si>
  <si>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</si>
  <si>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</si>
  <si>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</si>
  <si>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</si>
  <si>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</si>
  <si>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</si>
  <si>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</si>
  <si>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</si>
  <si>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</si>
  <si>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</si>
  <si>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</si>
  <si>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</si>
  <si>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</si>
  <si>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</si>
  <si>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</si>
  <si>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</si>
  <si>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</si>
  <si>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</si>
  <si>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</si>
  <si>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</si>
  <si>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</si>
  <si>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</si>
  <si>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</si>
  <si>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</si>
  <si>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</si>
  <si>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</si>
  <si>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</si>
  <si>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</si>
  <si>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</si>
  <si>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</si>
  <si>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</si>
  <si>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</si>
  <si>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</si>
  <si>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</si>
  <si>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</si>
  <si>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</si>
  <si>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</si>
  <si>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</si>
  <si>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</si>
  <si>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</si>
  <si>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</si>
  <si>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</si>
  <si>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</si>
  <si>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</si>
  <si>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</si>
  <si>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</si>
  <si>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</si>
  <si>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</si>
  <si>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</si>
  <si>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</si>
  <si>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</si>
  <si>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</si>
  <si>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</si>
  <si>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</si>
  <si>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</si>
  <si>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</si>
  <si>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</si>
  <si>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</si>
  <si>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</si>
  <si>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</si>
  <si>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</si>
  <si>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</si>
  <si>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</si>
  <si>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</si>
  <si>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</si>
  <si>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</si>
  <si>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</si>
  <si>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</si>
  <si>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</si>
  <si>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</si>
  <si>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</si>
  <si>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</si>
  <si>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</si>
  <si>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</si>
  <si>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</si>
  <si>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</si>
  <si>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</si>
  <si>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</si>
  <si>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</si>
  <si>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</si>
  <si>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</si>
  <si>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</si>
  <si>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</si>
  <si>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</si>
  <si>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</si>
  <si>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</si>
  <si>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</si>
  <si>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</si>
  <si>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</si>
  <si>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</si>
  <si>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</si>
  <si>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</si>
  <si>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</si>
  <si>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</si>
  <si>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</si>
  <si>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</si>
  <si>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</si>
  <si>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</si>
  <si>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</si>
  <si>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</si>
  <si>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</si>
  <si>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</si>
  <si>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</si>
  <si>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</si>
  <si>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</si>
  <si>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</si>
  <si>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</si>
  <si>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</si>
  <si>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</si>
  <si>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</si>
  <si>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</si>
  <si>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</si>
  <si>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</si>
  <si>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</si>
  <si>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</si>
  <si>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</si>
  <si>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</si>
  <si>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</si>
  <si>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</si>
  <si>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</si>
  <si>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</si>
  <si>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</si>
  <si>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</si>
  <si>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</si>
  <si>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</si>
  <si>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</si>
  <si>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</si>
  <si>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</si>
  <si>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</si>
  <si>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</si>
  <si>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</si>
  <si>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</si>
  <si>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</si>
  <si>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</si>
  <si>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</si>
  <si>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</si>
  <si>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</si>
  <si>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</si>
  <si>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</si>
  <si>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</si>
  <si>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</si>
  <si>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</si>
  <si>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</si>
  <si>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</si>
  <si>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</si>
  <si>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</si>
  <si>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</si>
  <si>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</si>
  <si>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</si>
  <si>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</si>
  <si>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</si>
  <si>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</si>
  <si>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</si>
  <si>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</si>
  <si>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</si>
  <si>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</si>
  <si>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</si>
  <si>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</si>
  <si>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</si>
  <si>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</si>
  <si>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</si>
  <si>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</si>
  <si>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</si>
  <si>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</si>
  <si>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</si>
  <si>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</si>
  <si>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</si>
  <si>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</si>
  <si>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</si>
  <si>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</si>
  <si>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</si>
  <si>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</si>
  <si>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</si>
  <si>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</si>
  <si>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</si>
  <si>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</si>
  <si>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</si>
  <si>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</si>
  <si>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</si>
  <si>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</si>
  <si>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</si>
  <si>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</si>
  <si>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</si>
  <si>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</si>
  <si>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</si>
  <si>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</si>
  <si>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</si>
  <si>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</si>
  <si>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</si>
  <si>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</si>
  <si>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</si>
  <si>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</si>
  <si>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</si>
  <si>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</si>
  <si>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</si>
  <si>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</si>
  <si>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</si>
  <si>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</si>
  <si>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</si>
  <si>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</si>
  <si>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</si>
  <si>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</si>
  <si>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</si>
  <si>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</si>
  <si>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</si>
  <si>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</si>
  <si>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</si>
  <si>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</si>
  <si>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</si>
  <si>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</si>
  <si>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</si>
  <si>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</si>
  <si>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</si>
  <si>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</si>
  <si>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</si>
  <si>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</si>
  <si>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</si>
  <si>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</si>
  <si>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</si>
  <si>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</si>
  <si>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</si>
  <si>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</si>
  <si>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</si>
  <si>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</si>
  <si>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</si>
  <si>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</si>
  <si>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</si>
  <si>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</si>
  <si>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</si>
  <si>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</si>
  <si>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</si>
  <si>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</si>
  <si>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</si>
  <si>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</si>
  <si>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</si>
  <si>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</si>
  <si>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</si>
  <si>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</si>
  <si>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</si>
  <si>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</si>
  <si>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</si>
  <si>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</si>
  <si>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</si>
  <si>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</si>
  <si>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</si>
  <si>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</si>
  <si>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</si>
  <si>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</si>
  <si>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</si>
  <si>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</si>
  <si>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</si>
  <si>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</si>
  <si>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</si>
  <si>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</si>
  <si>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</si>
  <si>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</si>
  <si>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</si>
  <si>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</si>
  <si>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</si>
  <si>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</si>
  <si>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</si>
  <si>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</si>
  <si>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</si>
  <si>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</si>
  <si>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</si>
  <si>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</si>
  <si>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</si>
  <si>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</si>
  <si>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</si>
  <si>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</si>
  <si>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</si>
  <si>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</si>
  <si>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</si>
  <si>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</si>
  <si>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</si>
  <si>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</si>
  <si>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</si>
  <si>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</si>
  <si>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</si>
  <si>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</si>
  <si>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</si>
  <si>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</si>
  <si>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</si>
  <si>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</si>
  <si>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</si>
  <si>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</si>
  <si>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</si>
  <si>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</si>
  <si>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</si>
  <si>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</si>
  <si>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</si>
  <si>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</si>
  <si>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</si>
  <si>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</si>
  <si>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</si>
  <si>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</si>
  <si>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</si>
  <si>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</si>
  <si>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</si>
  <si>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</si>
  <si>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</si>
  <si>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</si>
  <si>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</si>
  <si>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</si>
  <si>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</si>
  <si>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</si>
  <si>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</si>
  <si>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</si>
  <si>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</si>
  <si>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</si>
  <si>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</si>
  <si>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</si>
  <si>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</si>
  <si>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</si>
  <si>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</si>
  <si>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</si>
  <si>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</si>
  <si>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</si>
  <si>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</si>
  <si>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</si>
  <si>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</si>
  <si>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</si>
  <si>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</si>
  <si>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</si>
  <si>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</si>
  <si>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</si>
  <si>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</si>
  <si>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</si>
  <si>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</si>
  <si>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</si>
  <si>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</si>
  <si>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</si>
  <si>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</si>
  <si>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</si>
  <si>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</si>
  <si>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</si>
  <si>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</si>
  <si>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</si>
  <si>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</si>
  <si>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</si>
  <si>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</si>
  <si>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</si>
  <si>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</si>
  <si>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</si>
  <si>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</si>
  <si>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</si>
  <si>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</si>
  <si>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</si>
  <si>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</si>
  <si>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</si>
  <si>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</si>
  <si>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</si>
  <si>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</si>
  <si>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</si>
  <si>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</si>
  <si>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</si>
  <si>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</si>
  <si>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</si>
  <si>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</si>
  <si>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</si>
  <si>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</si>
  <si>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</si>
  <si>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</si>
  <si>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</si>
  <si>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</si>
  <si>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</si>
  <si>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</si>
  <si>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</si>
  <si>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</si>
  <si>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</si>
  <si>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</si>
  <si>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</si>
  <si>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</si>
  <si>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</si>
  <si>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</si>
  <si>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</si>
  <si>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</si>
  <si>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</si>
  <si>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</si>
  <si>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</si>
  <si>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</si>
  <si>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</si>
  <si>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</si>
  <si>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</si>
  <si>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</si>
  <si>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</si>
  <si>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</si>
  <si>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</si>
  <si>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</si>
  <si>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</si>
  <si>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</si>
  <si>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</si>
  <si>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</si>
  <si>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</si>
  <si>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</si>
  <si>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</si>
  <si>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</si>
  <si>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</si>
  <si>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</si>
  <si>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</si>
  <si>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</si>
  <si>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</si>
  <si>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</si>
  <si>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</si>
  <si>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</si>
  <si>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</si>
  <si>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</si>
  <si>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</si>
  <si>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</si>
  <si>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</si>
  <si>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</si>
  <si>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</si>
  <si>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</si>
  <si>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</si>
  <si>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</si>
  <si>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</si>
  <si>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</si>
  <si>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</si>
  <si>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</si>
  <si>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</si>
  <si>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</si>
  <si>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</si>
  <si>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</si>
  <si>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</si>
  <si>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</si>
  <si>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</si>
  <si>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</si>
  <si>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</si>
  <si>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</si>
  <si>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</si>
  <si>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</si>
  <si>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</si>
  <si>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</si>
  <si>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</si>
  <si>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</si>
  <si>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</si>
  <si>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</si>
  <si>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</si>
  <si>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</si>
  <si>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</si>
  <si>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</si>
  <si>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</si>
  <si>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</si>
  <si>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</si>
  <si>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</si>
  <si>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</si>
  <si>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</si>
  <si>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</si>
  <si>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</si>
  <si>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</si>
  <si>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</si>
  <si>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</si>
  <si>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</si>
  <si>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</si>
  <si>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</si>
  <si>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</si>
  <si>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</si>
  <si>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</si>
  <si>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</si>
  <si>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</si>
  <si>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</si>
  <si>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</si>
  <si>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</si>
  <si>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</si>
  <si>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</si>
  <si>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</si>
  <si>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</si>
  <si>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</si>
  <si>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</si>
  <si>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</si>
  <si>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</si>
  <si>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</si>
  <si>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</si>
  <si>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</si>
  <si>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</si>
  <si>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</si>
  <si>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</si>
  <si>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</si>
  <si>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</si>
  <si>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</si>
  <si>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</si>
  <si>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</si>
  <si>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</si>
  <si>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</si>
  <si>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</si>
  <si>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</si>
  <si>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</si>
  <si>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</si>
  <si>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</si>
  <si>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</si>
  <si>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</si>
  <si>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</si>
  <si>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</si>
  <si>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</si>
  <si>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</si>
  <si>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</si>
  <si>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</si>
  <si>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</si>
  <si>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</si>
  <si>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</si>
  <si>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</si>
  <si>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</si>
  <si>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</si>
  <si>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</si>
  <si>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</si>
  <si>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</si>
  <si>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</si>
  <si>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</si>
  <si>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</si>
  <si>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</si>
  <si>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</si>
  <si>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</si>
  <si>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</si>
  <si>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</si>
  <si>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</si>
  <si>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</si>
  <si>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</si>
  <si>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</si>
  <si>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</si>
  <si>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</si>
  <si>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</si>
  <si>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</si>
  <si>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</si>
  <si>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</si>
  <si>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</si>
  <si>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</si>
  <si>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</si>
  <si>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</si>
  <si>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</si>
  <si>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</si>
  <si>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</si>
  <si>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</si>
  <si>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</si>
  <si>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</si>
  <si>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</si>
  <si>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</si>
  <si>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</si>
  <si>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</si>
  <si>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</si>
  <si>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</si>
  <si>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</si>
  <si>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</si>
  <si>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</si>
  <si>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</si>
  <si>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</si>
  <si>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</si>
  <si>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</si>
  <si>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</si>
  <si>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</si>
  <si>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</si>
  <si>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</si>
  <si>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</si>
  <si>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</si>
  <si>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</si>
  <si>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</si>
  <si>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</si>
  <si>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</si>
  <si>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</si>
  <si>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</si>
  <si>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</si>
  <si>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</si>
  <si>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</si>
  <si>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</si>
  <si>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</si>
  <si>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</si>
  <si>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</si>
  <si>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</si>
  <si>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</si>
  <si>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</si>
  <si>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</si>
  <si>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</si>
  <si>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</si>
  <si>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</si>
  <si>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</si>
  <si>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</si>
  <si>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</si>
  <si>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</si>
  <si>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</si>
  <si>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</si>
  <si>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</si>
  <si>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</si>
  <si>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</si>
  <si>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</si>
  <si>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</si>
  <si>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</si>
  <si>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</si>
  <si>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</si>
  <si>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</si>
  <si>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</si>
  <si>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</si>
  <si>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</si>
  <si>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</si>
  <si>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</si>
  <si>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</si>
  <si>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</si>
  <si>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</si>
  <si>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</si>
  <si>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</si>
  <si>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</si>
  <si>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</si>
  <si>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</si>
  <si>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</si>
  <si>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</si>
  <si>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</si>
  <si>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</si>
  <si>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</si>
  <si>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</si>
  <si>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</si>
  <si>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</si>
  <si>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</si>
  <si>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</si>
  <si>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</si>
  <si>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</si>
  <si>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</si>
  <si>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</si>
  <si>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</si>
  <si>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</si>
  <si>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</si>
  <si>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</si>
  <si>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</si>
  <si>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</si>
  <si>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</si>
  <si>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</si>
  <si>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</si>
  <si>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</si>
  <si>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</si>
  <si>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</si>
  <si>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</si>
  <si>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</si>
  <si>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</si>
  <si>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</si>
  <si>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</si>
  <si>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</si>
  <si>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</si>
  <si>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</si>
  <si>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</si>
  <si>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</si>
  <si>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</si>
  <si>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</si>
  <si>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</si>
  <si>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</si>
  <si>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</si>
  <si>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</si>
  <si>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</si>
  <si>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</si>
  <si>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</si>
  <si>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</si>
  <si>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</si>
  <si>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</si>
  <si>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</si>
  <si>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</si>
  <si>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</si>
  <si>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</si>
  <si>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</si>
  <si>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</si>
  <si>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</si>
  <si>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</si>
  <si>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</si>
  <si>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</si>
  <si>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</si>
  <si>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</si>
  <si>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</si>
  <si>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</si>
  <si>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</si>
  <si>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</si>
  <si>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</si>
  <si>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</si>
  <si>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</si>
  <si>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</si>
  <si>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</si>
  <si>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</si>
  <si>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</si>
  <si>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</si>
  <si>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</si>
  <si>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</si>
  <si>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</si>
  <si>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</si>
  <si>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</si>
  <si>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</si>
  <si>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</si>
  <si>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</si>
  <si>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</si>
  <si>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</si>
  <si>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</si>
  <si>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</si>
  <si>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</si>
  <si>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</si>
  <si>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</si>
  <si>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</si>
  <si>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</si>
  <si>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</si>
  <si>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</si>
  <si>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</si>
  <si>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</si>
  <si>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</si>
  <si>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</si>
  <si>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</si>
  <si>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</si>
  <si>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</si>
  <si>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</si>
  <si>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</si>
  <si>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</si>
  <si>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</si>
  <si>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</si>
  <si>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</si>
  <si>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</si>
  <si>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</si>
  <si>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</si>
  <si>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</si>
  <si>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</si>
  <si>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</si>
  <si>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</si>
  <si>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</si>
  <si>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</si>
  <si>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</si>
  <si>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</si>
  <si>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</si>
  <si>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</si>
  <si>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</si>
  <si>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</si>
  <si>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</si>
  <si>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</si>
  <si>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</si>
  <si>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</si>
  <si>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</si>
  <si>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</si>
  <si>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</si>
  <si>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</si>
  <si>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</si>
  <si>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</si>
  <si>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</si>
  <si>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</si>
  <si>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</si>
  <si>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</si>
  <si>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</si>
  <si>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</si>
  <si>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</si>
  <si>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</si>
  <si>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</si>
  <si>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</si>
  <si>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</si>
  <si>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</si>
  <si>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</si>
  <si>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</si>
  <si>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</si>
  <si>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</si>
  <si>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</si>
  <si>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</si>
  <si>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</si>
  <si>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</si>
  <si>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</si>
  <si>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</si>
  <si>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</si>
  <si>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</si>
  <si>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</si>
  <si>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</si>
  <si>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</si>
  <si>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</si>
  <si>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</si>
  <si>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</si>
  <si>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</si>
  <si>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</si>
  <si>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</si>
  <si>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</si>
  <si>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</si>
  <si>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</si>
  <si>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</si>
  <si>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</si>
  <si>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</si>
  <si>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</si>
  <si>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</si>
  <si>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</si>
  <si>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</si>
  <si>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</si>
  <si>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</si>
  <si>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</si>
  <si>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</si>
  <si>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</si>
  <si>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</si>
  <si>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</si>
  <si>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</si>
  <si>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</si>
  <si>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</si>
  <si>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</si>
  <si>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</si>
  <si>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</si>
  <si>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</si>
  <si>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</si>
  <si>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</si>
  <si>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</si>
  <si>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</si>
  <si>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</si>
  <si>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</si>
  <si>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</si>
  <si>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</si>
  <si>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</si>
  <si>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</si>
  <si>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</si>
  <si>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</si>
  <si>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</si>
  <si>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</si>
  <si>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</si>
  <si>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</si>
  <si>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</si>
  <si>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</si>
  <si>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</si>
  <si>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</si>
  <si>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</si>
  <si>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</si>
  <si>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</si>
  <si>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</si>
  <si>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</si>
  <si>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</si>
  <si>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</si>
  <si>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</si>
  <si>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</si>
  <si>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</si>
  <si>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</si>
  <si>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</si>
  <si>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</si>
  <si>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</si>
  <si>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</si>
  <si>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</si>
  <si>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</si>
  <si>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</si>
  <si>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</si>
  <si>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</si>
  <si>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</si>
  <si>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</si>
  <si>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</si>
  <si>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</si>
  <si>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</si>
  <si>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</si>
  <si>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</si>
  <si>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</si>
  <si>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</si>
  <si>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</si>
  <si>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</si>
  <si>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</si>
  <si>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</si>
  <si>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</si>
  <si>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</si>
  <si>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</si>
  <si>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</si>
  <si>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</si>
  <si>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</si>
  <si>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</si>
  <si>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</si>
  <si>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</si>
  <si>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</si>
  <si>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</si>
  <si>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</si>
  <si>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</si>
  <si>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</si>
  <si>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</si>
  <si>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</si>
  <si>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</si>
  <si>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</si>
  <si>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</si>
  <si>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</si>
  <si>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</si>
  <si>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</si>
  <si>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</si>
  <si>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</si>
  <si>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</si>
  <si>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</si>
  <si>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</si>
  <si>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</si>
  <si>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</si>
  <si>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</si>
  <si>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</si>
  <si>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</si>
  <si>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</si>
  <si>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</si>
  <si>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</si>
  <si>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</si>
  <si>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</si>
  <si>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</si>
  <si>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</si>
  <si>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</si>
  <si>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</si>
  <si>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</si>
  <si>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</si>
  <si>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</si>
  <si>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</si>
  <si>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</si>
  <si>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</si>
  <si>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</si>
  <si>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</si>
  <si>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</si>
  <si>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</si>
  <si>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</si>
  <si>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</si>
  <si>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</si>
  <si>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</si>
  <si>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</si>
  <si>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</si>
  <si>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</si>
  <si>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</si>
  <si>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</si>
  <si>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</si>
  <si>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</si>
  <si>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</si>
  <si>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</si>
  <si>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</si>
  <si>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</si>
  <si>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</si>
  <si>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</si>
  <si>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</si>
  <si>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</si>
  <si>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</si>
  <si>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</si>
  <si>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</si>
  <si>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</si>
  <si>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</si>
  <si>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</si>
  <si>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</si>
  <si>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</si>
  <si>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</si>
  <si>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</si>
  <si>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</si>
  <si>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</si>
  <si>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</si>
  <si>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</si>
  <si>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</si>
  <si>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</si>
  <si>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</si>
  <si>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</si>
  <si>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</si>
  <si>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</si>
  <si>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</si>
  <si>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</si>
  <si>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</si>
  <si>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</si>
  <si>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</si>
  <si>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</si>
  <si>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</si>
  <si>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</si>
  <si>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</si>
  <si>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</si>
  <si>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</si>
  <si>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</si>
  <si>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</si>
  <si>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</si>
  <si>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</si>
  <si>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</si>
  <si>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</si>
  <si>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</si>
  <si>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</si>
  <si>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</si>
  <si>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</si>
  <si>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</si>
  <si>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</si>
  <si>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</si>
  <si>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</si>
  <si>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</si>
  <si>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</si>
  <si>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</si>
  <si>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</si>
  <si>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</si>
  <si>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</si>
  <si>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</si>
  <si>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</si>
  <si>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</si>
  <si>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</si>
  <si>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</si>
  <si>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</si>
  <si>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</si>
  <si>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</si>
  <si>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</si>
  <si>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</si>
  <si>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</si>
  <si>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</si>
  <si>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</si>
  <si>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</si>
  <si>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</si>
  <si>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</si>
  <si>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</si>
  <si>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</si>
  <si>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</si>
  <si>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</si>
  <si>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</si>
  <si>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</si>
  <si>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</si>
  <si>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</si>
  <si>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</si>
  <si>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</si>
  <si>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</si>
  <si>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</si>
  <si>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</si>
  <si>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</si>
  <si>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</si>
  <si>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</si>
  <si>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</si>
  <si>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</si>
  <si>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</si>
  <si>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</si>
  <si>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</si>
  <si>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</si>
  <si>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</si>
  <si>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</si>
  <si>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</si>
  <si>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</si>
  <si>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</si>
  <si>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</si>
  <si>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</si>
  <si>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</si>
  <si>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</si>
  <si>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</si>
  <si>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</si>
  <si>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</si>
  <si>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</si>
  <si>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</si>
  <si>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</si>
  <si>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</si>
  <si>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</si>
  <si>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</si>
  <si>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</si>
  <si>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</si>
  <si>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</si>
  <si>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</si>
  <si>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</si>
  <si>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</si>
  <si>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</si>
  <si>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</si>
  <si>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</si>
  <si>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</si>
  <si>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</si>
  <si>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</si>
  <si>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</si>
  <si>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</si>
  <si>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</si>
  <si>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</si>
  <si>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</si>
  <si>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</si>
  <si>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</si>
  <si>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</si>
  <si>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</si>
  <si>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</si>
  <si>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</si>
  <si>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</si>
  <si>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</si>
  <si>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</si>
  <si>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</si>
  <si>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</si>
  <si>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</si>
  <si>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</si>
  <si>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</si>
  <si>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</si>
  <si>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</si>
  <si>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</si>
  <si>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</si>
  <si>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</si>
  <si>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</si>
  <si>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</si>
  <si>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</si>
  <si>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</si>
  <si>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</si>
  <si>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</si>
  <si>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</si>
  <si>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</si>
  <si>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</si>
  <si>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</si>
  <si>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</si>
  <si>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</si>
  <si>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</si>
  <si>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</si>
  <si>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</si>
  <si>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</si>
  <si>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</si>
  <si>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</si>
  <si>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</si>
  <si>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</si>
  <si>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</si>
  <si>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</si>
  <si>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</si>
  <si>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</si>
  <si>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</si>
  <si>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</si>
  <si>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</si>
  <si>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</si>
  <si>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</si>
  <si>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</si>
  <si>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</si>
  <si>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</si>
  <si>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</si>
  <si>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</si>
  <si>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</si>
  <si>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</si>
  <si>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</si>
  <si>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</si>
  <si>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</si>
  <si>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</si>
  <si>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</si>
  <si>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</si>
  <si>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</si>
  <si>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</si>
  <si>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</si>
  <si>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</si>
  <si>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</si>
  <si>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</si>
  <si>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</si>
  <si>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</si>
  <si>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</si>
  <si>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</si>
  <si>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</si>
  <si>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</si>
  <si>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</si>
  <si>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</si>
  <si>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</si>
  <si>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</si>
  <si>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</si>
  <si>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</si>
  <si>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</si>
  <si>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</si>
  <si>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</si>
  <si>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</si>
  <si>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</si>
  <si>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</si>
  <si>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</si>
  <si>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</si>
  <si>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</si>
  <si>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</si>
  <si>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</si>
  <si>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</si>
  <si>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</si>
  <si>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</si>
  <si>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</si>
  <si>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</si>
  <si>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</si>
  <si>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</si>
  <si>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</si>
  <si>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</si>
  <si>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</si>
  <si>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</si>
  <si>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</si>
  <si>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</si>
  <si>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</si>
  <si>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</si>
  <si>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</si>
  <si>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</si>
  <si>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</si>
  <si>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</si>
  <si>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</si>
  <si>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</si>
  <si>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</si>
  <si>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</si>
  <si>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</si>
  <si>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</si>
  <si>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</si>
  <si>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</si>
  <si>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</si>
  <si>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</si>
  <si>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</si>
  <si>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</si>
  <si>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</si>
  <si>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</si>
  <si>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</si>
  <si>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</si>
  <si>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</si>
  <si>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</si>
  <si>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</si>
  <si>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</si>
  <si>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</si>
  <si>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</si>
  <si>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</si>
  <si>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</si>
  <si>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</si>
  <si>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</si>
  <si>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</si>
  <si>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</si>
  <si>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</si>
  <si>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</si>
  <si>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</si>
  <si>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</si>
  <si>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</si>
  <si>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</si>
  <si>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</si>
  <si>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</si>
  <si>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</si>
  <si>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</si>
  <si>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</si>
  <si>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</si>
  <si>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</si>
  <si>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</si>
  <si>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</si>
  <si>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</si>
  <si>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</si>
  <si>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</si>
  <si>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</si>
  <si>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</si>
  <si>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</si>
  <si>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</si>
  <si>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</si>
  <si>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</si>
  <si>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</si>
  <si>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</si>
  <si>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</si>
  <si>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</si>
  <si>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</si>
  <si>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</si>
  <si>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</si>
  <si>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</si>
  <si>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</si>
  <si>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</si>
  <si>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</si>
  <si>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</si>
  <si>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</si>
  <si>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</si>
  <si>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</si>
  <si>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</si>
  <si>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</si>
  <si>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</si>
  <si>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</si>
  <si>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</si>
  <si>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</si>
  <si>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</si>
  <si>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</si>
  <si>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</si>
  <si>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</si>
  <si>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</si>
  <si>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</si>
  <si>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</si>
  <si>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</si>
  <si>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</si>
  <si>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</si>
  <si>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</si>
  <si>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</si>
  <si>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</si>
  <si>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</si>
  <si>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</si>
  <si>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</si>
  <si>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</si>
  <si>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</si>
  <si>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</si>
  <si>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</si>
  <si>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</si>
  <si>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</si>
  <si>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</si>
  <si>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</si>
  <si>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</si>
  <si>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</si>
  <si>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</si>
  <si>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</si>
  <si>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</si>
  <si>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</si>
  <si>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</si>
  <si>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</si>
  <si>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</si>
  <si>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</si>
  <si>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</si>
  <si>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</si>
  <si>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</si>
  <si>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</si>
  <si>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</si>
  <si>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</si>
  <si>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</si>
  <si>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</si>
  <si>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</si>
  <si>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</si>
  <si>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</si>
  <si>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</si>
  <si>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</si>
  <si>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</si>
  <si>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</si>
  <si>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</si>
  <si>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</si>
  <si>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</si>
  <si>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</si>
  <si>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</si>
  <si>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</si>
  <si>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</si>
  <si>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</si>
  <si>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</si>
  <si>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</si>
  <si>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</si>
  <si>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</si>
  <si>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</si>
  <si>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</si>
  <si>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</si>
  <si>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</si>
  <si>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</si>
  <si>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</si>
  <si>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</si>
  <si>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</si>
  <si>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</si>
  <si>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</si>
  <si>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</si>
  <si>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</si>
  <si>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</si>
  <si>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</si>
  <si>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</si>
  <si>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</si>
  <si>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</si>
  <si>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</si>
  <si>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</si>
  <si>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</si>
  <si>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</si>
  <si>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</si>
  <si>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</si>
  <si>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</si>
  <si>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</si>
  <si>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</si>
  <si>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</si>
  <si>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</si>
  <si>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</si>
  <si>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</si>
  <si>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</si>
  <si>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</si>
  <si>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</si>
  <si>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</si>
  <si>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</si>
  <si>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</si>
  <si>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</si>
  <si>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</si>
  <si>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</si>
  <si>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</si>
  <si>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</si>
  <si>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</si>
  <si>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</si>
  <si>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</si>
  <si>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</si>
  <si>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</si>
  <si>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</si>
  <si>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</si>
  <si>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</si>
  <si>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</si>
  <si>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</si>
  <si>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</si>
  <si>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</si>
  <si>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</si>
  <si>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</si>
  <si>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</si>
  <si>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</si>
  <si>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</si>
  <si>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</si>
  <si>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</si>
  <si>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</si>
  <si>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</si>
  <si>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</si>
  <si>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</si>
  <si>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</si>
  <si>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</si>
  <si>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</si>
  <si>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</si>
  <si>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</si>
  <si>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</si>
  <si>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</si>
  <si>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</si>
  <si>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</si>
  <si>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</si>
  <si>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</si>
  <si>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</si>
  <si>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</si>
  <si>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</si>
  <si>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</si>
  <si>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</si>
  <si>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</si>
  <si>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</si>
  <si>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</si>
  <si>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</si>
  <si>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</si>
  <si>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</si>
  <si>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</si>
  <si>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</si>
  <si>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</si>
  <si>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</si>
  <si>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</si>
  <si>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</si>
  <si>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</si>
  <si>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</si>
  <si>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</si>
  <si>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</si>
  <si>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</si>
  <si>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</si>
  <si>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</si>
  <si>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</si>
  <si>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</si>
  <si>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</si>
  <si>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</si>
  <si>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</si>
  <si>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</si>
  <si>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</si>
  <si>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</si>
  <si>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</si>
  <si>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</si>
  <si>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</si>
  <si>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</si>
  <si>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</si>
  <si>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</si>
  <si>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</si>
  <si>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</si>
  <si>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</si>
  <si>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</si>
  <si>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</si>
  <si>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</si>
  <si>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</si>
  <si>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</si>
  <si>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</si>
  <si>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</si>
  <si>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</si>
  <si>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</si>
  <si>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</si>
  <si>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</si>
  <si>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</si>
  <si>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</si>
  <si>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</si>
  <si>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</si>
  <si>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</si>
  <si>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</si>
  <si>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</si>
  <si>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</si>
  <si>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</si>
  <si>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</si>
  <si>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</si>
  <si>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</si>
  <si>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</si>
  <si>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</si>
  <si>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</si>
  <si>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</si>
  <si>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</si>
  <si>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</si>
  <si>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</si>
  <si>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</si>
  <si>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</si>
  <si>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</si>
  <si>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</si>
  <si>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</si>
  <si>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</si>
  <si>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</si>
  <si>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</si>
  <si>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</si>
  <si>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</si>
  <si>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</si>
  <si>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</si>
  <si>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</si>
  <si>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</si>
  <si>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</si>
  <si>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</si>
  <si>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</si>
  <si>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</si>
  <si>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</si>
  <si>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</si>
  <si>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</si>
  <si>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</si>
  <si>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</si>
  <si>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</si>
  <si>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</si>
  <si>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</si>
  <si>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</si>
  <si>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</si>
  <si>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</si>
  <si>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</si>
  <si>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</si>
  <si>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</si>
  <si>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</si>
  <si>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</si>
  <si>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</si>
  <si>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</si>
  <si>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</si>
  <si>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</si>
  <si>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</si>
  <si>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</si>
  <si>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</si>
  <si>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</si>
  <si>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</si>
  <si>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</si>
  <si>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</si>
  <si>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</si>
  <si>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</si>
  <si>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</si>
  <si>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</si>
  <si>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</si>
  <si>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</si>
  <si>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</si>
  <si>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</si>
  <si>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</si>
  <si>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</si>
  <si>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</si>
  <si>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</si>
  <si>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</si>
  <si>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</si>
  <si>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</si>
  <si>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</si>
  <si>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</si>
  <si>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</si>
  <si>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</si>
  <si>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</si>
  <si>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</si>
  <si>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</si>
  <si>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</si>
  <si>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</si>
  <si>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</si>
  <si>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</si>
  <si>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</si>
  <si>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</si>
  <si>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</si>
  <si>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</si>
  <si>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</si>
  <si>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</si>
  <si>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</si>
  <si>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</si>
  <si>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</si>
  <si>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</si>
  <si>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</si>
  <si>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</si>
  <si>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</si>
  <si>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</si>
  <si>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</si>
  <si>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</si>
  <si>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</si>
  <si>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</si>
  <si>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</si>
  <si>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</si>
  <si>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</si>
  <si>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</si>
  <si>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</si>
  <si>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</si>
  <si>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</si>
  <si>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</si>
  <si>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</si>
  <si>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</si>
  <si>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</si>
  <si>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</si>
  <si>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</si>
  <si>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</si>
  <si>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</si>
  <si>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</si>
  <si>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</si>
  <si>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</si>
  <si>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</si>
  <si>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</si>
  <si>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</si>
  <si>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</si>
  <si>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</si>
  <si>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</si>
  <si>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</si>
  <si>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</si>
  <si>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</si>
  <si>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</si>
  <si>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</si>
  <si>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</si>
  <si>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</si>
  <si>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</si>
  <si>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</si>
  <si>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</si>
  <si>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</si>
  <si>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</si>
  <si>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</si>
  <si>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</si>
  <si>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</si>
  <si>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</si>
  <si>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</si>
  <si>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</si>
  <si>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</si>
  <si>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</si>
  <si>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</si>
  <si>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</si>
  <si>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</si>
  <si>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</si>
  <si>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</si>
  <si>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</si>
  <si>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</si>
  <si>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</si>
  <si>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</si>
  <si>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</si>
  <si>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</si>
  <si>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</si>
  <si>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</si>
  <si>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</si>
  <si>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</si>
  <si>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</si>
  <si>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</si>
  <si>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</si>
  <si>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</si>
  <si>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</si>
  <si>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</si>
  <si>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</si>
  <si>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</si>
  <si>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</si>
  <si>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</si>
  <si>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</si>
  <si>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</si>
  <si>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</si>
  <si>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</si>
  <si>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</si>
  <si>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</si>
  <si>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</si>
  <si>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</si>
  <si>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</si>
  <si>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</si>
  <si>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</si>
  <si>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</si>
  <si>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</si>
  <si>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</si>
  <si>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</si>
  <si>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</si>
  <si>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</si>
  <si>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</si>
  <si>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</si>
  <si>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</si>
  <si>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</si>
  <si>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</si>
  <si>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</si>
  <si>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</si>
  <si>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</si>
  <si>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</si>
  <si>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</si>
  <si>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</si>
  <si>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</si>
  <si>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</si>
  <si>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</si>
  <si>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</si>
  <si>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</si>
  <si>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</si>
  <si>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</si>
  <si>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</si>
  <si>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</si>
  <si>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</si>
  <si>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</si>
  <si>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</si>
  <si>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</si>
  <si>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</si>
  <si>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</si>
  <si>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</si>
  <si>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</si>
  <si>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</si>
  <si>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</si>
  <si>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</si>
  <si>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</si>
  <si>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</si>
  <si>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</si>
  <si>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</si>
  <si>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</si>
  <si>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</si>
  <si>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</si>
  <si>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</si>
  <si>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</si>
  <si>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</si>
  <si>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</si>
  <si>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</si>
  <si>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</si>
  <si>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</si>
  <si>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</si>
  <si>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</si>
  <si>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</si>
  <si>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</si>
  <si>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</si>
  <si>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</si>
  <si>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</si>
  <si>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</si>
  <si>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</si>
  <si>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</si>
  <si>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</si>
  <si>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</si>
  <si>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</si>
  <si>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</si>
  <si>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</si>
  <si>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</si>
  <si>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</si>
  <si>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</si>
  <si>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</si>
  <si>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</si>
  <si>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</si>
  <si>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</si>
  <si>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</si>
  <si>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</si>
  <si>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</si>
  <si>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</si>
  <si>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</si>
  <si>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</si>
  <si>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</si>
  <si>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</si>
  <si>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</si>
  <si>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</si>
  <si>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</si>
  <si>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</si>
  <si>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</si>
  <si>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</si>
  <si>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</si>
  <si>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</si>
  <si>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</si>
  <si>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</si>
  <si>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</si>
  <si>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</si>
  <si>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</si>
  <si>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</si>
  <si>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</si>
  <si>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</si>
  <si>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</si>
  <si>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</si>
  <si>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</si>
  <si>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</si>
  <si>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</si>
  <si>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</si>
  <si>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</si>
  <si>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</si>
  <si>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</si>
  <si>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</si>
  <si>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</si>
  <si>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</si>
  <si>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</si>
  <si>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</si>
  <si>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</si>
  <si>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</si>
  <si>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</si>
  <si>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</si>
  <si>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</si>
  <si>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</si>
  <si>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</si>
  <si>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</si>
  <si>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</si>
  <si>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</si>
  <si>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</si>
  <si>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</si>
  <si>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</si>
  <si>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</si>
  <si>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</si>
  <si>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</si>
  <si>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</si>
  <si>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</si>
  <si>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</si>
  <si>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</si>
  <si>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</si>
  <si>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</si>
  <si>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</si>
  <si>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</si>
  <si>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</si>
  <si>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</si>
  <si>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</si>
  <si>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</si>
  <si>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</si>
  <si>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</si>
  <si>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</si>
  <si>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</si>
  <si>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</si>
  <si>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</si>
  <si>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</si>
  <si>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</si>
  <si>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</si>
  <si>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</si>
  <si>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</si>
  <si>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</si>
  <si>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</si>
  <si>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</si>
  <si>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</si>
  <si>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</si>
  <si>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</si>
  <si>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</si>
  <si>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</si>
  <si>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</si>
  <si>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</si>
  <si>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</si>
  <si>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</si>
  <si>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</si>
  <si>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</si>
  <si>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</si>
  <si>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</si>
  <si>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</si>
  <si>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</si>
  <si>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</si>
  <si>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</si>
  <si>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</si>
  <si>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</si>
  <si>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</si>
  <si>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</si>
  <si>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</si>
  <si>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</si>
  <si>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</si>
  <si>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</si>
  <si>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</si>
  <si>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</si>
  <si>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</si>
  <si>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</si>
  <si>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</si>
  <si>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</si>
  <si>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</si>
  <si>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</si>
  <si>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</si>
  <si>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</si>
  <si>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</si>
  <si>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</si>
  <si>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</si>
  <si>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</si>
  <si>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</si>
  <si>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</si>
  <si>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</si>
  <si>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</si>
  <si>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</si>
  <si>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</si>
  <si>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</si>
  <si>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</si>
  <si>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</si>
  <si>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</si>
  <si>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</si>
  <si>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</si>
  <si>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</si>
  <si>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</si>
  <si>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</si>
  <si>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</si>
  <si>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</si>
  <si>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</si>
  <si>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</si>
  <si>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</si>
  <si>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</si>
  <si>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</si>
  <si>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</si>
  <si>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</si>
  <si>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</si>
  <si>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</si>
  <si>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</si>
  <si>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</si>
  <si>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</si>
  <si>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</si>
  <si>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</si>
  <si>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</si>
  <si>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</si>
  <si>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</si>
  <si>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</si>
  <si>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</si>
  <si>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</si>
  <si>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</si>
  <si>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</si>
  <si>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</si>
  <si>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</si>
  <si>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</si>
  <si>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</si>
  <si>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</si>
  <si>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</si>
  <si>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</si>
  <si>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</si>
  <si>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</si>
  <si>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</si>
  <si>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</si>
  <si>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</si>
  <si>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</si>
  <si>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</si>
  <si>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</si>
  <si>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</si>
  <si>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</si>
  <si>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</si>
  <si>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</si>
  <si>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</si>
  <si>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</si>
  <si>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</si>
  <si>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</si>
  <si>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</si>
  <si>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</si>
  <si>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</si>
  <si>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</si>
  <si>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</si>
  <si>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</si>
  <si>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</si>
  <si>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</si>
  <si>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</si>
  <si>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</si>
  <si>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</si>
  <si>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</si>
  <si>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</si>
  <si>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</si>
  <si>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</si>
  <si>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</si>
  <si>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</si>
  <si>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</si>
  <si>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</si>
  <si>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</si>
  <si>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</si>
  <si>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</si>
  <si>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</si>
  <si>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</si>
  <si>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</si>
  <si>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</si>
  <si>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</si>
  <si>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</si>
  <si>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</si>
  <si>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</si>
  <si>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</si>
  <si>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</si>
  <si>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</si>
  <si>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</si>
  <si>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</si>
  <si>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</si>
  <si>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</si>
  <si>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</si>
  <si>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</si>
  <si>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</si>
  <si>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</si>
  <si>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</si>
  <si>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</si>
  <si>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</si>
  <si>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</si>
  <si>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</si>
  <si>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</si>
  <si>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</si>
  <si>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</si>
  <si>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</si>
  <si>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</si>
  <si>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</si>
  <si>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</si>
  <si>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</si>
  <si>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</si>
  <si>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</si>
  <si>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</si>
  <si>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</si>
  <si>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</si>
  <si>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</si>
  <si>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</si>
  <si>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</si>
  <si>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</si>
  <si>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</si>
  <si>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</si>
  <si>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</si>
  <si>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</si>
  <si>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</si>
  <si>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</si>
  <si>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</si>
  <si>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</si>
  <si>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</si>
  <si>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</si>
  <si>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</si>
  <si>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</si>
  <si>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</si>
  <si>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</si>
  <si>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</si>
  <si>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</si>
  <si>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</si>
  <si>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</si>
  <si>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</si>
  <si>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</si>
  <si>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</si>
  <si>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</si>
  <si>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</si>
  <si>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</si>
  <si>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</si>
  <si>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</si>
  <si>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</si>
  <si>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</si>
  <si>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</si>
  <si>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</si>
  <si>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</si>
  <si>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</si>
  <si>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</si>
  <si>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</si>
  <si>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</si>
  <si>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</si>
  <si>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</si>
  <si>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</si>
  <si>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</si>
  <si>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</si>
  <si>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</si>
  <si>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</si>
  <si>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</si>
  <si>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</si>
  <si>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</si>
  <si>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</si>
  <si>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</si>
  <si>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</si>
  <si>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</si>
  <si>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</si>
  <si>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</si>
  <si>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</si>
  <si>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</si>
  <si>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</si>
  <si>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</si>
  <si>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</si>
  <si>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</si>
  <si>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</si>
  <si>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</si>
  <si>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</si>
  <si>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</si>
  <si>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</si>
  <si>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</si>
  <si>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</si>
  <si>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</si>
  <si>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</si>
  <si>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</si>
  <si>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</si>
  <si>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</si>
  <si>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</si>
  <si>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</si>
  <si>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</si>
  <si>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</si>
  <si>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</si>
  <si>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</si>
  <si>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</si>
  <si>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</si>
  <si>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</si>
  <si>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</si>
  <si>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</si>
  <si>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</si>
  <si>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</si>
  <si>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</si>
  <si>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</si>
  <si>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</si>
  <si>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</si>
  <si>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</si>
  <si>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</si>
  <si>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</si>
  <si>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</si>
  <si>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</si>
  <si>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</si>
  <si>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</si>
  <si>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</si>
  <si>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</si>
  <si>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</si>
  <si>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</si>
  <si>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</si>
  <si>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</si>
  <si>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</si>
  <si>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</si>
  <si>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</si>
  <si>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</si>
  <si>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</si>
  <si>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</si>
  <si>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</si>
  <si>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</si>
  <si>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</si>
  <si>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</si>
  <si>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</si>
  <si>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</si>
  <si>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</si>
  <si>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</si>
  <si>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</si>
  <si>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</si>
  <si>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</si>
  <si>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</si>
  <si>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</si>
  <si>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</si>
  <si>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</si>
  <si>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</si>
  <si>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</si>
  <si>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</si>
  <si>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</si>
  <si>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</si>
  <si>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</si>
  <si>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</si>
  <si>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</si>
  <si>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</si>
  <si>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</si>
  <si>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</si>
  <si>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</si>
  <si>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</si>
  <si>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</si>
  <si>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</si>
  <si>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</si>
  <si>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</si>
  <si>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</si>
  <si>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</si>
  <si>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</si>
  <si>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</si>
  <si>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</si>
  <si>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</si>
  <si>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</si>
  <si>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</si>
  <si>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</si>
  <si>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</si>
  <si>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</si>
  <si>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</si>
  <si>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</si>
  <si>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</si>
  <si>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</si>
  <si>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</si>
  <si>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</si>
  <si>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</si>
  <si>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</si>
  <si>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</si>
  <si>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</si>
  <si>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</si>
  <si>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</si>
  <si>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</si>
  <si>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</si>
  <si>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</si>
  <si>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</si>
  <si>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</si>
  <si>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</si>
  <si>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</si>
  <si>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</si>
  <si>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</si>
  <si>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</si>
  <si>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</si>
  <si>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</si>
  <si>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</si>
  <si>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</si>
  <si>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</si>
  <si>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</si>
  <si>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</si>
  <si>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</si>
  <si>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</si>
  <si>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</si>
  <si>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</si>
  <si>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</si>
  <si>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</si>
  <si>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</si>
  <si>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</si>
  <si>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</si>
  <si>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</si>
  <si>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</si>
  <si>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</si>
  <si>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</si>
  <si>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</si>
  <si>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</si>
  <si>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</si>
  <si>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</si>
  <si>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</si>
  <si>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</si>
  <si>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</si>
  <si>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</si>
  <si>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</si>
  <si>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</si>
  <si>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</si>
  <si>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</si>
  <si>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</si>
  <si>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</si>
  <si>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</si>
  <si>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</si>
  <si>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</si>
  <si>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</si>
  <si>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</si>
  <si>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</si>
  <si>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</si>
  <si>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</si>
  <si>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</si>
  <si>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</si>
  <si>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</si>
  <si>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</si>
  <si>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</si>
  <si>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</si>
  <si>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</si>
  <si>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</si>
  <si>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</si>
  <si>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</si>
  <si>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</si>
  <si>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</si>
  <si>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</si>
  <si>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</si>
  <si>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</si>
  <si>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</si>
  <si>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</si>
  <si>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</si>
  <si>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</si>
  <si>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</si>
  <si>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</si>
  <si>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</si>
  <si>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</si>
  <si>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</si>
  <si>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</si>
  <si>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</si>
  <si>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</si>
  <si>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</si>
  <si>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</si>
  <si>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</si>
  <si>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</si>
  <si>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</si>
  <si>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</si>
  <si>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</si>
  <si>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</si>
  <si>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</si>
  <si>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</si>
  <si>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</si>
  <si>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</si>
  <si>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</si>
  <si>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</si>
  <si>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</si>
  <si>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</si>
  <si>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</si>
  <si>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</si>
  <si>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</si>
  <si>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</si>
  <si>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</si>
  <si>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</si>
  <si>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</si>
  <si>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</si>
  <si>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</si>
  <si>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</si>
  <si>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</si>
  <si>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</si>
  <si>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</si>
  <si>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</si>
  <si>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</si>
  <si>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</si>
  <si>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</si>
  <si>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</si>
  <si>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</si>
  <si>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</si>
  <si>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</si>
  <si>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</si>
  <si>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</si>
  <si>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</si>
  <si>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</si>
  <si>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</si>
  <si>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</si>
  <si>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</si>
  <si>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</si>
  <si>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</si>
  <si>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</si>
  <si>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</si>
  <si>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</si>
  <si>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</si>
  <si>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</si>
  <si>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</si>
  <si>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</si>
  <si>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</si>
  <si>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</si>
  <si>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</si>
  <si>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</si>
  <si>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</si>
  <si>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</si>
  <si>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</si>
  <si>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</si>
  <si>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</si>
  <si>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</si>
  <si>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</si>
  <si>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</si>
  <si>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</si>
  <si>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</si>
  <si>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</si>
  <si>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</si>
  <si>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</si>
  <si>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</si>
  <si>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</si>
  <si>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</si>
  <si>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</si>
  <si>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</si>
  <si>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</si>
  <si>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</si>
  <si>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</si>
  <si>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</si>
  <si>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</si>
  <si>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</si>
  <si>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</si>
  <si>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</si>
  <si>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</si>
  <si>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</si>
  <si>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</si>
  <si>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</si>
  <si>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</si>
  <si>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</si>
  <si>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</si>
  <si>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</si>
  <si>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</si>
  <si>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</si>
  <si>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</si>
  <si>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</si>
  <si>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</si>
  <si>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</si>
  <si>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</si>
  <si>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</si>
  <si>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</si>
  <si>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</si>
  <si>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</si>
  <si>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</si>
  <si>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</si>
  <si>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</si>
  <si>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</si>
  <si>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</si>
  <si>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</si>
  <si>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</si>
  <si>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</si>
  <si>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</si>
  <si>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</si>
  <si>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</si>
  <si>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</si>
  <si>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</si>
  <si>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</si>
  <si>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</si>
  <si>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</si>
  <si>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</si>
  <si>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</si>
  <si>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</si>
  <si>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</si>
  <si>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</si>
  <si>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</si>
  <si>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</si>
  <si>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</si>
  <si>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</si>
  <si>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</si>
  <si>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</si>
  <si>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</si>
  <si>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</si>
  <si>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</si>
  <si>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</si>
  <si>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</si>
  <si>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</si>
  <si>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</si>
  <si>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</si>
  <si>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</si>
  <si>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</si>
  <si>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</si>
  <si>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</si>
  <si>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</si>
  <si>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</si>
  <si>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</si>
  <si>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</si>
  <si>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</si>
  <si>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</si>
  <si>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</si>
  <si>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</si>
  <si>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</si>
  <si>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</si>
  <si>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</si>
  <si>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</si>
  <si>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</si>
  <si>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</si>
  <si>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</si>
  <si>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</si>
  <si>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</si>
  <si>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</si>
  <si>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</si>
  <si>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</si>
  <si>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</si>
  <si>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</si>
  <si>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</si>
  <si>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</si>
  <si>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</si>
  <si>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</si>
  <si>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</si>
  <si>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</si>
  <si>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</si>
  <si>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</si>
  <si>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</si>
  <si>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</si>
  <si>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</si>
  <si>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</si>
  <si>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</si>
  <si>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</si>
  <si>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</si>
  <si>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</si>
  <si>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</si>
  <si>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</si>
  <si>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</si>
  <si>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</si>
  <si>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</si>
  <si>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</si>
  <si>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</si>
  <si>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</si>
  <si>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</si>
  <si>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</si>
  <si>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</si>
  <si>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</si>
  <si>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</si>
  <si>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</si>
  <si>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</si>
  <si>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</si>
  <si>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</si>
  <si>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</si>
  <si>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</si>
  <si>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</si>
  <si>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</si>
  <si>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</si>
  <si>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</si>
  <si>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</si>
  <si>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</si>
  <si>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</si>
  <si>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</si>
  <si>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</si>
  <si>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</si>
  <si>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</si>
  <si>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</si>
  <si>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</si>
  <si>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</si>
  <si>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</si>
  <si>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</si>
  <si>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</si>
  <si>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</si>
  <si>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</si>
  <si>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</si>
  <si>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</si>
  <si>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</si>
  <si>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</si>
  <si>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</si>
  <si>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</si>
  <si>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</si>
  <si>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</si>
  <si>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</si>
  <si>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</si>
  <si>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</si>
  <si>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</si>
  <si>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</si>
  <si>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</si>
  <si>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</si>
  <si>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</si>
  <si>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</si>
  <si>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</si>
  <si>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</si>
  <si>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</si>
  <si>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</si>
  <si>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</si>
  <si>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</si>
  <si>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</si>
  <si>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</si>
  <si>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</si>
  <si>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</si>
  <si>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</si>
  <si>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</si>
  <si>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</si>
  <si>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</si>
  <si>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</si>
  <si>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</si>
  <si>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</si>
  <si>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</si>
  <si>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</si>
  <si>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</si>
  <si>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</si>
  <si>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</si>
  <si>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</si>
  <si>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</si>
  <si>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</si>
  <si>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</si>
  <si>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</si>
  <si>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</si>
  <si>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</si>
  <si>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</si>
  <si>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</si>
  <si>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</si>
  <si>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</si>
  <si>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</si>
  <si>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</si>
  <si>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</si>
  <si>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</si>
  <si>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</si>
  <si>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</si>
  <si>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</si>
  <si>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</si>
  <si>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</si>
  <si>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</si>
  <si>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</si>
  <si>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</si>
  <si>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</si>
  <si>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</si>
  <si>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</si>
  <si>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</si>
  <si>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</si>
  <si>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</si>
  <si>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</si>
  <si>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</si>
  <si>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</si>
  <si>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</si>
  <si>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</si>
  <si>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</si>
  <si>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</si>
  <si>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</si>
  <si>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</si>
  <si>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</si>
  <si>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</si>
  <si>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</si>
  <si>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</si>
  <si>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</si>
  <si>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</si>
  <si>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</si>
  <si>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</si>
  <si>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</si>
  <si>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</si>
  <si>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</si>
  <si>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</si>
  <si>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</si>
  <si>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</si>
  <si>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</si>
  <si>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</si>
  <si>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</si>
  <si>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</si>
  <si>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</si>
  <si>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</si>
  <si>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</si>
  <si>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</si>
  <si>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</si>
  <si>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</si>
  <si>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</si>
  <si>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</si>
  <si>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</si>
  <si>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</si>
  <si>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</si>
  <si>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</si>
  <si>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</si>
  <si>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</si>
  <si>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</si>
  <si>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</si>
  <si>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</si>
  <si>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</si>
  <si>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</si>
  <si>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</si>
  <si>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</si>
  <si>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</si>
  <si>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</si>
  <si>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</si>
  <si>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</si>
  <si>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</si>
  <si>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</si>
  <si>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</si>
  <si>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</si>
  <si>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</si>
  <si>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</si>
  <si>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</si>
  <si>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</si>
  <si>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</si>
  <si>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</si>
  <si>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</si>
  <si>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</si>
  <si>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</si>
  <si>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</si>
  <si>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</si>
  <si>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</si>
  <si>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</si>
  <si>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</si>
  <si>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</si>
  <si>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</si>
  <si>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</si>
  <si>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</si>
  <si>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</si>
  <si>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</si>
  <si>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</si>
  <si>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</si>
  <si>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</si>
  <si>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</si>
  <si>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</si>
  <si>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</si>
  <si>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</si>
  <si>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</si>
  <si>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</si>
  <si>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</si>
  <si>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</si>
  <si>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</si>
  <si>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</si>
  <si>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</si>
  <si>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</si>
  <si>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</si>
  <si>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</si>
  <si>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</si>
  <si>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</si>
  <si>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</si>
  <si>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</si>
  <si>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</si>
  <si>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</si>
  <si>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</si>
  <si>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</si>
  <si>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</si>
  <si>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</si>
  <si>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</si>
  <si>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</si>
  <si>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</si>
  <si>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</si>
  <si>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</si>
  <si>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</si>
  <si>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</si>
  <si>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</si>
  <si>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</si>
  <si>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</si>
  <si>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</si>
  <si>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</si>
  <si>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</si>
  <si>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</si>
  <si>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</si>
  <si>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</si>
  <si>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</si>
  <si>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</si>
  <si>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</si>
  <si>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</si>
  <si>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</si>
  <si>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</si>
  <si>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</si>
  <si>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</si>
  <si>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</si>
  <si>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</si>
  <si>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</si>
  <si>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</si>
  <si>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</si>
  <si>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</si>
  <si>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</si>
  <si>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</si>
  <si>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</si>
  <si>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</si>
  <si>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</si>
  <si>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</si>
  <si>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</si>
  <si>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</si>
  <si>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</si>
  <si>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</si>
  <si>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</si>
  <si>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</si>
  <si>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</si>
  <si>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</si>
  <si>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</si>
  <si>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</si>
  <si>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</si>
  <si>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</si>
  <si>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</si>
  <si>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</si>
  <si>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</si>
  <si>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</si>
  <si>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</si>
  <si>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</si>
  <si>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</si>
  <si>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</si>
  <si>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</si>
  <si>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</si>
  <si>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</si>
  <si>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</si>
  <si>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</si>
  <si>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</si>
  <si>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</si>
  <si>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</si>
  <si>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</si>
  <si>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</si>
  <si>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</si>
  <si>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</si>
  <si>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</si>
  <si>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</si>
  <si>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</si>
  <si>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</si>
  <si>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</si>
  <si>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</si>
  <si>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</si>
  <si>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</si>
  <si>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</si>
  <si>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</si>
  <si>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</si>
  <si>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</si>
  <si>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</si>
  <si>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</si>
  <si>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</si>
  <si>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</si>
  <si>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</si>
  <si>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</si>
  <si>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</si>
  <si>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</si>
  <si>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</si>
  <si>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</si>
  <si>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</si>
  <si>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</si>
  <si>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</si>
  <si>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</si>
  <si>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</si>
  <si>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</si>
  <si>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</si>
  <si>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</si>
  <si>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</si>
  <si>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</si>
  <si>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</si>
  <si>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</si>
  <si>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</si>
  <si>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</si>
  <si>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</si>
  <si>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</si>
  <si>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</si>
  <si>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</si>
  <si>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</si>
  <si>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</si>
  <si>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</si>
  <si>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</si>
  <si>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</si>
  <si>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</si>
  <si>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</si>
  <si>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</si>
  <si>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</si>
  <si>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</si>
  <si>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</si>
  <si>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</si>
  <si>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</si>
  <si>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</si>
  <si>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</si>
  <si>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</si>
  <si>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</si>
  <si>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</si>
  <si>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</si>
  <si>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</si>
  <si>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</si>
  <si>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</si>
  <si>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</si>
  <si>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</si>
  <si>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</si>
  <si>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</si>
  <si>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</si>
  <si>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</si>
  <si>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</si>
  <si>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</si>
  <si>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</si>
  <si>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</si>
  <si>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楼层</t>
    <phoneticPr fontId="134" type="noConversion"/>
  </si>
  <si>
    <t>建筑面积</t>
    <phoneticPr fontId="134" type="noConversion"/>
  </si>
  <si>
    <t>系数</t>
    <phoneticPr fontId="134" type="noConversion"/>
  </si>
  <si>
    <t>商业</t>
    <phoneticPr fontId="3" type="noConversion"/>
  </si>
  <si>
    <t>是</t>
  </si>
  <si>
    <t>地上</t>
  </si>
  <si>
    <t>自定义容积率</t>
  </si>
  <si>
    <t>成新度</t>
  </si>
  <si>
    <t>收益法 (元)</t>
  </si>
  <si>
    <t>未包含在土地购买价格中</t>
  </si>
  <si>
    <t>已包含在土地取得成本中</t>
  </si>
  <si>
    <t>不临65条商业街</t>
  </si>
  <si>
    <t>与级别开发程度一致</t>
  </si>
  <si>
    <t>楼层修正</t>
  </si>
  <si>
    <t>一般</t>
  </si>
  <si>
    <t>较好</t>
  </si>
  <si>
    <t>押一</t>
  </si>
  <si>
    <t>钢混</t>
  </si>
  <si>
    <t>非生产用房</t>
  </si>
  <si>
    <t>单套模式</t>
  </si>
  <si>
    <t>售价</t>
  </si>
  <si>
    <t>15-20</t>
    <phoneticPr fontId="30" type="noConversion"/>
  </si>
  <si>
    <t>商业</t>
    <phoneticPr fontId="30" type="noConversion"/>
  </si>
  <si>
    <t>正常</t>
  </si>
  <si>
    <t>七通</t>
  </si>
  <si>
    <t>配套商业</t>
    <phoneticPr fontId="30" type="noConversion"/>
  </si>
  <si>
    <t>钢混</t>
    <phoneticPr fontId="30" type="noConversion"/>
  </si>
  <si>
    <t>精装修</t>
    <phoneticPr fontId="30" type="noConversion"/>
  </si>
  <si>
    <t>七通</t>
    <phoneticPr fontId="30" type="noConversion"/>
  </si>
  <si>
    <t>不可餐饮</t>
    <phoneticPr fontId="30" type="noConversion"/>
  </si>
  <si>
    <t>标准层高</t>
    <phoneticPr fontId="30" type="noConversion"/>
  </si>
  <si>
    <t>较适宜</t>
    <phoneticPr fontId="30" type="noConversion"/>
  </si>
  <si>
    <t>普通装修</t>
    <phoneticPr fontId="30" type="noConversion"/>
  </si>
  <si>
    <t>较好</t>
    <phoneticPr fontId="30" type="noConversion"/>
  </si>
  <si>
    <t>20-25</t>
    <phoneticPr fontId="30" type="noConversion"/>
  </si>
  <si>
    <t>25-30</t>
    <phoneticPr fontId="30" type="noConversion"/>
  </si>
  <si>
    <t>30-35</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</si>
  <si>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</si>
  <si>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</si>
  <si>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</si>
  <si>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</si>
  <si>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</si>
  <si>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</si>
  <si>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好</t>
  </si>
  <si>
    <t>较差</t>
  </si>
  <si>
    <t>差</t>
  </si>
  <si>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</si>
  <si>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</si>
  <si>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1-2层</t>
  </si>
  <si>
    <t>挂牌</t>
  </si>
  <si>
    <t>挂牌</t>
    <phoneticPr fontId="30" type="noConversion"/>
  </si>
  <si>
    <t>凤凰城二期</t>
    <phoneticPr fontId="3" type="noConversion"/>
  </si>
  <si>
    <t>远洋新干线</t>
    <phoneticPr fontId="30" type="noConversion"/>
  </si>
  <si>
    <t>1层</t>
  </si>
  <si>
    <t>万科时代中心</t>
    <phoneticPr fontId="3" type="noConversion"/>
  </si>
  <si>
    <t>比较法-商业</t>
  </si>
  <si>
    <t>总价</t>
  </si>
  <si>
    <t>收益比率</t>
  </si>
  <si>
    <t>远洋新干线</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</si>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</sst>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542600</xdr:colOff>
      <xdr:row>20</xdr:row>
      <xdr:rowOff>66238</xdr:rowOff>
    </xdr:to>
    <xdr:pic>
      <xdr:nvPicPr>
        <xdr:cNvPr id="2" name="图片 1">
          <a:extLst>
            <a:ext uri="{FF2B5EF4-FFF2-40B4-BE49-F238E27FC236}">
              <a16:creationId xmlns:a16="http://schemas.microsoft.com/office/drawing/2014/main" id="{2EA55C0B-A9C5-0B12-B7EF-AB99AA8D8DAA}"/>
            </a:ext>
          </a:extLst>
        </xdr:cNvPr>
        <xdr:cNvPicPr>
          <a:picLocks noChangeAspect="1"/>
        </xdr:cNvPicPr>
      </xdr:nvPicPr>
      <xdr:blipFill>
        <a:blip xmlns:r="http://schemas.openxmlformats.org/officeDocument/2006/relationships" r:embed="rId1"/>
        <a:stretch>
          <a:fillRect/>
        </a:stretch>
      </xdr:blipFill>
      <xdr:spPr>
        <a:xfrm>
          <a:off x="0" y="0"/>
          <a:ext cx="2600000" cy="3495238"/>
        </a:xfrm>
        <a:prstGeom prst="rect">
          <a:avLst/>
        </a:prstGeom>
      </xdr:spPr>
    </xdr:pic>
    <xdr:clientData/>
  </xdr:twoCellAnchor>
  <xdr:twoCellAnchor editAs="oneCell">
    <xdr:from>
      <xdr:col>3</xdr:col>
      <xdr:colOff>638175</xdr:colOff>
      <xdr:row>0</xdr:row>
      <xdr:rowOff>0</xdr:rowOff>
    </xdr:from>
    <xdr:to>
      <xdr:col>15</xdr:col>
      <xdr:colOff>561975</xdr:colOff>
      <xdr:row>28</xdr:row>
      <xdr:rowOff>57769</xdr:rowOff>
    </xdr:to>
    <xdr:pic>
      <xdr:nvPicPr>
        <xdr:cNvPr id="3" name="图片 2">
          <a:extLst>
            <a:ext uri="{FF2B5EF4-FFF2-40B4-BE49-F238E27FC236}">
              <a16:creationId xmlns:a16="http://schemas.microsoft.com/office/drawing/2014/main" id="{A8E76E26-7851-AD0A-C4D0-8D04C76AADB5}"/>
            </a:ext>
          </a:extLst>
        </xdr:cNvPr>
        <xdr:cNvPicPr>
          <a:picLocks noChangeAspect="1"/>
        </xdr:cNvPicPr>
      </xdr:nvPicPr>
      <xdr:blipFill>
        <a:blip xmlns:r="http://schemas.openxmlformats.org/officeDocument/2006/relationships" r:embed="rId2"/>
        <a:stretch>
          <a:fillRect/>
        </a:stretch>
      </xdr:blipFill>
      <xdr:spPr>
        <a:xfrm>
          <a:off x="2695575" y="0"/>
          <a:ext cx="8153400" cy="4858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659587</xdr:colOff>
      <xdr:row>17</xdr:row>
      <xdr:rowOff>9525</xdr:rowOff>
    </xdr:to>
    <xdr:pic>
      <xdr:nvPicPr>
        <xdr:cNvPr id="2" name="图片 1">
          <a:extLst>
            <a:ext uri="{FF2B5EF4-FFF2-40B4-BE49-F238E27FC236}">
              <a16:creationId xmlns:a16="http://schemas.microsoft.com/office/drawing/2014/main" id="{D9C8E560-0CE5-954C-07D9-F07411D0C4F5}"/>
            </a:ext>
          </a:extLst>
        </xdr:cNvPr>
        <xdr:cNvPicPr>
          <a:picLocks noChangeAspect="1"/>
        </xdr:cNvPicPr>
      </xdr:nvPicPr>
      <xdr:blipFill>
        <a:blip xmlns:r="http://schemas.openxmlformats.org/officeDocument/2006/relationships" r:embed="rId1"/>
        <a:stretch>
          <a:fillRect/>
        </a:stretch>
      </xdr:blipFill>
      <xdr:spPr>
        <a:xfrm>
          <a:off x="0" y="1"/>
          <a:ext cx="6145987" cy="2924174"/>
        </a:xfrm>
        <a:prstGeom prst="rect">
          <a:avLst/>
        </a:prstGeom>
      </xdr:spPr>
    </xdr:pic>
    <xdr:clientData/>
  </xdr:twoCellAnchor>
  <xdr:twoCellAnchor editAs="oneCell">
    <xdr:from>
      <xdr:col>0</xdr:col>
      <xdr:colOff>0</xdr:colOff>
      <xdr:row>18</xdr:row>
      <xdr:rowOff>0</xdr:rowOff>
    </xdr:from>
    <xdr:to>
      <xdr:col>8</xdr:col>
      <xdr:colOff>616105</xdr:colOff>
      <xdr:row>36</xdr:row>
      <xdr:rowOff>9525</xdr:rowOff>
    </xdr:to>
    <xdr:pic>
      <xdr:nvPicPr>
        <xdr:cNvPr id="3" name="图片 2">
          <a:extLst>
            <a:ext uri="{FF2B5EF4-FFF2-40B4-BE49-F238E27FC236}">
              <a16:creationId xmlns:a16="http://schemas.microsoft.com/office/drawing/2014/main" id="{75C9AEE0-DD5B-DC0E-2873-7088713C0359}"/>
            </a:ext>
          </a:extLst>
        </xdr:cNvPr>
        <xdr:cNvPicPr>
          <a:picLocks noChangeAspect="1"/>
        </xdr:cNvPicPr>
      </xdr:nvPicPr>
      <xdr:blipFill>
        <a:blip xmlns:r="http://schemas.openxmlformats.org/officeDocument/2006/relationships" r:embed="rId2"/>
        <a:stretch>
          <a:fillRect/>
        </a:stretch>
      </xdr:blipFill>
      <xdr:spPr>
        <a:xfrm>
          <a:off x="0" y="3086100"/>
          <a:ext cx="6102505" cy="3095625"/>
        </a:xfrm>
        <a:prstGeom prst="rect">
          <a:avLst/>
        </a:prstGeom>
      </xdr:spPr>
    </xdr:pic>
    <xdr:clientData/>
  </xdr:twoCellAnchor>
  <xdr:twoCellAnchor editAs="oneCell">
    <xdr:from>
      <xdr:col>0</xdr:col>
      <xdr:colOff>0</xdr:colOff>
      <xdr:row>37</xdr:row>
      <xdr:rowOff>0</xdr:rowOff>
    </xdr:from>
    <xdr:to>
      <xdr:col>8</xdr:col>
      <xdr:colOff>619125</xdr:colOff>
      <xdr:row>55</xdr:row>
      <xdr:rowOff>30635</xdr:rowOff>
    </xdr:to>
    <xdr:pic>
      <xdr:nvPicPr>
        <xdr:cNvPr id="4" name="图片 3">
          <a:extLst>
            <a:ext uri="{FF2B5EF4-FFF2-40B4-BE49-F238E27FC236}">
              <a16:creationId xmlns:a16="http://schemas.microsoft.com/office/drawing/2014/main" id="{555CE9A9-D7D9-C0F3-5D21-1A15ECF4B899}"/>
            </a:ext>
          </a:extLst>
        </xdr:cNvPr>
        <xdr:cNvPicPr>
          <a:picLocks noChangeAspect="1"/>
        </xdr:cNvPicPr>
      </xdr:nvPicPr>
      <xdr:blipFill>
        <a:blip xmlns:r="http://schemas.openxmlformats.org/officeDocument/2006/relationships" r:embed="rId3"/>
        <a:stretch>
          <a:fillRect/>
        </a:stretch>
      </xdr:blipFill>
      <xdr:spPr>
        <a:xfrm>
          <a:off x="0" y="6343650"/>
          <a:ext cx="6105525" cy="3116735"/>
        </a:xfrm>
        <a:prstGeom prst="rect">
          <a:avLst/>
        </a:prstGeom>
      </xdr:spPr>
    </xdr:pic>
    <xdr:clientData/>
  </xdr:twoCellAnchor>
  <xdr:twoCellAnchor editAs="oneCell">
    <xdr:from>
      <xdr:col>9</xdr:col>
      <xdr:colOff>28576</xdr:colOff>
      <xdr:row>0</xdr:row>
      <xdr:rowOff>0</xdr:rowOff>
    </xdr:from>
    <xdr:to>
      <xdr:col>20</xdr:col>
      <xdr:colOff>466726</xdr:colOff>
      <xdr:row>22</xdr:row>
      <xdr:rowOff>166819</xdr:rowOff>
    </xdr:to>
    <xdr:pic>
      <xdr:nvPicPr>
        <xdr:cNvPr id="5" name="图片 4">
          <a:extLst>
            <a:ext uri="{FF2B5EF4-FFF2-40B4-BE49-F238E27FC236}">
              <a16:creationId xmlns:a16="http://schemas.microsoft.com/office/drawing/2014/main" id="{D13B9BE2-EF98-8780-BE7F-66B480713515}"/>
            </a:ext>
          </a:extLst>
        </xdr:cNvPr>
        <xdr:cNvPicPr>
          <a:picLocks noChangeAspect="1"/>
        </xdr:cNvPicPr>
      </xdr:nvPicPr>
      <xdr:blipFill>
        <a:blip xmlns:r="http://schemas.openxmlformats.org/officeDocument/2006/relationships" r:embed="rId4"/>
        <a:stretch>
          <a:fillRect/>
        </a:stretch>
      </xdr:blipFill>
      <xdr:spPr>
        <a:xfrm>
          <a:off x="6200776" y="0"/>
          <a:ext cx="7981950" cy="3938719"/>
        </a:xfrm>
        <a:prstGeom prst="rect">
          <a:avLst/>
        </a:prstGeom>
      </xdr:spPr>
    </xdr:pic>
    <xdr:clientData/>
  </xdr:twoCellAnchor>
  <xdr:twoCellAnchor editAs="oneCell">
    <xdr:from>
      <xdr:col>8</xdr:col>
      <xdr:colOff>447675</xdr:colOff>
      <xdr:row>22</xdr:row>
      <xdr:rowOff>152401</xdr:rowOff>
    </xdr:from>
    <xdr:to>
      <xdr:col>20</xdr:col>
      <xdr:colOff>495128</xdr:colOff>
      <xdr:row>46</xdr:row>
      <xdr:rowOff>152401</xdr:rowOff>
    </xdr:to>
    <xdr:pic>
      <xdr:nvPicPr>
        <xdr:cNvPr id="6" name="图片 5">
          <a:extLst>
            <a:ext uri="{FF2B5EF4-FFF2-40B4-BE49-F238E27FC236}">
              <a16:creationId xmlns:a16="http://schemas.microsoft.com/office/drawing/2014/main" id="{A357E553-B5ED-C904-24BB-F6E5D4E66491}"/>
            </a:ext>
          </a:extLst>
        </xdr:cNvPr>
        <xdr:cNvPicPr>
          <a:picLocks noChangeAspect="1"/>
        </xdr:cNvPicPr>
      </xdr:nvPicPr>
      <xdr:blipFill>
        <a:blip xmlns:r="http://schemas.openxmlformats.org/officeDocument/2006/relationships" r:embed="rId5"/>
        <a:stretch>
          <a:fillRect/>
        </a:stretch>
      </xdr:blipFill>
      <xdr:spPr>
        <a:xfrm>
          <a:off x="5934075" y="3924301"/>
          <a:ext cx="8277053" cy="4114800"/>
        </a:xfrm>
        <a:prstGeom prst="rect">
          <a:avLst/>
        </a:prstGeom>
      </xdr:spPr>
    </xdr:pic>
    <xdr:clientData/>
  </xdr:twoCellAnchor>
  <xdr:twoCellAnchor editAs="oneCell">
    <xdr:from>
      <xdr:col>9</xdr:col>
      <xdr:colOff>38100</xdr:colOff>
      <xdr:row>47</xdr:row>
      <xdr:rowOff>38100</xdr:rowOff>
    </xdr:from>
    <xdr:to>
      <xdr:col>20</xdr:col>
      <xdr:colOff>28575</xdr:colOff>
      <xdr:row>68</xdr:row>
      <xdr:rowOff>166671</xdr:rowOff>
    </xdr:to>
    <xdr:pic>
      <xdr:nvPicPr>
        <xdr:cNvPr id="8" name="图片 7">
          <a:extLst>
            <a:ext uri="{FF2B5EF4-FFF2-40B4-BE49-F238E27FC236}">
              <a16:creationId xmlns:a16="http://schemas.microsoft.com/office/drawing/2014/main" id="{12630D78-9628-9368-A4DC-8709870B376D}"/>
            </a:ext>
          </a:extLst>
        </xdr:cNvPr>
        <xdr:cNvPicPr>
          <a:picLocks noChangeAspect="1"/>
        </xdr:cNvPicPr>
      </xdr:nvPicPr>
      <xdr:blipFill>
        <a:blip xmlns:r="http://schemas.openxmlformats.org/officeDocument/2006/relationships" r:embed="rId6"/>
        <a:stretch>
          <a:fillRect/>
        </a:stretch>
      </xdr:blipFill>
      <xdr:spPr>
        <a:xfrm>
          <a:off x="6210300" y="8096250"/>
          <a:ext cx="7534275" cy="37290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估价对象为北京市房地产，为所有。根据《国有土地使用证》[]，估价对象（分摊）出让国有建设用地使用权面积为0平方米，建筑面积为596.42平方米。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估价对象为北京市房地产,属开发建设的，该项目尚在开发建设中。根据《国有土地使用证》[]，估价对象（分摊）出让国有建设用地使用权面积为0平方米，规划建筑面积为596.42平方米。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2025年4月21日（评估专业人员实地查勘之日）</v>
      </c>
    </row>
    <row r="13" spans="1:2">
      <c r="A13" s="1118" t="s">
        <v>529</v>
      </c>
      <c r="B13" s="1119" t="str">
        <f>'预评函-1'!A18</f>
        <v>本次估价的“房地产价值”是指在正常市场情况下，在价值时点2025年4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2349</v>
      </c>
    </row>
    <row r="21" spans="1:2">
      <c r="A21" s="1118" t="s">
        <v>537</v>
      </c>
      <c r="B21" s="1119">
        <f ca="1">'预评函-2'!D7</f>
        <v>39385</v>
      </c>
    </row>
    <row r="22" spans="1:2">
      <c r="A22" s="1118" t="s">
        <v>538</v>
      </c>
      <c r="B22" s="1119" t="str">
        <f ca="1">'预评函-2'!D6</f>
        <v>贰仟叁佰肆拾玖万元整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2349</v>
      </c>
    </row>
    <row r="31" spans="1:2">
      <c r="A31" s="1118" t="s">
        <v>576</v>
      </c>
      <c r="B31" s="1119">
        <f ca="1">'预评函-2'!D15</f>
        <v>39385</v>
      </c>
    </row>
    <row r="32" spans="1:2">
      <c r="A32" s="1118" t="s">
        <v>543</v>
      </c>
      <c r="B32" s="1119" t="str">
        <f ca="1">'预评函-2'!D14</f>
        <v>贰仟叁佰肆拾玖万元整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596.42000000000007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1863</v>
      </c>
    </row>
    <row r="48" spans="1:2">
      <c r="A48" s="1118" t="s">
        <v>549</v>
      </c>
      <c r="B48" s="1119">
        <f ca="1">'预评函-3'!E4</f>
        <v>31236</v>
      </c>
    </row>
    <row r="49" spans="1:2">
      <c r="A49" s="1118" t="s">
        <v>550</v>
      </c>
      <c r="B49" s="1119" t="str">
        <f ca="1">'预评函-3'!D5</f>
        <v>壹仟捌佰陆拾叁万元整</v>
      </c>
    </row>
    <row r="50" spans="1:2">
      <c r="A50" s="1118" t="s">
        <v>574</v>
      </c>
      <c r="B50" s="1119" t="str">
        <f>'预评函-3'!F2</f>
        <v>在建建筑物价值</v>
      </c>
    </row>
    <row r="51" spans="1:2">
      <c r="A51" s="1118" t="s">
        <v>551</v>
      </c>
      <c r="B51" s="1119">
        <f ca="1">'预评函-3'!F4</f>
        <v>486</v>
      </c>
    </row>
    <row r="52" spans="1:2">
      <c r="A52" s="1118" t="s">
        <v>552</v>
      </c>
      <c r="B52" s="1119">
        <f ca="1">'预评函-3'!G4</f>
        <v>8149</v>
      </c>
    </row>
    <row r="53" spans="1:2">
      <c r="A53" s="1118" t="s">
        <v>580</v>
      </c>
      <c r="B53" s="1119" t="str">
        <f ca="1">'预评函-3'!F5</f>
        <v>肆佰捌拾陆万元整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2568</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2569</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6" t="s">
        <v>385</v>
      </c>
      <c r="C54" s="1444" t="s">
        <v>583</v>
      </c>
    </row>
    <row r="55" spans="1:4">
      <c r="A55" s="3212"/>
      <c r="B55" s="1446" t="s">
        <v>386</v>
      </c>
      <c r="C55" s="1444" t="s">
        <v>584</v>
      </c>
    </row>
    <row r="56" spans="1:4">
      <c r="A56" s="3212"/>
      <c r="B56" s="1446" t="s">
        <v>387</v>
      </c>
      <c r="C56" s="1444" t="s">
        <v>588</v>
      </c>
    </row>
    <row r="57" spans="1:4">
      <c r="A57" s="321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13" t="s">
        <v>2571</v>
      </c>
      <c r="J2" s="3213"/>
      <c r="K2" s="3213"/>
      <c r="L2" s="3213"/>
      <c r="M2" s="3213"/>
      <c r="N2" s="3213"/>
      <c r="O2" s="3213"/>
      <c r="P2" s="3213"/>
      <c r="Q2" s="3213"/>
      <c r="R2" s="3213"/>
    </row>
    <row r="3" spans="1:18">
      <c r="A3" s="2762" t="s">
        <v>2492</v>
      </c>
      <c r="B3" s="2763">
        <f>项目基本情况!D3</f>
        <v>45768</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1.66</v>
      </c>
      <c r="D5" s="2767">
        <f>IF(ISERROR(ROUND(POWER(1+E5,A5-C5)*(POWER(1+E5,C5)-1)/(POWER(1+E5,A5)-1),3)),0,ROUND(POWER(1+E5,A5-C5)*(POWER(1+E5,C5)-1)/(POWER(1+E5,A5)-1),4))</f>
        <v>7.9600000000000004E-2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11.67</v>
      </c>
      <c r="D6" s="2767">
        <f>IF(ISERROR(ROUND(POWER(1+E6,A6-C6)*(POWER(1+E6,C6)-1)/(POWER(1+E6,A6)-1),3)),0,ROUND(POWER(1+E6,A6-C6)*(POWER(1+E6,C6)-1)/(POWER(1+E6,A6)-1),4))</f>
        <v>0.4274</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31.68</v>
      </c>
      <c r="D7" s="2767">
        <f>IF(ISERROR(ROUND(POWER(1+E7,A7-C7)*(POWER(1+E7,C7)-1)/(POWER(1+E7,A7)-1),3)),0,ROUND(POWER(1+E7,A7-C7)*(POWER(1+E7,C7)-1)/(POWER(1+E7,A7)-1),4))</f>
        <v>0.76019999999999999</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3377</v>
      </c>
    </row>
    <row r="50" spans="1:4">
      <c r="A50" s="3144" t="s">
        <v>3378</v>
      </c>
      <c r="B50" s="3144" t="s">
        <v>3379</v>
      </c>
      <c r="C50" s="3144" t="s">
        <v>3380</v>
      </c>
      <c r="D50" s="3144" t="s">
        <v>3381</v>
      </c>
    </row>
    <row r="51" spans="1:4">
      <c r="A51" s="3144" t="s">
        <v>3382</v>
      </c>
      <c r="B51" s="2764">
        <f>B52+B53</f>
        <v>15000</v>
      </c>
      <c r="C51" s="3145">
        <f>D51/B51</f>
        <v>2666.6666666666665</v>
      </c>
      <c r="D51" s="2764">
        <f>D52+D53</f>
        <v>40000000</v>
      </c>
    </row>
    <row r="52" spans="1:4">
      <c r="A52" s="3146" t="s">
        <v>3383</v>
      </c>
      <c r="B52" s="3147">
        <v>10000</v>
      </c>
      <c r="C52" s="3147">
        <v>1500</v>
      </c>
      <c r="D52" s="3148">
        <f>C52*B52</f>
        <v>15000000</v>
      </c>
    </row>
    <row r="53" spans="1:4">
      <c r="A53" s="3146" t="s">
        <v>3384</v>
      </c>
      <c r="B53" s="3147">
        <v>5000</v>
      </c>
      <c r="C53" s="3147">
        <v>5000</v>
      </c>
      <c r="D53" s="3148">
        <f>C53*B53</f>
        <v>25000000</v>
      </c>
    </row>
    <row r="54" spans="1:4">
      <c r="A54" s="3144" t="s">
        <v>3385</v>
      </c>
      <c r="B54" s="2764">
        <f>B51</f>
        <v>15000</v>
      </c>
      <c r="C54" s="2770">
        <v>700</v>
      </c>
      <c r="D54" s="2764">
        <f t="shared" ref="D54:D55" si="5">C54*B54</f>
        <v>10500000</v>
      </c>
    </row>
    <row r="55" spans="1:4">
      <c r="A55" s="3144" t="s">
        <v>3386</v>
      </c>
      <c r="B55" s="2764">
        <f>B51</f>
        <v>15000</v>
      </c>
      <c r="C55" s="2770">
        <v>1500</v>
      </c>
      <c r="D55" s="2764">
        <f t="shared" si="5"/>
        <v>22500000</v>
      </c>
    </row>
    <row r="56" spans="1:4">
      <c r="A56" s="3144" t="s">
        <v>3387</v>
      </c>
      <c r="B56" s="2764">
        <f>B51</f>
        <v>15000</v>
      </c>
      <c r="C56" s="3149">
        <f>C51+C54+C55</f>
        <v>4866.6666666666661</v>
      </c>
      <c r="D56" s="2764">
        <f>D51+D54+D55</f>
        <v>73000000</v>
      </c>
    </row>
    <row r="58" spans="1:4">
      <c r="A58" s="3144" t="s">
        <v>3388</v>
      </c>
      <c r="B58" s="3150">
        <v>0.05</v>
      </c>
      <c r="C58" s="2764">
        <f>C56*(1+B58)</f>
        <v>5110</v>
      </c>
      <c r="D58" s="2764">
        <f>D56*B58</f>
        <v>3650000</v>
      </c>
    </row>
    <row r="60" spans="1:4">
      <c r="A60" s="3144" t="s">
        <v>3389</v>
      </c>
      <c r="B60" s="2770">
        <v>3500</v>
      </c>
      <c r="C60" s="2770">
        <f>C53</f>
        <v>5000</v>
      </c>
      <c r="D60" s="2764">
        <f>C60*B60</f>
        <v>17500000</v>
      </c>
    </row>
    <row r="62" spans="1:4">
      <c r="A62" s="3144" t="s">
        <v>3390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5" sqref="D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45768</v>
      </c>
      <c r="C3" s="2185" t="s">
        <v>2171</v>
      </c>
      <c r="D3" s="2184">
        <v>45768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3402</v>
      </c>
      <c r="C8" s="2200"/>
      <c r="D8" s="3217" t="s">
        <v>2177</v>
      </c>
      <c r="E8" s="2201" t="s">
        <v>3403</v>
      </c>
      <c r="F8" s="2202"/>
      <c r="G8" s="2441"/>
      <c r="H8" s="2441"/>
      <c r="I8" s="2441"/>
      <c r="J8" s="2244"/>
      <c r="K8" s="2399"/>
      <c r="L8" s="2398"/>
      <c r="M8" s="2398"/>
      <c r="N8" s="2244"/>
      <c r="O8" s="1669"/>
      <c r="P8" s="2244"/>
      <c r="Q8" s="2244"/>
      <c r="R8" s="2244"/>
    </row>
    <row r="9" spans="1:30" ht="13.5" thickBot="1">
      <c r="A9" s="2203" t="s">
        <v>2178</v>
      </c>
      <c r="B9" s="2204" t="s">
        <v>3403</v>
      </c>
      <c r="C9" s="2205"/>
      <c r="D9" s="3218"/>
      <c r="E9" s="2204" t="s">
        <v>43</v>
      </c>
      <c r="F9" s="2206"/>
      <c r="G9" s="2442"/>
      <c r="H9" s="2442"/>
      <c r="I9" s="2442"/>
      <c r="J9" s="2244"/>
      <c r="K9" s="2401"/>
      <c r="L9" s="2398"/>
      <c r="M9" s="2398"/>
      <c r="N9" s="2244"/>
      <c r="O9" s="1669"/>
      <c r="P9" s="2244"/>
      <c r="Q9" s="2244"/>
      <c r="R9" s="2244"/>
    </row>
    <row r="10" spans="1:30" ht="13.5" thickTop="1">
      <c r="A10" s="2207" t="s">
        <v>2179</v>
      </c>
      <c r="B10" s="2208" t="s">
        <v>3404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3323</v>
      </c>
      <c r="B13" s="2217" t="s">
        <v>2190</v>
      </c>
      <c r="C13" s="802"/>
      <c r="D13" s="802">
        <v>52147</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17.47</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24"/>
      <c r="C16" s="3225"/>
      <c r="D16" s="3226"/>
      <c r="E16" s="2221" t="s">
        <v>2194</v>
      </c>
      <c r="F16" s="3227"/>
      <c r="G16" s="3228"/>
      <c r="H16" s="3228"/>
      <c r="I16" s="3229"/>
      <c r="J16" s="2244"/>
      <c r="K16" s="2402"/>
      <c r="L16" s="1669"/>
      <c r="M16" s="1669"/>
      <c r="N16" s="2244"/>
      <c r="O16" s="1669"/>
      <c r="P16" s="2244"/>
      <c r="Q16" s="2244"/>
      <c r="R16" s="2244"/>
    </row>
    <row r="17" spans="1:28">
      <c r="A17" s="305" t="s">
        <v>2195</v>
      </c>
      <c r="B17" s="294" t="s">
        <v>2196</v>
      </c>
      <c r="C17" s="8">
        <f>'数据-汇总表'!E3</f>
        <v>596.42000000000007</v>
      </c>
      <c r="D17" s="1255" t="s">
        <v>2197</v>
      </c>
      <c r="E17" s="3230" t="s">
        <v>2198</v>
      </c>
      <c r="F17" s="3231"/>
      <c r="G17" s="3231"/>
      <c r="H17" s="3231"/>
      <c r="I17" s="3232"/>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33" t="s">
        <v>2202</v>
      </c>
      <c r="F18" s="3234"/>
      <c r="G18" s="3234"/>
      <c r="H18" s="3234"/>
      <c r="I18" s="3235"/>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1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1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7"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7"/>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7"/>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8"/>
      <c r="B30" s="294" t="s">
        <v>2218</v>
      </c>
      <c r="C30" s="3239"/>
      <c r="D30" s="3240"/>
      <c r="E30" s="2441"/>
      <c r="F30" s="2441"/>
      <c r="G30" s="2441"/>
      <c r="H30" s="2441"/>
      <c r="I30" s="2441"/>
      <c r="J30" s="2244"/>
      <c r="K30" s="2401"/>
      <c r="L30" s="2398"/>
      <c r="M30" s="2398"/>
      <c r="N30" s="2244"/>
      <c r="O30" s="1669"/>
      <c r="P30" s="2244"/>
      <c r="Q30" s="2244"/>
      <c r="R30" s="2244"/>
      <c r="S30" s="2244"/>
      <c r="T30" s="2244"/>
      <c r="U30" s="2244"/>
      <c r="V30" s="2244"/>
    </row>
    <row r="31" spans="1:28">
      <c r="A31" s="3241"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36" t="s">
        <v>2228</v>
      </c>
      <c r="T34" s="315" t="str">
        <f>NUMBERSTRING(7-K34,1)&amp;"通"</f>
        <v>七通</v>
      </c>
      <c r="U34" s="2244"/>
      <c r="V34" s="2244"/>
    </row>
    <row r="35" spans="1:30">
      <c r="A35" s="2235"/>
      <c r="B35" s="3236" t="s">
        <v>2229</v>
      </c>
      <c r="C35" s="3236"/>
      <c r="D35" s="3236"/>
      <c r="E35" s="323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t="s">
        <v>184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230</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596.42000000000007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596.42000000000007</v>
      </c>
      <c r="H5" s="13">
        <f t="shared" ref="H5:AT5" si="0">SUM(H13:H656)</f>
        <v>596.42000000000007</v>
      </c>
      <c r="I5" s="13">
        <f t="shared" si="0"/>
        <v>596.42000000000007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596.42000000000007</v>
      </c>
      <c r="BA5" s="15">
        <f t="shared" si="1"/>
        <v>596.42000000000007</v>
      </c>
      <c r="BB5" s="15">
        <f t="shared" si="1"/>
        <v>596.42000000000007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3411</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62" t="s">
        <v>3409</v>
      </c>
      <c r="D13" s="1512" t="s">
        <v>3410</v>
      </c>
      <c r="E13" s="13">
        <f>IF($C$3="是",ROUND($A$3*G13/$B$3,2),ROUND($A$3*(G13-AT13)/$B$3,2))</f>
        <v>0</v>
      </c>
      <c r="F13" s="29"/>
      <c r="G13" s="30">
        <f>H13+AC13+AT13</f>
        <v>596.42000000000007</v>
      </c>
      <c r="H13" s="17">
        <f>SUMIF(I$12:AB$12,"总值",I13:AB13)</f>
        <v>596.42000000000007</v>
      </c>
      <c r="I13" s="1513">
        <f>面积位置!C33</f>
        <v>596.42000000000007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596.42000000000007</v>
      </c>
      <c r="BA13" s="13">
        <f>SUM(BB13:BK13)</f>
        <v>596.42000000000007</v>
      </c>
      <c r="BB13" s="13">
        <f>IF($D13="是",I13-J13,0)</f>
        <v>596.42000000000007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8C31A-35A0-4140-AC7F-8D42D3A4BB62}">
  <dimension ref="B30:F33"/>
  <sheetViews>
    <sheetView topLeftCell="A10" workbookViewId="0">
      <selection activeCell="K37" sqref="K37"/>
    </sheetView>
  </sheetViews>
  <sheetFormatPr defaultRowHeight="13.5"/>
  <sheetData>
    <row r="30" spans="2:6">
      <c r="B30" s="1404" t="s">
        <v>3406</v>
      </c>
      <c r="C30" s="1404" t="s">
        <v>3407</v>
      </c>
      <c r="D30" s="1404" t="s">
        <v>3408</v>
      </c>
      <c r="E30" s="1404" t="s">
        <v>654</v>
      </c>
    </row>
    <row r="31" spans="2:6">
      <c r="B31">
        <v>1</v>
      </c>
      <c r="C31">
        <v>225.43</v>
      </c>
      <c r="D31">
        <v>1</v>
      </c>
      <c r="E31">
        <v>7.5</v>
      </c>
      <c r="F31">
        <f>E31*C31</f>
        <v>1690.7250000000001</v>
      </c>
    </row>
    <row r="32" spans="2:6">
      <c r="B32">
        <v>2</v>
      </c>
      <c r="C32">
        <v>370.99</v>
      </c>
      <c r="D32">
        <v>0.7</v>
      </c>
      <c r="E32">
        <f>E31*D32</f>
        <v>5.25</v>
      </c>
      <c r="F32">
        <f>E32*C32</f>
        <v>1947.6975</v>
      </c>
    </row>
    <row r="33" spans="3:6">
      <c r="C33">
        <f>SUM(C31:C32)</f>
        <v>596.42000000000007</v>
      </c>
      <c r="E33">
        <f>ROUND(F33/C33,2)</f>
        <v>6.1</v>
      </c>
      <c r="F33">
        <f>SUM(F31:F32)</f>
        <v>3638.4225000000001</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zoomScaleSheetLayoutView="90" workbookViewId="0">
      <selection activeCell="K11" sqref="K1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2" t="s">
        <v>1131</v>
      </c>
      <c r="B2" s="3252"/>
      <c r="C2" s="3252"/>
      <c r="D2" s="747" t="s">
        <v>1107</v>
      </c>
      <c r="E2" s="1522" t="s">
        <v>1108</v>
      </c>
      <c r="F2" s="2438"/>
      <c r="G2" s="2431"/>
      <c r="H2" s="2432"/>
      <c r="I2" s="2145" t="s">
        <v>1132</v>
      </c>
      <c r="J2" s="2438"/>
      <c r="K2" s="2438"/>
      <c r="L2" s="2438"/>
      <c r="M2" s="2438"/>
      <c r="N2" s="2439"/>
      <c r="O2" s="2438"/>
      <c r="P2" s="2438"/>
    </row>
    <row r="3" spans="1:16" ht="15.75" thickBot="1">
      <c r="A3" s="3253" t="s">
        <v>1105</v>
      </c>
      <c r="B3" s="3253"/>
      <c r="C3" s="3253"/>
      <c r="D3" s="41">
        <f>'数据-基础表'!AY6</f>
        <v>0</v>
      </c>
      <c r="E3" s="41">
        <f>'数据-基础表'!AZ5</f>
        <v>596.42000000000007</v>
      </c>
      <c r="F3" s="2438"/>
      <c r="G3" s="42"/>
      <c r="H3" s="43" t="s">
        <v>1106</v>
      </c>
      <c r="I3" s="801" t="e">
        <f>ROUND('数据-基础表'!B3/'数据-基础表'!A3,2)</f>
        <v>#DIV/0!</v>
      </c>
      <c r="J3" s="2438"/>
      <c r="K3" s="2438"/>
      <c r="L3" s="2438"/>
      <c r="M3" s="2438"/>
      <c r="N3" s="2439"/>
      <c r="O3" s="2438"/>
      <c r="P3" s="2438"/>
    </row>
    <row r="4" spans="1:16" ht="15">
      <c r="A4" s="3254"/>
      <c r="B4" s="3255"/>
      <c r="C4" s="3256"/>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57" t="s">
        <v>1110</v>
      </c>
      <c r="C5" s="3257"/>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57" t="s">
        <v>1111</v>
      </c>
      <c r="C6" s="3257"/>
      <c r="D6" s="43">
        <f>ROUND($D$3*E6/$E$3,2)</f>
        <v>0</v>
      </c>
      <c r="E6" s="44">
        <f>E3-E5</f>
        <v>596.42000000000007</v>
      </c>
      <c r="F6" s="2438"/>
      <c r="G6" s="1528" t="s">
        <v>1112</v>
      </c>
      <c r="H6" s="45" t="s">
        <v>1113</v>
      </c>
      <c r="I6" s="2434" t="e">
        <f>ROUND(F31/D31,2)</f>
        <v>#DIV/0!</v>
      </c>
      <c r="J6" s="2438"/>
      <c r="K6" s="2438"/>
      <c r="L6" s="2438"/>
      <c r="M6" s="2438"/>
      <c r="N6" s="2438"/>
      <c r="O6" s="2438"/>
      <c r="P6" s="2438"/>
    </row>
    <row r="7" spans="1:16" ht="15.75" thickBot="1">
      <c r="A7" s="3249"/>
      <c r="B7" s="3250"/>
      <c r="C7" s="3251"/>
      <c r="D7" s="1523" t="s">
        <v>1107</v>
      </c>
      <c r="E7" s="1527" t="s">
        <v>1114</v>
      </c>
      <c r="F7" s="2438"/>
      <c r="G7" s="2435" t="s">
        <v>1115</v>
      </c>
      <c r="H7" s="95"/>
      <c r="I7" s="2436">
        <f>基准地价修正!C21</f>
        <v>3.5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596.42000000000007</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596.42000000000007</v>
      </c>
      <c r="F16" s="2438"/>
      <c r="G16" s="2438"/>
      <c r="H16" s="1530" t="s">
        <v>1135</v>
      </c>
      <c r="I16" s="1531"/>
      <c r="J16" s="1070"/>
      <c r="K16" s="3246" t="s">
        <v>1135</v>
      </c>
      <c r="L16" s="3247"/>
      <c r="M16" s="3247"/>
      <c r="N16" s="3247"/>
      <c r="O16" s="3247"/>
      <c r="P16" s="3248"/>
    </row>
    <row r="17" spans="1:19" ht="15">
      <c r="A17" s="1532" t="s">
        <v>1136</v>
      </c>
      <c r="B17" s="1533" t="s">
        <v>1137</v>
      </c>
      <c r="C17" s="1534" t="s">
        <v>1138</v>
      </c>
      <c r="D17" s="1535" t="s">
        <v>1126</v>
      </c>
      <c r="E17" s="1536" t="s">
        <v>1127</v>
      </c>
      <c r="F17" s="1537"/>
      <c r="G17" s="1538"/>
      <c r="H17" s="1539" t="s">
        <v>1139</v>
      </c>
      <c r="I17" s="1540" t="s">
        <v>1124</v>
      </c>
      <c r="J17" s="1070"/>
      <c r="K17" s="3243" t="s">
        <v>1140</v>
      </c>
      <c r="L17" s="3244"/>
      <c r="M17" s="3245"/>
      <c r="N17" s="3243" t="s">
        <v>1141</v>
      </c>
      <c r="O17" s="3244"/>
      <c r="P17" s="324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tr">
        <f>'数据-基础表'!C13</f>
        <v>商业</v>
      </c>
      <c r="D19" s="43">
        <f>ROUND($D$3*E19/$E$3,2)</f>
        <v>0</v>
      </c>
      <c r="E19" s="51">
        <f t="shared" ref="E19:E26" si="1">SUM(F19:G19)</f>
        <v>596.42000000000007</v>
      </c>
      <c r="F19" s="2557">
        <f>'数据-基础表'!I13</f>
        <v>596.42000000000007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596.42000000000007</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596.42000000000007</v>
      </c>
      <c r="F27" s="1071">
        <f>IF(SUM(F19:F26)=E8,SUM(F19:F26),"地上面积有误")</f>
        <v>596.42000000000007</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596.42000000000007</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596.42000000000007</v>
      </c>
      <c r="F31" s="643">
        <f>F27+F30</f>
        <v>596.42000000000007</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45768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3413</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52147</v>
      </c>
      <c r="F6" s="61">
        <f>SUMIF(项目基本情况!C$12:I$12,C6,项目基本情况!C$15:I$15)</f>
        <v>17.47</v>
      </c>
      <c r="G6" s="62">
        <f>IF(ISERROR(ROUND(POWER(1+H6,D6-F6)*(POWER(1+H6,F6)-1)/(POWER(1+H6,D6)-1),3)),0,ROUND(POWER(1+H6,D6-F6)*(POWER(1+H6,F6)-1)/(POWER(1+H6,D6)-1),3))</f>
        <v>0.66900000000000004</v>
      </c>
      <c r="H6" s="690">
        <v>0.05</v>
      </c>
      <c r="I6" s="690">
        <v>5.5E-2</v>
      </c>
      <c r="J6" s="63">
        <v>7.0000000000000007E-2</v>
      </c>
      <c r="K6" s="969">
        <f>SUMIF('数据-汇总表'!C$19:C$33,A6,'数据-汇总表'!E$19:E$33)</f>
        <v>596.42000000000007</v>
      </c>
      <c r="L6" s="691">
        <v>4500</v>
      </c>
      <c r="M6" s="64">
        <f t="shared" ref="M6:M14" si="0">ROUND(K6*L6/10000,0)</f>
        <v>268</v>
      </c>
      <c r="N6" s="689">
        <f>ROUND((1-(2025-2005)/60)*0.5+80%*0.5,2)</f>
        <v>0.73</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面积位置!E33</f>
        <v>6.1</v>
      </c>
      <c r="V6" s="67">
        <v>0.02</v>
      </c>
      <c r="W6" s="67">
        <v>0.1</v>
      </c>
      <c r="X6" s="978"/>
      <c r="Y6" s="68">
        <f>N6</f>
        <v>0.73</v>
      </c>
      <c r="Z6" s="69"/>
      <c r="AA6" s="63"/>
      <c r="AB6" s="63"/>
      <c r="AC6" s="978"/>
      <c r="AD6" s="70"/>
      <c r="AE6" s="979">
        <f ca="1">IF(AN6="",0,SUMIF(INDIRECT("'"&amp;AN6&amp;"'"&amp;"!E:E"),$AE$5,INDIRECT("'"&amp;AN6&amp;"'"&amp;"!F:F")))</f>
        <v>17.47</v>
      </c>
      <c r="AF6" s="74"/>
      <c r="AG6" s="130">
        <f>IF(AF6="",0,AE6-AF6)</f>
        <v>0</v>
      </c>
      <c r="AH6" s="71"/>
      <c r="AI6" s="73">
        <v>365</v>
      </c>
      <c r="AJ6" s="74"/>
      <c r="AK6" s="75">
        <v>2E-3</v>
      </c>
      <c r="AL6" s="76">
        <v>1E-3</v>
      </c>
      <c r="AM6" s="77">
        <v>0.01</v>
      </c>
      <c r="AN6" s="1588" t="s">
        <v>3414</v>
      </c>
      <c r="AO6" s="50">
        <f ca="1">SUMIF(INDIRECT("'"&amp;AN6&amp;"'"&amp;"!A:A"),"总价",INDIRECT("'"&amp;AN6&amp;"'"&amp;"!B:B"))</f>
        <v>1366.4566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0.66900000000000004</v>
      </c>
      <c r="H16" s="84">
        <f>ROUND(SUMPRODUCT(H6:H13,K6:K13)/SUMPRODUCT((H6:H13&gt;0)*(K6:K13)),3)</f>
        <v>0.05</v>
      </c>
      <c r="I16" s="85"/>
      <c r="J16" s="85"/>
      <c r="K16" s="86">
        <f>SUM(K6:K15)</f>
        <v>596.42000000000007</v>
      </c>
      <c r="L16" s="87">
        <f>ROUND(M16*10000/SUM(K6:K14),0)</f>
        <v>4493</v>
      </c>
      <c r="M16" s="87">
        <f>SUM(M6:M14)</f>
        <v>268</v>
      </c>
      <c r="N16" s="88">
        <f>ROUND(SUMPRODUCT(M6:M14,N6:N14)/M16,3)</f>
        <v>0.73</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3163">
        <f>Q16/B20</f>
        <v>0.08</v>
      </c>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2.5</v>
      </c>
      <c r="C20" s="2561" t="s">
        <v>2291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 (元)'!C8</f>
        <v>119284</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0.03</v>
      </c>
      <c r="C37" s="2564" t="s">
        <v>3374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0.03</v>
      </c>
      <c r="C38" s="2564" t="s">
        <v>3375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v>0</v>
      </c>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24</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184</v>
      </c>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58" t="s">
        <v>2277</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5" t="s">
        <v>2254</v>
      </c>
      <c r="C4" s="2268"/>
      <c r="D4" s="2265"/>
      <c r="E4" s="2269"/>
      <c r="F4" s="1280" t="s">
        <v>2255</v>
      </c>
      <c r="G4" s="2270"/>
      <c r="H4" s="750"/>
      <c r="I4" s="750"/>
      <c r="J4" s="750"/>
      <c r="K4" s="750"/>
      <c r="L4" s="750"/>
      <c r="M4" s="750"/>
      <c r="N4" s="750"/>
      <c r="O4" s="750"/>
      <c r="P4" s="750"/>
      <c r="Q4" s="750"/>
    </row>
    <row r="5" spans="1:29">
      <c r="A5" s="2247"/>
      <c r="B5" s="315" t="s">
        <v>2256</v>
      </c>
      <c r="C5" s="2268"/>
      <c r="D5" s="2265"/>
      <c r="E5" s="2269"/>
      <c r="F5" s="315" t="s">
        <v>2257</v>
      </c>
      <c r="G5" s="2270"/>
      <c r="H5" s="750"/>
      <c r="I5" s="750"/>
      <c r="J5" s="750"/>
      <c r="K5" s="750"/>
      <c r="L5" s="750"/>
      <c r="M5" s="750"/>
      <c r="N5" s="750"/>
      <c r="O5" s="750"/>
      <c r="P5" s="750"/>
      <c r="Q5" s="750"/>
    </row>
    <row r="6" spans="1:29">
      <c r="A6" s="2247"/>
      <c r="B6" s="315" t="s">
        <v>2258</v>
      </c>
      <c r="C6" s="2270"/>
      <c r="D6" s="2265"/>
      <c r="E6" s="2269"/>
      <c r="F6" s="315" t="s">
        <v>2259</v>
      </c>
      <c r="G6" s="2270"/>
      <c r="H6" s="750"/>
      <c r="I6" s="750"/>
      <c r="J6" s="750"/>
      <c r="K6" s="750"/>
      <c r="L6" s="750"/>
      <c r="M6" s="750"/>
      <c r="N6" s="750"/>
      <c r="O6" s="750"/>
      <c r="P6" s="750"/>
      <c r="Q6" s="750"/>
    </row>
    <row r="7" spans="1:29" ht="15" thickBot="1">
      <c r="A7" s="2247"/>
      <c r="B7" s="315" t="s">
        <v>2257</v>
      </c>
      <c r="C7" s="2270"/>
      <c r="D7" s="2244"/>
      <c r="E7" s="2271"/>
      <c r="F7" s="2272" t="s">
        <v>2260</v>
      </c>
      <c r="G7" s="2273"/>
      <c r="H7" s="750"/>
      <c r="I7" s="750"/>
      <c r="J7" s="750"/>
      <c r="K7" s="750"/>
      <c r="L7" s="750"/>
      <c r="M7" s="750"/>
      <c r="N7" s="750"/>
      <c r="O7" s="750"/>
      <c r="P7" s="750"/>
      <c r="Q7" s="750"/>
    </row>
    <row r="8" spans="1:29">
      <c r="A8" s="2247"/>
      <c r="B8" s="315" t="s">
        <v>2259</v>
      </c>
      <c r="C8" s="2270"/>
      <c r="D8" s="2244"/>
      <c r="E8" s="2244"/>
      <c r="F8" s="121"/>
      <c r="G8" s="121"/>
      <c r="H8" s="750"/>
      <c r="I8" s="750"/>
      <c r="J8" s="750"/>
      <c r="K8" s="750"/>
      <c r="L8" s="750"/>
      <c r="M8" s="750"/>
      <c r="N8" s="750"/>
      <c r="O8" s="750"/>
      <c r="P8" s="750"/>
      <c r="Q8" s="750"/>
    </row>
    <row r="9" spans="1:29">
      <c r="A9" s="2247"/>
      <c r="B9" s="315" t="s">
        <v>2261</v>
      </c>
      <c r="C9" s="2268"/>
      <c r="D9" s="2265"/>
      <c r="E9" s="2244"/>
      <c r="F9" s="121"/>
      <c r="G9" s="121"/>
      <c r="H9" s="750"/>
      <c r="I9" s="750"/>
      <c r="J9" s="750"/>
      <c r="K9" s="750"/>
      <c r="L9" s="750"/>
      <c r="M9" s="750"/>
      <c r="N9" s="750"/>
      <c r="O9" s="750"/>
      <c r="P9" s="750"/>
      <c r="Q9" s="750"/>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596.42000000000007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45768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2349</v>
      </c>
      <c r="C5" s="2299">
        <f ca="1">IF(B5=D14,结果表!H102,ROUND(B5*10000/$B$1,0))</f>
        <v>39385</v>
      </c>
      <c r="D5" s="2299" t="e">
        <f ca="1">ROUND(B5*10000/$B$2,0)</f>
        <v>#DIV/0!</v>
      </c>
      <c r="E5" s="2461"/>
      <c r="F5" s="2462"/>
      <c r="G5" s="2462"/>
      <c r="H5" s="2462"/>
      <c r="I5" s="2462"/>
      <c r="J5" s="2462"/>
      <c r="K5" s="2462"/>
    </row>
    <row r="6" spans="1:11" ht="16.5">
      <c r="A6" s="2299" t="s">
        <v>656</v>
      </c>
      <c r="B6" s="2299">
        <f ca="1">SUM(G14:G23)</f>
        <v>2349</v>
      </c>
      <c r="C6" s="2299">
        <f ca="1">IF(B6=G14,结果表!H108,ROUND(B6*10000/$B$1,0))</f>
        <v>39385</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6"/>
      <c r="F10" s="3140" t="s">
        <v>3348</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596.42000000000007</v>
      </c>
      <c r="C14" s="2305"/>
      <c r="D14" s="2305">
        <f ca="1">结果表!G19</f>
        <v>2349</v>
      </c>
      <c r="E14" s="2305">
        <f ca="1">ROUND(D14*10000/B14,0)</f>
        <v>39385</v>
      </c>
      <c r="F14" s="2305" t="e">
        <f ca="1">ROUND(D14*10000/C14,0)</f>
        <v>#DIV/0!</v>
      </c>
      <c r="G14" s="2305">
        <f ca="1">D14</f>
        <v>2349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90" zoomScaleNormal="100" zoomScaleSheetLayoutView="90" zoomScalePageLayoutView="80" workbookViewId="0">
      <selection activeCell="J21" sqref="J21"/>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27" t="str">
        <f>项目基本情况!S2</f>
        <v>北京市房地产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3" t="s">
        <v>1265</v>
      </c>
      <c r="B4" s="1624" t="s">
        <v>1266</v>
      </c>
      <c r="C4" s="1625" t="s">
        <v>3461</v>
      </c>
      <c r="D4" s="1625" t="s">
        <v>3414</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5" t="s">
        <v>1268</v>
      </c>
      <c r="B5" s="3330">
        <v>25</v>
      </c>
      <c r="C5" s="3333"/>
      <c r="D5" s="3321"/>
      <c r="E5" s="123" t="s">
        <v>1269</v>
      </c>
      <c r="F5" s="1626"/>
      <c r="G5" s="1626"/>
      <c r="H5" s="1626"/>
      <c r="I5" s="1280"/>
    </row>
    <row r="6" spans="1:12" ht="12.75">
      <c r="A6" s="3275"/>
      <c r="B6" s="3330"/>
      <c r="C6" s="3335"/>
      <c r="D6" s="3321"/>
      <c r="E6" s="123" t="s">
        <v>1270</v>
      </c>
      <c r="F6" s="1626"/>
      <c r="G6" s="1626"/>
      <c r="H6" s="1626"/>
      <c r="I6" s="1280"/>
    </row>
    <row r="7" spans="1:12" ht="12.75">
      <c r="A7" s="3275"/>
      <c r="B7" s="3330"/>
      <c r="C7" s="3334"/>
      <c r="D7" s="3321"/>
      <c r="E7" s="123" t="s">
        <v>1271</v>
      </c>
      <c r="F7" s="1626"/>
      <c r="G7" s="1626"/>
      <c r="H7" s="1626"/>
      <c r="I7" s="1280"/>
    </row>
    <row r="8" spans="1:12" ht="12.75">
      <c r="A8" s="3275" t="s">
        <v>1272</v>
      </c>
      <c r="B8" s="3330">
        <v>15</v>
      </c>
      <c r="C8" s="3333"/>
      <c r="D8" s="3321"/>
      <c r="E8" s="123" t="s">
        <v>1273</v>
      </c>
      <c r="F8" s="1626"/>
      <c r="G8" s="1626"/>
      <c r="H8" s="1626"/>
      <c r="I8" s="1280"/>
    </row>
    <row r="9" spans="1:12" ht="12.75">
      <c r="A9" s="3275"/>
      <c r="B9" s="3330"/>
      <c r="C9" s="3334"/>
      <c r="D9" s="3321"/>
      <c r="E9" s="123" t="s">
        <v>1274</v>
      </c>
      <c r="F9" s="1626"/>
      <c r="G9" s="1626"/>
      <c r="H9" s="1626"/>
      <c r="I9" s="1280"/>
    </row>
    <row r="10" spans="1:12" ht="12.75">
      <c r="A10" s="3275" t="s">
        <v>1275</v>
      </c>
      <c r="B10" s="3330">
        <v>15</v>
      </c>
      <c r="C10" s="3333"/>
      <c r="D10" s="3321"/>
      <c r="E10" s="123" t="s">
        <v>1276</v>
      </c>
      <c r="F10" s="1626"/>
      <c r="G10" s="1626"/>
      <c r="H10" s="1626"/>
      <c r="I10" s="1280"/>
    </row>
    <row r="11" spans="1:12" ht="12.75">
      <c r="A11" s="3275"/>
      <c r="B11" s="3330"/>
      <c r="C11" s="3334"/>
      <c r="D11" s="3321"/>
      <c r="E11" s="123" t="s">
        <v>1277</v>
      </c>
      <c r="F11" s="1626"/>
      <c r="G11" s="1626"/>
      <c r="H11" s="1626"/>
      <c r="I11" s="1280"/>
    </row>
    <row r="12" spans="1:12" ht="12.75">
      <c r="A12" s="3275" t="s">
        <v>1278</v>
      </c>
      <c r="B12" s="3330">
        <v>15</v>
      </c>
      <c r="C12" s="3333"/>
      <c r="D12" s="3321"/>
      <c r="E12" s="123" t="s">
        <v>1279</v>
      </c>
      <c r="F12" s="1626"/>
      <c r="G12" s="1626"/>
      <c r="H12" s="1626"/>
      <c r="I12" s="1280"/>
    </row>
    <row r="13" spans="1:12" ht="12.75">
      <c r="A13" s="3275"/>
      <c r="B13" s="3330"/>
      <c r="C13" s="3334"/>
      <c r="D13" s="3321"/>
      <c r="E13" s="123" t="s">
        <v>1280</v>
      </c>
      <c r="F13" s="1626"/>
      <c r="G13" s="1626"/>
      <c r="H13" s="1626"/>
      <c r="I13" s="1280"/>
    </row>
    <row r="14" spans="1:12" ht="12.75">
      <c r="A14" s="3275" t="s">
        <v>1281</v>
      </c>
      <c r="B14" s="3330">
        <v>30</v>
      </c>
      <c r="C14" s="3333">
        <v>7</v>
      </c>
      <c r="D14" s="3321">
        <v>3</v>
      </c>
      <c r="E14" s="123" t="s">
        <v>1282</v>
      </c>
      <c r="F14" s="1626"/>
      <c r="G14" s="1626"/>
      <c r="H14" s="1626"/>
      <c r="I14" s="1280"/>
    </row>
    <row r="15" spans="1:12" ht="12.75">
      <c r="A15" s="3275"/>
      <c r="B15" s="3330"/>
      <c r="C15" s="3335"/>
      <c r="D15" s="3321"/>
      <c r="E15" s="123" t="s">
        <v>1283</v>
      </c>
      <c r="F15" s="1626"/>
      <c r="G15" s="1626"/>
      <c r="H15" s="1626"/>
      <c r="I15" s="1280"/>
    </row>
    <row r="16" spans="1:12" ht="12.75">
      <c r="A16" s="3275"/>
      <c r="B16" s="3330"/>
      <c r="C16" s="3334"/>
      <c r="D16" s="3321"/>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52" t="s">
        <v>2131</v>
      </c>
      <c r="F18" s="3353"/>
      <c r="G18" s="3353"/>
      <c r="H18" s="3353"/>
      <c r="I18" s="3353"/>
      <c r="K18" s="294" t="s">
        <v>1289</v>
      </c>
      <c r="L18" s="294">
        <f>IF(C1="",'数据-汇总表'!E3,SUMIF(项目类型,C1,'数据-汇总表'!E17:E26)+SUMIF(项目类型,C1,'数据-汇总表'!I17:I26))</f>
        <v>596.42000000000007</v>
      </c>
      <c r="M18" s="294">
        <f>IF(C1="",'数据-汇总表'!E3,SUMIF(项目类型,C1,'数据-汇总表'!E17:E26))</f>
        <v>596.42000000000007</v>
      </c>
    </row>
    <row r="19" spans="1:36" ht="15">
      <c r="A19" s="1629" t="s">
        <v>1290</v>
      </c>
      <c r="B19" s="1630" t="s">
        <v>1291</v>
      </c>
      <c r="C19" s="126">
        <f ca="1">SUMIF(INDIRECT("'"&amp;C4&amp;"'"&amp;"!A:A"),结果表!B19,INDIRECT("'"&amp;C4&amp;"'"&amp;"!B:B"))</f>
        <v>2770.6691000000001</v>
      </c>
      <c r="D19" s="127">
        <f ca="1">SUMIF(INDIRECT("'"&amp;D4&amp;"'"&amp;"!A:A"),结果表!B19,INDIRECT("'"&amp;D4&amp;"'"&amp;"!B:B"))</f>
        <v>1366.4566</v>
      </c>
      <c r="E19" s="1629" t="s">
        <v>1292</v>
      </c>
      <c r="F19" s="1630" t="s">
        <v>1291</v>
      </c>
      <c r="G19" s="128">
        <f ca="1">ROUND(C19*$C$18+D19*$D$18,0)</f>
        <v>2349</v>
      </c>
      <c r="H19" s="1631" t="s">
        <v>1293</v>
      </c>
      <c r="I19" s="121">
        <f ca="1">ROUND(G20*L18,0)</f>
        <v>23494177</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46455</v>
      </c>
      <c r="D20" s="130">
        <f ca="1">SUMIF(INDIRECT("'"&amp;D4&amp;"'"&amp;"!A:A"),结果表!B20,INDIRECT("'"&amp;D4&amp;"'"&amp;"!B:B"))</f>
        <v>22911</v>
      </c>
      <c r="E20" s="1632"/>
      <c r="F20" s="43" t="s">
        <v>1295</v>
      </c>
      <c r="G20" s="131">
        <f ca="1">ROUND(C20*$C$18+D20*$D$18,0)</f>
        <v>39392</v>
      </c>
      <c r="H20" s="759" t="s">
        <v>1296</v>
      </c>
      <c r="I20" s="121"/>
      <c r="J20" s="683">
        <f ca="1">I19</f>
        <v>23494177</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c r="J21" s="683" t="str">
        <f ca="1">NUMBERSTRING(INT(J20),2)&amp;"元整"</f>
        <v>贰仟叁佰肆拾玖万肆仟壹佰柒拾柒元整</v>
      </c>
    </row>
    <row r="22" spans="1:36" ht="15" thickBot="1">
      <c r="A22" s="1563" t="s">
        <v>1298</v>
      </c>
      <c r="B22" s="1634"/>
      <c r="C22" s="1635"/>
      <c r="D22" s="679">
        <f ca="1">IF(C19&lt;D19,D19/C19-1,C19/D19-1)</f>
        <v>1.0276305153050598</v>
      </c>
      <c r="E22" s="121"/>
      <c r="F22" s="121"/>
      <c r="G22" s="121"/>
      <c r="H22" s="121"/>
      <c r="I22" s="121"/>
    </row>
    <row r="23" spans="1:36" ht="13.5" thickBot="1">
      <c r="A23" s="645"/>
      <c r="B23" s="645"/>
      <c r="C23" s="645"/>
      <c r="D23" s="645"/>
      <c r="E23" s="121"/>
      <c r="F23" s="121"/>
      <c r="G23" s="121"/>
      <c r="H23" s="121"/>
      <c r="I23" s="121"/>
    </row>
    <row r="24" spans="1:36" ht="14.25">
      <c r="A24" s="3345" t="s">
        <v>1299</v>
      </c>
      <c r="B24" s="1630" t="s">
        <v>1291</v>
      </c>
      <c r="C24" s="128">
        <f>IF(B30=0,0,D30)</f>
        <v>0</v>
      </c>
      <c r="D24" s="1636"/>
      <c r="E24" s="121"/>
      <c r="F24" s="121"/>
      <c r="G24" s="121"/>
      <c r="H24" s="121"/>
      <c r="I24" s="121"/>
    </row>
    <row r="25" spans="1:36" ht="14.25">
      <c r="A25" s="334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2349</v>
      </c>
      <c r="D32" s="1640" t="s">
        <v>3462</v>
      </c>
      <c r="E32" s="121"/>
      <c r="F32" s="121"/>
      <c r="G32" s="121"/>
      <c r="H32" s="121"/>
      <c r="I32" s="121"/>
    </row>
    <row r="33" spans="1:15" ht="15">
      <c r="A33" s="739" t="s">
        <v>1306</v>
      </c>
      <c r="B33" s="123"/>
      <c r="C33" s="1641" t="s">
        <v>3463</v>
      </c>
      <c r="D33" s="1642" t="s">
        <v>3414</v>
      </c>
      <c r="E33" s="1643" t="s">
        <v>1307</v>
      </c>
      <c r="F33" s="1644" t="str">
        <f>IF(D32="楼面单价","取值（单价）","取值（总价）")</f>
        <v>取值（总价）</v>
      </c>
      <c r="G33" s="121"/>
      <c r="H33" s="121"/>
      <c r="I33" s="121"/>
    </row>
    <row r="34" spans="1:15" ht="15">
      <c r="A34" s="1645"/>
      <c r="B34" s="1646" t="s">
        <v>1308</v>
      </c>
      <c r="C34" s="140">
        <f ca="1">IF(C33="自定义",F34,C32-C35)</f>
        <v>1863</v>
      </c>
      <c r="D34" s="807">
        <f ca="1">IF(C33="自定义",ROUND(C34/C32,3),IF(C33="收益比率",SUMIF(INDIRECT("'"&amp;D33&amp;"'"&amp;"!b:b"),"土地收益比率",INDIRECT("'"&amp;D33&amp;"'"&amp;"!c:c")),SUMIF(INDIRECT("'"&amp;D33&amp;"'"&amp;"!b:b"),"土地成本比率",INDIRECT("'"&amp;D33&amp;"'"&amp;"!c:c"))))</f>
        <v>0.79300000000000004</v>
      </c>
      <c r="E34" s="1647" t="s">
        <v>1309</v>
      </c>
      <c r="F34" s="1242"/>
      <c r="G34" s="121"/>
      <c r="H34" s="121"/>
      <c r="I34" s="121"/>
    </row>
    <row r="35" spans="1:15" ht="15.75" thickBot="1">
      <c r="A35" s="1648"/>
      <c r="B35" s="1649" t="s">
        <v>1310</v>
      </c>
      <c r="C35" s="1089">
        <f ca="1">IF(C33="自定义",F35,ROUND(C32*D35,0))</f>
        <v>486</v>
      </c>
      <c r="D35" s="1090">
        <f ca="1">IF(C33="自定义",ROUND(C35/C32,3),IF(C33="收益比率",SUMIF(INDIRECT("'"&amp;D33&amp;"'"&amp;"!b:b"),"建筑物收益比率",INDIRECT("'"&amp;D33&amp;"'"&amp;"!c:c")),SUMIF(INDIRECT("'"&amp;D33&amp;"'"&amp;"!b:b"),"建筑物成本比率",INDIRECT("'"&amp;D33&amp;"'"&amp;"!c:c"))))</f>
        <v>0.20699999999999999</v>
      </c>
      <c r="E35" s="1650" t="s">
        <v>1311</v>
      </c>
      <c r="F35" s="146"/>
      <c r="G35" s="121"/>
      <c r="H35" s="121"/>
      <c r="I35" s="121"/>
    </row>
    <row r="36" spans="1:15" ht="15.75" thickBot="1">
      <c r="A36" s="3322" t="s">
        <v>1312</v>
      </c>
      <c r="B36" s="1651" t="s">
        <v>1313</v>
      </c>
      <c r="C36" s="137"/>
      <c r="D36" s="1652"/>
      <c r="E36" s="1566"/>
      <c r="F36" s="1653"/>
      <c r="G36" s="121"/>
      <c r="H36" s="121"/>
      <c r="I36" s="121"/>
    </row>
    <row r="37" spans="1:15" ht="15.75" thickBot="1">
      <c r="A37" s="3323"/>
      <c r="B37" s="1554" t="s">
        <v>1314</v>
      </c>
      <c r="C37" s="139"/>
      <c r="D37" s="1070"/>
      <c r="E37" s="1070"/>
      <c r="F37" s="1653"/>
      <c r="G37" s="121"/>
      <c r="H37" s="121"/>
      <c r="I37" s="121"/>
    </row>
    <row r="38" spans="1:15" ht="15.75" thickBot="1">
      <c r="A38" s="3324"/>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2" t="s">
        <v>1326</v>
      </c>
      <c r="B45" s="3343"/>
      <c r="C45" s="3344"/>
      <c r="D45" s="147">
        <f ca="1">ROUND(H101*F45,0)</f>
        <v>2349</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7"/>
      <c r="I46" s="151"/>
      <c r="J46" s="2309">
        <v>1</v>
      </c>
      <c r="K46" s="3263" t="s">
        <v>1331</v>
      </c>
      <c r="L46" s="3263"/>
      <c r="M46" s="3264"/>
      <c r="N46" s="3264"/>
      <c r="O46" s="3264"/>
    </row>
    <row r="47" spans="1:15" ht="12" customHeight="1">
      <c r="A47" s="152" t="s">
        <v>1332</v>
      </c>
      <c r="B47" s="153"/>
      <c r="C47" s="154"/>
      <c r="D47" s="1023" t="s">
        <v>1333</v>
      </c>
      <c r="E47" s="294" t="s">
        <v>1334</v>
      </c>
      <c r="F47" s="155" t="s">
        <v>1335</v>
      </c>
      <c r="G47" s="2332" t="s">
        <v>1336</v>
      </c>
      <c r="H47" s="2333"/>
      <c r="I47" s="151"/>
      <c r="J47" s="2309">
        <v>2</v>
      </c>
      <c r="K47" s="3263" t="s">
        <v>1337</v>
      </c>
      <c r="L47" s="3263"/>
      <c r="M47" s="3265">
        <f>'数据-取费表'!B2</f>
        <v>45768</v>
      </c>
      <c r="N47" s="3265"/>
      <c r="O47" s="3265"/>
    </row>
    <row r="48" spans="1:15" ht="25.5">
      <c r="A48" s="3325" t="s">
        <v>1338</v>
      </c>
      <c r="B48" s="3326"/>
      <c r="C48" s="3326"/>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63" t="s">
        <v>1340</v>
      </c>
      <c r="L48" s="3263"/>
      <c r="M48" s="3266">
        <f ca="1">H101</f>
        <v>2349</v>
      </c>
      <c r="N48" s="3266"/>
      <c r="O48" s="3266"/>
    </row>
    <row r="49" spans="1:35" ht="25.5" customHeight="1">
      <c r="A49" s="2151" t="s">
        <v>1341</v>
      </c>
      <c r="B49" s="3311" t="s">
        <v>1342</v>
      </c>
      <c r="C49" s="3311"/>
      <c r="D49" s="1477">
        <v>0</v>
      </c>
      <c r="E49" s="316" t="s">
        <v>1343</v>
      </c>
      <c r="F49" s="2232" t="s">
        <v>28</v>
      </c>
      <c r="G49" s="3294"/>
      <c r="H49" s="2133" t="s">
        <v>2134</v>
      </c>
      <c r="I49" s="2134"/>
      <c r="J49" s="2309">
        <v>4</v>
      </c>
      <c r="K49" s="3263" t="str">
        <f>IF(项目基本情况!E8="房地产抵押价值","房地产抵押价值","抵押担保权已注销时的房地产抵押价值")</f>
        <v>房地产抵押价值</v>
      </c>
      <c r="L49" s="3263"/>
      <c r="M49" s="3266">
        <f ca="1">IF(项目基本情况!E8="房地产抵押价值",H107,H109)</f>
        <v>2349</v>
      </c>
      <c r="N49" s="3266"/>
      <c r="O49" s="3266"/>
    </row>
    <row r="50" spans="1:35" ht="25.5" customHeight="1">
      <c r="A50" s="2337"/>
      <c r="B50" s="3311" t="s">
        <v>1344</v>
      </c>
      <c r="C50" s="3311"/>
      <c r="D50" s="2188"/>
      <c r="E50" s="323"/>
      <c r="F50" s="2232"/>
      <c r="G50" s="3295"/>
      <c r="H50" s="2135" t="s">
        <v>2135</v>
      </c>
      <c r="I50" s="2134"/>
      <c r="J50" s="3262" t="s">
        <v>1345</v>
      </c>
      <c r="K50" s="3262"/>
      <c r="L50" s="3262"/>
      <c r="M50" s="3262"/>
      <c r="N50" s="3262"/>
      <c r="O50" s="3262"/>
    </row>
    <row r="51" spans="1:35" ht="20.45" customHeight="1">
      <c r="A51" s="2338"/>
      <c r="B51" s="3311" t="s">
        <v>1346</v>
      </c>
      <c r="C51" s="3311"/>
      <c r="D51" s="1023"/>
      <c r="E51" s="319"/>
      <c r="F51" s="2232"/>
      <c r="G51" s="3296"/>
      <c r="H51" s="2135" t="s">
        <v>2136</v>
      </c>
      <c r="I51" s="2134"/>
      <c r="J51" s="2310" t="s">
        <v>1347</v>
      </c>
      <c r="K51" s="3263" t="s">
        <v>1348</v>
      </c>
      <c r="L51" s="3263"/>
      <c r="M51" s="2310" t="s">
        <v>1349</v>
      </c>
      <c r="N51" s="2310" t="s">
        <v>1350</v>
      </c>
      <c r="O51" s="2310" t="s">
        <v>1351</v>
      </c>
    </row>
    <row r="52" spans="1:35" ht="24" customHeight="1">
      <c r="A52" s="2152" t="s">
        <v>1352</v>
      </c>
      <c r="B52" s="3311" t="s">
        <v>1353</v>
      </c>
      <c r="C52" s="3311"/>
      <c r="D52" s="1023">
        <f ca="1">ROUND(D45*'数据-取费表'!B41/(1+'数据-取费表'!C42),0)</f>
        <v>125</v>
      </c>
      <c r="E52" s="1255" t="s">
        <v>1354</v>
      </c>
      <c r="F52" s="2339">
        <f>'数据-取费表'!B41</f>
        <v>5.6000000000000001E-2</v>
      </c>
      <c r="G52" s="2340"/>
      <c r="H52" s="2330"/>
      <c r="I52" s="1668"/>
      <c r="J52" s="2309">
        <v>1</v>
      </c>
      <c r="K52" s="3288" t="s">
        <v>1355</v>
      </c>
      <c r="L52" s="3288"/>
      <c r="M52" s="2311" t="b">
        <f>D48</f>
        <v>0</v>
      </c>
      <c r="N52" s="2309" t="str">
        <f>E48</f>
        <v>销售额×税（费）率</v>
      </c>
      <c r="O52" s="2312">
        <f>F48</f>
        <v>5.6000000000000001E-2</v>
      </c>
    </row>
    <row r="53" spans="1:35" ht="12" customHeight="1">
      <c r="A53" s="2152" t="s">
        <v>1356</v>
      </c>
      <c r="B53" s="3312" t="s">
        <v>2282</v>
      </c>
      <c r="C53" s="3313"/>
      <c r="D53" s="1023">
        <f ca="1">ROUND(D45*'数据-取费表'!B41/(1+'数据-取费表'!C42),0)</f>
        <v>125</v>
      </c>
      <c r="E53" s="1255" t="s">
        <v>1354</v>
      </c>
      <c r="F53" s="2339">
        <f>'数据-取费表'!B41</f>
        <v>5.6000000000000001E-2</v>
      </c>
      <c r="G53" s="2340"/>
      <c r="H53" s="2330"/>
      <c r="I53" s="1668"/>
      <c r="J53" s="2309">
        <v>2</v>
      </c>
      <c r="K53" s="3288" t="s">
        <v>1357</v>
      </c>
      <c r="L53" s="3288"/>
      <c r="M53" s="2311">
        <f t="shared" ref="M53:O54" ca="1" si="0">D55</f>
        <v>1</v>
      </c>
      <c r="N53" s="2309" t="str">
        <f t="shared" si="0"/>
        <v>销售额×税（费）率</v>
      </c>
      <c r="O53" s="2312" t="str">
        <f t="shared" si="0"/>
        <v>免征</v>
      </c>
    </row>
    <row r="54" spans="1:35" ht="12" customHeight="1">
      <c r="A54" s="2152" t="s">
        <v>1358</v>
      </c>
      <c r="B54" s="3312" t="s">
        <v>2283</v>
      </c>
      <c r="C54" s="3313"/>
      <c r="D54" s="1023">
        <f ca="1">C68</f>
        <v>125</v>
      </c>
      <c r="E54" s="319" t="s">
        <v>1359</v>
      </c>
      <c r="F54" s="2339">
        <f>'数据-取费表'!B41</f>
        <v>5.6000000000000001E-2</v>
      </c>
      <c r="G54" s="2340"/>
      <c r="H54" s="2341"/>
      <c r="I54" s="1668"/>
      <c r="J54" s="2309">
        <v>3</v>
      </c>
      <c r="K54" s="3288" t="s">
        <v>1360</v>
      </c>
      <c r="L54" s="3288"/>
      <c r="M54" s="2311">
        <f t="shared" ca="1" si="0"/>
        <v>1330</v>
      </c>
      <c r="N54" s="2309" t="str">
        <f t="shared" si="0"/>
        <v>增值额×税（费）率</v>
      </c>
      <c r="O54" s="2313" t="str">
        <f t="shared" si="0"/>
        <v>免征</v>
      </c>
    </row>
    <row r="55" spans="1:35" ht="24" customHeight="1">
      <c r="A55" s="3348" t="s">
        <v>1361</v>
      </c>
      <c r="B55" s="3326"/>
      <c r="C55" s="3326"/>
      <c r="D55" s="12">
        <f ca="1">IF(H55="个人住宅",0,ROUND(D45*I55,0))</f>
        <v>1</v>
      </c>
      <c r="E55" s="1255" t="s">
        <v>1362</v>
      </c>
      <c r="F55" s="2339" t="str">
        <f>IF(H55="正常",I55,"免征")</f>
        <v>免征</v>
      </c>
      <c r="G55" s="2340"/>
      <c r="H55" s="2336"/>
      <c r="I55" s="157">
        <f>'数据-取费表'!B49</f>
        <v>5.0000000000000001E-4</v>
      </c>
      <c r="J55" s="2309">
        <f>IF(H59="非个人房产","",4)</f>
        <v>4</v>
      </c>
      <c r="K55" s="3288" t="str">
        <f>IF(H59="非个人房产","——","个人所得税")</f>
        <v>个人所得税</v>
      </c>
      <c r="L55" s="3288"/>
      <c r="M55" s="2314">
        <f ca="1">D59</f>
        <v>22</v>
      </c>
      <c r="N55" s="1882" t="str">
        <f>E59</f>
        <v>差额计税</v>
      </c>
      <c r="O55" s="2315">
        <f>F59</f>
        <v>0.01</v>
      </c>
    </row>
    <row r="56" spans="1:35" ht="24.75">
      <c r="A56" s="3348" t="s">
        <v>1363</v>
      </c>
      <c r="B56" s="3326"/>
      <c r="C56" s="3326"/>
      <c r="D56" s="12">
        <f ca="1">IF(H56="个人住宅",D57,D58)</f>
        <v>1330</v>
      </c>
      <c r="E56" s="1255" t="s">
        <v>1364</v>
      </c>
      <c r="F56" s="2339" t="str">
        <f>IF(H56="正常",F58,"免征")</f>
        <v>免征</v>
      </c>
      <c r="G56" s="2342" t="s">
        <v>1365</v>
      </c>
      <c r="H56" s="2343"/>
      <c r="I56" s="1669"/>
      <c r="J56" s="2309" t="str">
        <f>IF(项目基本情况!K6="上海银行",IF(J55="",4,J55+1),"")</f>
        <v/>
      </c>
      <c r="K56" s="3269" t="str">
        <f>IF(项目基本情况!K6="上海银行","其他处置费用","")</f>
        <v/>
      </c>
      <c r="L56" s="3270"/>
      <c r="M56" s="2311" t="str">
        <f>IF(项目基本情况!K6="上海银行",M69,"")</f>
        <v/>
      </c>
      <c r="N56" s="3269" t="str">
        <f>IF(项目基本情况!K6="上海银行","包含处置中涉及的律师、诉讼、拍卖、评估等费用","")</f>
        <v/>
      </c>
      <c r="O56" s="3272"/>
    </row>
    <row r="57" spans="1:35" ht="12.75">
      <c r="A57" s="2152" t="s">
        <v>1341</v>
      </c>
      <c r="B57" s="3312" t="s">
        <v>1366</v>
      </c>
      <c r="C57" s="3313"/>
      <c r="D57" s="1477">
        <v>0</v>
      </c>
      <c r="E57" s="316" t="s">
        <v>1343</v>
      </c>
      <c r="F57" s="294"/>
      <c r="G57" s="2340"/>
      <c r="H57" s="2344"/>
      <c r="I57" s="1669"/>
      <c r="J57" s="3288">
        <f>IF(AND(J55="",J56=""),4,IF(项目基本情况!K6="上海银行",结果表!J56+1,结果表!J55+1))</f>
        <v>5</v>
      </c>
      <c r="K57" s="3288" t="s">
        <v>1367</v>
      </c>
      <c r="L57" s="2316" t="s">
        <v>1368</v>
      </c>
      <c r="M57" s="2317"/>
      <c r="N57" s="2318">
        <f ca="1">SUMIF(M52:M56,"&lt;9e307")</f>
        <v>1353</v>
      </c>
      <c r="O57" s="2319"/>
      <c r="P57" s="2464">
        <f ca="1">N57/M49</f>
        <v>0.57598978288633462</v>
      </c>
    </row>
    <row r="58" spans="1:35" ht="24.75">
      <c r="A58" s="2152" t="s">
        <v>1352</v>
      </c>
      <c r="B58" s="3312" t="s">
        <v>1369</v>
      </c>
      <c r="C58" s="3311"/>
      <c r="D58" s="12">
        <f ca="1">IF(H58="转让取得",C81,C97)</f>
        <v>1330</v>
      </c>
      <c r="E58" s="1255" t="s">
        <v>1364</v>
      </c>
      <c r="F58" s="294" t="s">
        <v>28</v>
      </c>
      <c r="G58" s="2340"/>
      <c r="H58" s="2343"/>
      <c r="I58" s="1669"/>
      <c r="J58" s="3288"/>
      <c r="K58" s="3288"/>
      <c r="L58" s="2316" t="s">
        <v>1370</v>
      </c>
      <c r="M58" s="2320"/>
      <c r="N58" s="2321" t="str">
        <f ca="1">NUMBERSTRING(INT(N57*10000),2)&amp;"元整"</f>
        <v>壹仟叁佰伍拾叁万元整</v>
      </c>
      <c r="O58" s="2322"/>
    </row>
    <row r="59" spans="1:35" ht="24.75" thickBot="1">
      <c r="A59" s="3292" t="s">
        <v>1371</v>
      </c>
      <c r="B59" s="3293"/>
      <c r="C59" s="3293"/>
      <c r="D59" s="2345">
        <f ca="1">IF(H59="非个人房产","——",IF(H59="个人住宅（满五唯一有凭证）",0,IF(H59="个人其他（无凭证）",ROUND(D45*F59,0),ROUND(C67*F59,0))))</f>
        <v>22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90">
        <f>J57+1</f>
        <v>6</v>
      </c>
      <c r="K59" s="3288" t="s">
        <v>1372</v>
      </c>
      <c r="L59" s="2309" t="s">
        <v>1368</v>
      </c>
      <c r="M59" s="2323"/>
      <c r="N59" s="2324">
        <f ca="1">M49-N57</f>
        <v>996</v>
      </c>
      <c r="O59" s="2325"/>
    </row>
    <row r="60" spans="1:35" ht="12" customHeight="1">
      <c r="A60" s="1670"/>
      <c r="B60" s="645"/>
      <c r="C60" s="645"/>
      <c r="D60" s="645"/>
      <c r="E60" s="1465"/>
      <c r="F60" s="1669"/>
      <c r="G60" s="1669"/>
      <c r="H60" s="151"/>
      <c r="I60" s="121"/>
      <c r="J60" s="3291"/>
      <c r="K60" s="3288"/>
      <c r="L60" s="2316" t="s">
        <v>1370</v>
      </c>
      <c r="M60" s="2320"/>
      <c r="N60" s="2321" t="str">
        <f ca="1">NUMBERSTRING(INT(N59*10000),2)&amp;"元整"</f>
        <v>玖佰玖拾陆万元整</v>
      </c>
      <c r="O60" s="2322"/>
    </row>
    <row r="61" spans="1:35" ht="13.5" thickBot="1">
      <c r="A61" s="3347" t="s">
        <v>1373</v>
      </c>
      <c r="B61" s="3347"/>
      <c r="C61" s="3347"/>
      <c r="D61" s="3347"/>
      <c r="E61" s="3347"/>
      <c r="F61" s="1669"/>
      <c r="G61" s="1669"/>
      <c r="H61" s="151"/>
      <c r="I61" s="121"/>
      <c r="J61" s="2309">
        <f>J59+1</f>
        <v>7</v>
      </c>
      <c r="K61" s="3288" t="s">
        <v>1374</v>
      </c>
      <c r="L61" s="3288"/>
      <c r="M61" s="2326"/>
      <c r="N61" s="2327">
        <f ca="1">ROUND(N59*10000/'数据-汇总表'!E3,0)</f>
        <v>16700</v>
      </c>
      <c r="O61" s="2328"/>
    </row>
    <row r="62" spans="1:35" ht="12.75">
      <c r="A62" s="3307" t="s">
        <v>1375</v>
      </c>
      <c r="B62" s="3308"/>
      <c r="C62" s="1864"/>
      <c r="D62" s="1864" t="s">
        <v>1376</v>
      </c>
      <c r="E62" s="158" t="s">
        <v>1377</v>
      </c>
      <c r="F62" s="1669"/>
      <c r="G62" s="1669"/>
      <c r="H62" s="151"/>
      <c r="I62" s="121"/>
    </row>
    <row r="63" spans="1:35" ht="12.75">
      <c r="A63" s="165" t="s">
        <v>330</v>
      </c>
      <c r="B63" s="159" t="s">
        <v>1378</v>
      </c>
      <c r="C63" s="2349">
        <f ca="1">ROUND((C64+C65)/(1+'数据-取费表'!C42),0)</f>
        <v>2237</v>
      </c>
      <c r="D63" s="159"/>
      <c r="E63" s="160"/>
      <c r="F63" s="1669"/>
      <c r="G63" s="1669"/>
      <c r="H63" s="151"/>
      <c r="I63" s="121"/>
      <c r="J63" s="3271" t="s">
        <v>1379</v>
      </c>
      <c r="K63" s="1244" t="s">
        <v>1380</v>
      </c>
      <c r="L63" s="1244">
        <f ca="1">IF(M49&gt;10000,M49*0.5%,IF(AND(M49&gt;1000,M49&lt;=10000),M49*1%,IF(AND(M49&gt;100,M49&lt;=1000),M49*3%,IF(AND(M49&gt;10,M49&lt;=100),M49*5%,M49*8%))))</f>
        <v>23.490000000000002</v>
      </c>
      <c r="M63" s="294">
        <f ca="1">ROUND(L63,1)</f>
        <v>23.5</v>
      </c>
      <c r="N63" s="2329"/>
      <c r="Z63" s="1622"/>
      <c r="AI63" s="1560"/>
    </row>
    <row r="64" spans="1:35" ht="14.25" customHeight="1">
      <c r="A64" s="161" t="s">
        <v>325</v>
      </c>
      <c r="B64" s="162" t="s">
        <v>1381</v>
      </c>
      <c r="C64" s="2350">
        <f ca="1">D45</f>
        <v>2349</v>
      </c>
      <c r="D64" s="162" t="s">
        <v>26</v>
      </c>
      <c r="E64" s="164"/>
      <c r="F64" s="1669"/>
      <c r="G64" s="1669"/>
      <c r="H64" s="151"/>
      <c r="I64" s="121"/>
      <c r="J64" s="3271"/>
      <c r="K64" s="1244" t="s">
        <v>1382</v>
      </c>
      <c r="L64" s="1244">
        <f ca="1">IF(M49&gt;2000,M49*0.5%,IF(AND(M49&gt;1000,M49&lt;=2000),M49*0.6%,IF(AND(M49&gt;500,M49&lt;=1000),M49*0.7%,IF(AND(M49&gt;200,M49&lt;=500),M49*0.8%,IF(AND(M49&gt;100,M49&lt;=200),M49*0.9%,IF(AND(M49&gt;50,M49&lt;=100),M49*1%,IF(AND(M49&gt;20,M49&lt;=50),M49*1.5%,IF(AND(M49&gt;10,M49&lt;=20),M49*2%,IF(AND(M49&gt;1,M49&lt;=10),M49*2.5%)))))))))</f>
        <v>11.745000000000001</v>
      </c>
      <c r="M64" s="294">
        <f t="shared" ref="M64:M65" ca="1" si="1">ROUND(L64,1)</f>
        <v>11.7</v>
      </c>
      <c r="N64" s="2330" t="s">
        <v>1383</v>
      </c>
      <c r="Z64" s="1622"/>
      <c r="AI64" s="1560"/>
    </row>
    <row r="65" spans="1:35" ht="14.25" customHeight="1">
      <c r="A65" s="161" t="s">
        <v>326</v>
      </c>
      <c r="B65" s="162" t="s">
        <v>1384</v>
      </c>
      <c r="C65" s="2351"/>
      <c r="D65" s="162"/>
      <c r="E65" s="164"/>
      <c r="F65" s="1669"/>
      <c r="G65" s="1669"/>
      <c r="H65" s="151"/>
      <c r="I65" s="121"/>
      <c r="J65" s="3271"/>
      <c r="K65" s="1244" t="s">
        <v>1385</v>
      </c>
      <c r="L65" s="1244">
        <f ca="1">IF(M49&gt;1000,M49*0.1%,IF(AND(M49&gt;500,M49&lt;=1000),M49*0.5%,IF(AND(M49&gt;50,M49&lt;=500),M49*1%,IF(AND(M49&gt;1,M49&lt;=50),M49*1.5%))))</f>
        <v>2.3490000000000002</v>
      </c>
      <c r="M65" s="294">
        <f t="shared" ca="1" si="1"/>
        <v>2.2999999999999998</v>
      </c>
      <c r="N65" s="2330" t="s">
        <v>1383</v>
      </c>
      <c r="Z65" s="1622"/>
      <c r="AI65" s="1560"/>
    </row>
    <row r="66" spans="1:35" ht="14.25" customHeight="1">
      <c r="A66" s="165" t="s">
        <v>327</v>
      </c>
      <c r="B66" s="166" t="s">
        <v>1386</v>
      </c>
      <c r="C66" s="2352"/>
      <c r="D66" s="166" t="s">
        <v>26</v>
      </c>
      <c r="E66" s="1250" t="s">
        <v>671</v>
      </c>
      <c r="F66" s="1669"/>
      <c r="G66" s="1669"/>
      <c r="H66" s="151"/>
      <c r="I66" s="121"/>
      <c r="J66" s="3271"/>
      <c r="K66" s="1244" t="s">
        <v>1387</v>
      </c>
      <c r="L66" s="1244">
        <f ca="1">M49*0.5%</f>
        <v>11.745000000000001</v>
      </c>
      <c r="M66" s="294">
        <f ca="1">IF(L66&gt;0.5,0.5,ROUND(L66,0))</f>
        <v>0.5</v>
      </c>
      <c r="N66" s="2330" t="s">
        <v>1388</v>
      </c>
      <c r="Z66" s="1622"/>
      <c r="AI66" s="1560"/>
    </row>
    <row r="67" spans="1:35" ht="14.25" customHeight="1">
      <c r="A67" s="165" t="s">
        <v>328</v>
      </c>
      <c r="B67" s="166" t="s">
        <v>1389</v>
      </c>
      <c r="C67" s="2353">
        <f ca="1">C63-C66</f>
        <v>2237</v>
      </c>
      <c r="D67" s="162" t="s">
        <v>26</v>
      </c>
      <c r="E67" s="164"/>
      <c r="F67" s="1669"/>
      <c r="G67" s="1669"/>
      <c r="H67" s="151"/>
      <c r="I67" s="121"/>
      <c r="J67" s="3271"/>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2"/>
      <c r="AI67" s="1560"/>
    </row>
    <row r="68" spans="1:35" ht="14.25" customHeight="1" thickBot="1">
      <c r="A68" s="168" t="s">
        <v>329</v>
      </c>
      <c r="B68" s="169" t="s">
        <v>1391</v>
      </c>
      <c r="C68" s="2354">
        <f ca="1">IF(C67&lt;=0,0,ROUND(C67*D68,0))</f>
        <v>125</v>
      </c>
      <c r="D68" s="2355">
        <f>'数据-取费表'!B41</f>
        <v>5.6000000000000001E-2</v>
      </c>
      <c r="E68" s="170"/>
      <c r="F68" s="1669"/>
      <c r="G68" s="1669"/>
      <c r="H68" s="151"/>
      <c r="I68" s="121"/>
      <c r="J68" s="3271"/>
      <c r="K68" s="1244" t="s">
        <v>1392</v>
      </c>
      <c r="L68" s="1244">
        <f ca="1">IF(M49&gt;10000,M49*0.5%,IF(AND(M49&gt;5000,M49&lt;=10000),M49*1%,IF(AND(M49&gt;1000,M49&lt;=5000),M49*2%,IF(AND(M49&gt;200,M49&lt;=1000),M49*3%,M49*5%))))</f>
        <v>46.980000000000004</v>
      </c>
      <c r="M68" s="294">
        <f ca="1">ROUND(L68,1)</f>
        <v>47</v>
      </c>
      <c r="N68" s="2329"/>
      <c r="Z68" s="1622"/>
      <c r="AI68" s="1560"/>
    </row>
    <row r="69" spans="1:35" ht="16.5" customHeight="1">
      <c r="A69" s="1671"/>
      <c r="B69" s="1672"/>
      <c r="C69" s="1673"/>
      <c r="D69" s="1674"/>
      <c r="E69" s="1675"/>
      <c r="F69" s="1465"/>
      <c r="G69" s="1465"/>
      <c r="H69" s="1466"/>
      <c r="I69" s="645"/>
      <c r="J69" s="3271"/>
      <c r="K69" s="1244" t="s">
        <v>1393</v>
      </c>
      <c r="L69" s="1244"/>
      <c r="M69" s="294">
        <f ca="1">ROUND(SUM(M63:M68),0)</f>
        <v>87</v>
      </c>
      <c r="N69" s="2331">
        <f ca="1">M69/M49</f>
        <v>3.7037037037037035E-2</v>
      </c>
      <c r="Z69" s="1622"/>
      <c r="AI69" s="1560"/>
    </row>
    <row r="70" spans="1:35" s="641" customFormat="1" ht="15" thickBot="1">
      <c r="A70" s="3315" t="s">
        <v>1394</v>
      </c>
      <c r="B70" s="3316"/>
      <c r="C70" s="3316"/>
      <c r="D70" s="3316"/>
      <c r="E70" s="3316"/>
      <c r="F70" s="3316"/>
      <c r="G70" s="3316"/>
      <c r="H70" s="331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7" t="s">
        <v>1375</v>
      </c>
      <c r="B71" s="330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2237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13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12" t="s">
        <v>1402</v>
      </c>
      <c r="F76" s="3311"/>
      <c r="G76" s="3311"/>
      <c r="H76" s="331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13</v>
      </c>
      <c r="D78" s="2362">
        <f>'数据-取费表'!B43</f>
        <v>6.000000000000001E-3</v>
      </c>
      <c r="E78" s="3304" t="s">
        <v>1406</v>
      </c>
      <c r="F78" s="3305"/>
      <c r="G78" s="3305"/>
      <c r="H78" s="330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2224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171.07692307692307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1330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5" t="s">
        <v>1410</v>
      </c>
      <c r="B83" s="3316"/>
      <c r="C83" s="3316"/>
      <c r="D83" s="3316"/>
      <c r="E83" s="3316"/>
      <c r="F83" s="3316"/>
      <c r="G83" s="3316"/>
      <c r="H83" s="331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7" t="s">
        <v>1375</v>
      </c>
      <c r="B84" s="330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2237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13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73" t="s">
        <v>2129</v>
      </c>
      <c r="H90" s="3274"/>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04" t="s">
        <v>1419</v>
      </c>
      <c r="F91" s="3305"/>
      <c r="G91" s="330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04" t="s">
        <v>1422</v>
      </c>
      <c r="F92" s="3305"/>
      <c r="G92" s="3305"/>
      <c r="H92" s="3306"/>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13</v>
      </c>
      <c r="D93" s="2362">
        <f>'数据-取费表'!B43</f>
        <v>6.000000000000001E-3</v>
      </c>
      <c r="E93" s="3304" t="s">
        <v>1406</v>
      </c>
      <c r="F93" s="3305"/>
      <c r="G93" s="3305"/>
      <c r="H93" s="330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49" t="s">
        <v>1426</v>
      </c>
      <c r="F94" s="3350"/>
      <c r="G94" s="3350"/>
      <c r="H94" s="335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2224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171.07692307692307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1330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70" t="str">
        <f>C4</f>
        <v>比较法-商业</v>
      </c>
      <c r="D101" s="2371" t="str">
        <f>D4</f>
        <v>收益法 (元)</v>
      </c>
      <c r="E101" s="3267" t="s">
        <v>1431</v>
      </c>
      <c r="F101" s="3268"/>
      <c r="G101" s="1686" t="s">
        <v>1432</v>
      </c>
      <c r="H101" s="2380">
        <f ca="1">H118</f>
        <v>2349</v>
      </c>
      <c r="I101" s="121"/>
    </row>
    <row r="102" spans="1:35" ht="18.75" customHeight="1">
      <c r="A102" s="3299" t="s">
        <v>1433</v>
      </c>
      <c r="B102" s="2369" t="s">
        <v>1432</v>
      </c>
      <c r="C102" s="2370">
        <f ca="1">IF(D32="楼面单价",ROUND(C19,0),C19)</f>
        <v>2770.6691000000001</v>
      </c>
      <c r="D102" s="2371">
        <f ca="1">IF(D32="楼面单价",ROUND(D19,0),D19)</f>
        <v>1366.4566</v>
      </c>
      <c r="E102" s="3267"/>
      <c r="F102" s="3268"/>
      <c r="G102" s="1686" t="s">
        <v>1434</v>
      </c>
      <c r="H102" s="2340">
        <f ca="1">I118</f>
        <v>39385</v>
      </c>
      <c r="I102" s="121"/>
    </row>
    <row r="103" spans="1:35" ht="42.75" customHeight="1">
      <c r="A103" s="3299"/>
      <c r="B103" s="2369" t="s">
        <v>1434</v>
      </c>
      <c r="C103" s="2372">
        <f ca="1">C20</f>
        <v>46455</v>
      </c>
      <c r="D103" s="2373">
        <f ca="1">D20</f>
        <v>22911</v>
      </c>
      <c r="E103" s="3260" t="s">
        <v>1435</v>
      </c>
      <c r="F103" s="3261"/>
      <c r="G103" s="1687" t="s">
        <v>1436</v>
      </c>
      <c r="H103" s="2380">
        <f>IF(D36="正常操作",H104+H105+H106,H105+H106)</f>
        <v>0</v>
      </c>
      <c r="I103" s="121"/>
    </row>
    <row r="104" spans="1:35" ht="18.75" customHeight="1">
      <c r="A104" s="3299" t="s">
        <v>1437</v>
      </c>
      <c r="B104" s="2374" t="s">
        <v>1432</v>
      </c>
      <c r="C104" s="2375">
        <f ca="1">H118</f>
        <v>2349</v>
      </c>
      <c r="D104" s="2376"/>
      <c r="E104" s="1554" t="s">
        <v>1438</v>
      </c>
      <c r="F104" s="1547"/>
      <c r="G104" s="1687" t="s">
        <v>1436</v>
      </c>
      <c r="H104" s="2381">
        <f>IF(D36="同一抵押权人同一抵押物续贷",C36&amp;"（续贷，未扣减，详见特别提示）",C36)</f>
        <v>0</v>
      </c>
      <c r="I104" s="121"/>
    </row>
    <row r="105" spans="1:35" ht="18.75" customHeight="1" thickBot="1">
      <c r="A105" s="3309"/>
      <c r="B105" s="2377" t="s">
        <v>1434</v>
      </c>
      <c r="C105" s="2378">
        <f ca="1">I118</f>
        <v>39385</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00" t="str">
        <f>IF(项目基本情况!E8="已注销","——","3.房地产抵押价值")</f>
        <v>3.房地产抵押价值</v>
      </c>
      <c r="F107" s="3268"/>
      <c r="G107" s="1686" t="s">
        <v>1432</v>
      </c>
      <c r="H107" s="2380">
        <f ca="1">IF(E107="——","——",H101-H103)</f>
        <v>2349</v>
      </c>
      <c r="I107" s="121"/>
    </row>
    <row r="108" spans="1:35" ht="18.75" customHeight="1">
      <c r="A108" s="121"/>
      <c r="B108" s="121"/>
      <c r="C108" s="121"/>
      <c r="D108" s="121"/>
      <c r="E108" s="3300"/>
      <c r="F108" s="3268"/>
      <c r="G108" s="1686" t="s">
        <v>1434</v>
      </c>
      <c r="H108" s="2340">
        <f ca="1">IF(H107=H101,H102,ROUND(H107*10000/'数据-汇总表'!E3,0))</f>
        <v>39385</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6" t="s">
        <v>1432</v>
      </c>
      <c r="H109" s="2383" t="str">
        <f>IF(E109="——","——",H101-H105-H106)</f>
        <v>——</v>
      </c>
      <c r="I109" s="121"/>
    </row>
    <row r="110" spans="1:35" ht="18.75" customHeight="1">
      <c r="A110" s="121"/>
      <c r="B110" s="121"/>
      <c r="C110" s="121"/>
      <c r="D110" s="121"/>
      <c r="E110" s="3300"/>
      <c r="F110" s="3268"/>
      <c r="G110" s="1686" t="s">
        <v>1434</v>
      </c>
      <c r="H110" s="2340"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6" t="s">
        <v>1432</v>
      </c>
      <c r="H111" s="2380" t="str">
        <f>IF(E111="——","——",N59)</f>
        <v>——</v>
      </c>
      <c r="I111" s="121"/>
    </row>
    <row r="112" spans="1:35" ht="18.75" customHeight="1" thickBot="1">
      <c r="A112" s="121"/>
      <c r="B112" s="121"/>
      <c r="C112" s="121"/>
      <c r="D112" s="121"/>
      <c r="E112" s="3302"/>
      <c r="F112" s="3303"/>
      <c r="G112" s="1689" t="s">
        <v>1434</v>
      </c>
      <c r="H112" s="2384" t="str">
        <f>IF(E111="——","——",N61)</f>
        <v>——</v>
      </c>
      <c r="I112" s="121"/>
    </row>
    <row r="113" spans="1:27" ht="18.75" customHeight="1">
      <c r="A113" s="121"/>
      <c r="B113" s="121"/>
      <c r="C113" s="121"/>
      <c r="D113" s="121"/>
      <c r="E113" s="3310" t="s">
        <v>1440</v>
      </c>
      <c r="F113" s="3310"/>
      <c r="G113" s="3310"/>
      <c r="H113" s="3310"/>
      <c r="I113" s="121"/>
    </row>
    <row r="114" spans="1:27" ht="3.75" customHeight="1">
      <c r="A114" s="645"/>
      <c r="B114" s="645"/>
      <c r="C114" s="645"/>
      <c r="D114" s="645"/>
      <c r="E114" s="1670"/>
      <c r="F114" s="1670"/>
      <c r="G114" s="1670"/>
      <c r="H114" s="1670"/>
      <c r="I114" s="645"/>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596.42000000000007</v>
      </c>
      <c r="C118" s="2149">
        <f>M19</f>
        <v>0</v>
      </c>
      <c r="D118" s="2149">
        <f ca="1">ROUND(IF(D32="总价",C34,E118*B118/10000),0)</f>
        <v>1863</v>
      </c>
      <c r="E118" s="2149">
        <f ca="1">ROUND(IF(C33="自定义",IF(D32="楼面单价",C34,D118*10000/B118),I118-G118),0)</f>
        <v>31236</v>
      </c>
      <c r="F118" s="2149">
        <f ca="1">ROUND(IF(D32="总价",C35,G118*B118/10000),0)</f>
        <v>486</v>
      </c>
      <c r="G118" s="2149">
        <f ca="1">ROUND(IF(D32="楼面单价",C35,F118*10000/B118),0)</f>
        <v>8149</v>
      </c>
      <c r="H118" s="2149">
        <f ca="1">ROUND(IF(D32="总价",C32,I118*B118/10000),0)</f>
        <v>2349</v>
      </c>
      <c r="I118" s="2149">
        <f ca="1">ROUND(IF(D32="楼面单价",C32,H118*10000/B118),0)</f>
        <v>39385</v>
      </c>
    </row>
    <row r="119" spans="1:27" ht="18.75" customHeight="1">
      <c r="A119" s="3275" t="s">
        <v>1452</v>
      </c>
      <c r="B119" s="3275"/>
      <c r="C119" s="3275"/>
      <c r="D119" s="3281" t="str">
        <f ca="1">NUMBERSTRING(INT(D118*10000),2)&amp;"元整"</f>
        <v>壹仟捌佰陆拾叁万元整</v>
      </c>
      <c r="E119" s="3282"/>
      <c r="F119" s="3281" t="str">
        <f ca="1">NUMBERSTRING(INT(F118*10000),2)&amp;"元整"</f>
        <v>肆佰捌拾陆万元整</v>
      </c>
      <c r="G119" s="3282"/>
      <c r="H119" s="3281" t="str">
        <f ca="1">NUMBERSTRING(INT(H118*10000),2)&amp;"元整"</f>
        <v>贰仟叁佰肆拾玖万元整</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1" t="s">
        <v>1452</v>
      </c>
      <c r="B121" s="3283"/>
      <c r="C121" s="3282"/>
      <c r="D121" s="3281" t="str">
        <f>IF(D120=0,"零元整",NUMBERSTRING(INT(D120*10000),2)&amp;"元整")</f>
        <v>零元整</v>
      </c>
      <c r="E121" s="3283"/>
      <c r="F121" s="3283"/>
      <c r="G121" s="3283"/>
      <c r="H121" s="3283"/>
      <c r="I121" s="3282"/>
      <c r="AA121" s="683"/>
    </row>
    <row r="122" spans="1:27" ht="18.75" customHeight="1">
      <c r="A122" s="3287" t="str">
        <f>IF(项目基本情况!B9="房地产市场价值","",MID(E107,3,LEN(E107)-2))</f>
        <v>房地产抵押价值</v>
      </c>
      <c r="B122" s="3287"/>
      <c r="C122" s="3287"/>
      <c r="D122" s="3276">
        <f ca="1">H107</f>
        <v>2349</v>
      </c>
      <c r="E122" s="3277"/>
      <c r="F122" s="3277"/>
      <c r="G122" s="3277"/>
      <c r="H122" s="3277"/>
      <c r="I122" s="3278"/>
      <c r="AA122" s="683"/>
    </row>
    <row r="123" spans="1:27" ht="18.75" customHeight="1">
      <c r="A123" s="3275" t="s">
        <v>1452</v>
      </c>
      <c r="B123" s="3275"/>
      <c r="C123" s="3275"/>
      <c r="D123" s="3281" t="str">
        <f ca="1">NUMBERSTRING(INT(D122*10000),2)&amp;"元整"</f>
        <v>贰仟叁佰肆拾玖万元整</v>
      </c>
      <c r="E123" s="3283"/>
      <c r="F123" s="3283"/>
      <c r="G123" s="3283"/>
      <c r="H123" s="3283"/>
      <c r="I123" s="3282"/>
      <c r="AA123" s="683"/>
    </row>
    <row r="124" spans="1:27" ht="18.75" customHeight="1">
      <c r="A124" s="3287" t="str">
        <f>IF(项目基本情况!B9="房地产市场价值","",MID(E109,3,LEN(E109)-2))</f>
        <v/>
      </c>
      <c r="B124" s="3287"/>
      <c r="C124" s="3287"/>
      <c r="D124" s="3276" t="str">
        <f>H109</f>
        <v>——</v>
      </c>
      <c r="E124" s="3277"/>
      <c r="F124" s="3277"/>
      <c r="G124" s="3277"/>
      <c r="H124" s="3277"/>
      <c r="I124" s="3278"/>
      <c r="AA124" s="683"/>
    </row>
    <row r="125" spans="1:27" ht="18.75" customHeight="1">
      <c r="A125" s="3275" t="s">
        <v>1452</v>
      </c>
      <c r="B125" s="3275"/>
      <c r="C125" s="3275"/>
      <c r="D125" s="3281" t="e">
        <f>NUMBERSTRING(INT(D124*10000),2)&amp;"元整"</f>
        <v>#VALUE!</v>
      </c>
      <c r="E125" s="3283"/>
      <c r="F125" s="3283"/>
      <c r="G125" s="3283"/>
      <c r="H125" s="3283"/>
      <c r="I125" s="3282"/>
      <c r="AA125" s="683"/>
    </row>
    <row r="126" spans="1:27" ht="18.75" customHeight="1">
      <c r="A126" s="3287" t="str">
        <f>IF(项目基本情况!B9="房地产市场价值","",MID(E111,3,LEN(E111)-2))</f>
        <v/>
      </c>
      <c r="B126" s="3287"/>
      <c r="C126" s="3287"/>
      <c r="D126" s="3276" t="str">
        <f>H111</f>
        <v>——</v>
      </c>
      <c r="E126" s="3277"/>
      <c r="F126" s="3277"/>
      <c r="G126" s="3277"/>
      <c r="H126" s="3277"/>
      <c r="I126" s="3278"/>
      <c r="AA126" s="683"/>
    </row>
    <row r="127" spans="1:27" ht="18.75" customHeight="1">
      <c r="A127" s="3275" t="s">
        <v>1452</v>
      </c>
      <c r="B127" s="3275"/>
      <c r="C127" s="3275"/>
      <c r="D127" s="3281" t="e">
        <f>NUMBERSTRING(INT(D126*10000),2)&amp;"元整"</f>
        <v>#VALUE!</v>
      </c>
      <c r="E127" s="3283"/>
      <c r="F127" s="3283"/>
      <c r="G127" s="3283"/>
      <c r="H127" s="3283"/>
      <c r="I127" s="3282"/>
      <c r="AA127" s="683"/>
    </row>
    <row r="128" spans="1:27" ht="21.75" customHeight="1">
      <c r="A128" s="3284" t="s">
        <v>1453</v>
      </c>
      <c r="B128" s="3284"/>
      <c r="C128" s="3284"/>
      <c r="D128" s="3284"/>
      <c r="E128" s="3284"/>
      <c r="F128" s="3284"/>
      <c r="G128" s="3284"/>
      <c r="H128" s="3284"/>
      <c r="I128" s="328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2" t="str">
        <f>项目基本情况!B1</f>
        <v>北京市房地产抵押价值预评估</v>
      </c>
      <c r="C37" s="3172"/>
      <c r="D37" s="3172"/>
      <c r="E37" s="3172"/>
      <c r="F37" s="3172"/>
      <c r="G37" s="3172"/>
      <c r="H37" s="3172"/>
      <c r="I37" s="317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172983</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2900355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119284</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119284</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12</v>
      </c>
      <c r="D10" s="794">
        <f ca="1">IF(B1="",'数据-汇总表'!E6,IF(INDIRECT("'数据-取费表'!c"&amp;$G$1)="住宅",INDIRECT("'数据-取费表'!s"&amp;$G$1),INDIRECT("'数据-取费表'!k"&amp;$G$1)+INDIRECT("'数据-取费表'!s"&amp;$G$1)))</f>
        <v>596.42000000000007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596.42000000000007</v>
      </c>
      <c r="E19" s="203">
        <f>'数据-取费表'!B31</f>
        <v>200</v>
      </c>
      <c r="F19" s="223"/>
      <c r="G19" s="1713"/>
    </row>
    <row r="20" spans="1:7" s="206" customFormat="1" ht="13.5" customHeight="1">
      <c r="A20" s="247" t="s">
        <v>1493</v>
      </c>
      <c r="B20" s="202" t="s">
        <v>1494</v>
      </c>
      <c r="C20" s="224">
        <f ca="1">ROUND((C5+C19)*F20,0)</f>
        <v>3579</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0">
        <f ca="1">ROUND(SUM(C23:C25),0)</f>
        <v>9601</v>
      </c>
      <c r="D22" s="227">
        <f ca="1">C26</f>
        <v>1.1999999999999999E-3</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9461</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139</v>
      </c>
      <c r="D25" s="230"/>
      <c r="E25" s="233"/>
      <c r="F25" s="231"/>
      <c r="G25" s="234" t="s">
        <v>1510</v>
      </c>
    </row>
    <row r="26" spans="1:7" s="206" customFormat="1">
      <c r="A26" s="733"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24575</v>
      </c>
      <c r="D27" s="227">
        <f ca="1">C29</f>
        <v>6.0000000000000001E-3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24575</v>
      </c>
      <c r="D28" s="227"/>
      <c r="E28" s="228"/>
      <c r="F28" s="238"/>
      <c r="G28" s="239"/>
    </row>
    <row r="29" spans="1:7" s="206" customFormat="1" ht="13.5" customHeight="1">
      <c r="A29" s="733"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172678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268</v>
      </c>
      <c r="D34" s="209"/>
      <c r="E34" s="212"/>
      <c r="F34" s="249">
        <f ca="1">IF('数据-取费表'!B24=0,1,IF(B1="",'数据-取费表'!N16,INDIRECT("'数据-取费表'!n"&amp;$G$1)))</f>
        <v>1</v>
      </c>
      <c r="G34" s="211" t="s">
        <v>1526</v>
      </c>
    </row>
    <row r="35" spans="1:7" ht="13.5" customHeight="1">
      <c r="A35" s="733" t="s">
        <v>351</v>
      </c>
      <c r="B35" s="207" t="s">
        <v>1527</v>
      </c>
      <c r="C35" s="212">
        <f ca="1">ROUND(C34*F35,0)</f>
        <v>13</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12</v>
      </c>
      <c r="D37" s="209">
        <f ca="1">D19</f>
        <v>596.42000000000007</v>
      </c>
      <c r="E37" s="241">
        <f>'数据-取费表'!B35</f>
        <v>200</v>
      </c>
      <c r="F37" s="251"/>
      <c r="G37" s="253" t="s">
        <v>1532</v>
      </c>
    </row>
    <row r="38" spans="1:7" ht="13.5" customHeight="1">
      <c r="A38" s="733"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v>
      </c>
      <c r="D41" s="227">
        <f ca="1">C44</f>
        <v>1.1999999999999999E-3</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12</v>
      </c>
      <c r="D42" s="230"/>
      <c r="E42" s="230"/>
      <c r="F42" s="231"/>
      <c r="G42" s="3354" t="s">
        <v>1544</v>
      </c>
    </row>
    <row r="43" spans="1:7" ht="13.5" customHeight="1">
      <c r="A43" s="733" t="s">
        <v>347</v>
      </c>
      <c r="B43" s="207" t="s">
        <v>1545</v>
      </c>
      <c r="C43" s="230">
        <f ca="1">ROUND(IF('数据-取费表'!B22&lt;=1,C39*F22*'数据-取费表'!B21/2,C39*(POWER((1+F22),'数据-取费表'!B21/2)-1)),0)</f>
        <v>0</v>
      </c>
      <c r="D43" s="230"/>
      <c r="E43" s="230"/>
      <c r="F43" s="231"/>
      <c r="G43" s="3355"/>
    </row>
    <row r="44" spans="1:7" ht="13.5" customHeight="1">
      <c r="A44" s="733" t="s">
        <v>348</v>
      </c>
      <c r="B44" s="207" t="s">
        <v>1546</v>
      </c>
      <c r="C44" s="230">
        <f ca="1">ROUND(IF('数据-取费表'!B22&lt;=1,C40*F22*'数据-取费表'!B21/2,C40*(POWER((1+F22),'数据-取费表'!B21/2)-1)),4)</f>
        <v>1.1999999999999999E-3</v>
      </c>
      <c r="D44" s="230"/>
      <c r="E44" s="230"/>
      <c r="F44" s="231"/>
      <c r="G44" s="3356"/>
    </row>
    <row r="45" spans="1:7" s="206" customFormat="1" ht="13.5" customHeight="1">
      <c r="A45" s="247" t="s">
        <v>1547</v>
      </c>
      <c r="B45" s="236" t="s">
        <v>1513</v>
      </c>
      <c r="C45" s="237">
        <f ca="1">C46</f>
        <v>61</v>
      </c>
      <c r="D45" s="227">
        <f ca="1">C47</f>
        <v>6.0000000000000001E-3</v>
      </c>
      <c r="E45" s="228" t="s">
        <v>1539</v>
      </c>
      <c r="F45" s="238">
        <f ca="1">F27</f>
        <v>0.2</v>
      </c>
      <c r="G45" s="239" t="s">
        <v>1548</v>
      </c>
    </row>
    <row r="46" spans="1:7" s="206" customFormat="1" ht="13.5" customHeight="1">
      <c r="A46" s="733" t="s">
        <v>346</v>
      </c>
      <c r="B46" s="240" t="s">
        <v>1549</v>
      </c>
      <c r="C46" s="241">
        <f ca="1">ROUND((C33+C39)*F27,0)</f>
        <v>61</v>
      </c>
      <c r="D46" s="255"/>
      <c r="E46" s="228"/>
      <c r="F46" s="238"/>
      <c r="G46" s="239"/>
    </row>
    <row r="47" spans="1:7" s="206" customFormat="1" ht="13.5" customHeight="1">
      <c r="A47" s="733"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418</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305</v>
      </c>
      <c r="D51" s="224"/>
      <c r="E51" s="224"/>
      <c r="F51" s="256"/>
      <c r="G51" s="226" t="s">
        <v>1560</v>
      </c>
    </row>
    <row r="52" spans="1:7" s="200" customFormat="1" ht="16.5" thickBot="1">
      <c r="A52" s="257" t="s">
        <v>1561</v>
      </c>
      <c r="B52" s="258"/>
      <c r="C52" s="259">
        <f ca="1">C31+C51</f>
        <v>172983</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143265</v>
      </c>
      <c r="C2" s="268" t="s">
        <v>1595</v>
      </c>
      <c r="D2" s="268"/>
      <c r="E2" s="2567"/>
      <c r="F2" s="2567"/>
      <c r="G2" s="2567"/>
      <c r="H2" s="2567"/>
      <c r="I2" s="2567"/>
      <c r="J2" s="2567"/>
      <c r="K2" s="2567"/>
    </row>
    <row r="3" spans="1:33" ht="18" customHeight="1" thickBot="1">
      <c r="A3" s="195" t="s">
        <v>1464</v>
      </c>
      <c r="B3" s="196">
        <f ca="1">ROUND(B2*10000/IF(C1="",'数据-汇总表'!E3,INDIRECT("'数据-取费表'!K"&amp;$K$1)),0)</f>
        <v>2402082</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596.42000000000007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596.42000000000007</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-119272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12</v>
      </c>
      <c r="D20" s="795">
        <f ca="1">IF(C1="",'数据-汇总表'!E6,IF(INDIRECT("'数据-取费表'!c"&amp;$K$1)="住宅",INDIRECT("'数据-取费表'!s"&amp;$K$1),INDIRECT("'数据-取费表'!k"&amp;$K$1)+INDIRECT("'数据-取费表'!s"&amp;$K$1)))</f>
        <v>596.42000000000007</v>
      </c>
      <c r="E20" s="21">
        <f>'数据-取费表'!B28</f>
        <v>200</v>
      </c>
      <c r="F20" s="755"/>
      <c r="G20" s="12"/>
      <c r="H20" s="760"/>
      <c r="I20" s="760"/>
      <c r="J20" s="760"/>
      <c r="K20" s="761"/>
    </row>
    <row r="21" spans="1:33" s="754" customFormat="1" ht="13.5" customHeight="1">
      <c r="A21" s="743" t="s">
        <v>357</v>
      </c>
      <c r="B21" s="764" t="s">
        <v>1628</v>
      </c>
      <c r="C21" s="765">
        <f ca="1">C16+C17+C18</f>
        <v>-119272</v>
      </c>
      <c r="D21" s="766"/>
      <c r="E21" s="273"/>
      <c r="F21" s="273"/>
      <c r="G21" s="123" t="s">
        <v>1629</v>
      </c>
      <c r="H21" s="758"/>
      <c r="I21" s="758"/>
      <c r="J21" s="758"/>
      <c r="K21" s="759"/>
    </row>
    <row r="22" spans="1:33" s="754" customFormat="1" ht="13.5" customHeight="1">
      <c r="A22" s="743" t="s">
        <v>1601</v>
      </c>
      <c r="B22" s="764" t="s">
        <v>1630</v>
      </c>
      <c r="C22" s="765">
        <f ca="1">ROUND(C21*F22,0)</f>
        <v>-3578</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0.03</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-24570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-24570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143265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9" t="s">
        <v>694</v>
      </c>
      <c r="C6" s="1010">
        <f ca="1">ROUND(F6*F8*F7*(1-F9)/10000,0)</f>
        <v>0</v>
      </c>
      <c r="D6" s="147" t="s">
        <v>2109</v>
      </c>
      <c r="E6" s="294" t="s">
        <v>696</v>
      </c>
      <c r="F6" s="295">
        <f ca="1">INDIRECT("'数据-取费表'!u"&amp;$G$1)</f>
        <v>0</v>
      </c>
      <c r="G6" s="1291"/>
      <c r="H6" s="1005" t="s">
        <v>398</v>
      </c>
      <c r="I6" s="3359" t="s">
        <v>694</v>
      </c>
      <c r="J6" s="293">
        <f ca="1">ROUND(M6*M8*M7*(1-M9)/10000,0)</f>
        <v>0</v>
      </c>
      <c r="K6" s="147" t="s">
        <v>2108</v>
      </c>
      <c r="L6" s="294" t="s">
        <v>696</v>
      </c>
      <c r="M6" s="295">
        <f ca="1">INDIRECT("'数据-取费表'!z"&amp;$G$1)</f>
        <v>0</v>
      </c>
    </row>
    <row r="7" spans="1:37" ht="18" customHeight="1">
      <c r="A7" s="1009"/>
      <c r="B7" s="3360"/>
      <c r="C7" s="1011"/>
      <c r="D7" s="299"/>
      <c r="E7" s="1012" t="s">
        <v>697</v>
      </c>
      <c r="F7" s="295">
        <f ca="1">IF(INDIRECT("'数据-取费表'!ah"&amp;$G$1)="",INDIRECT("'数据-取费表'!k"&amp;$G$1),INDIRECT("'数据-取费表'!ah"&amp;$G$1))</f>
        <v>0</v>
      </c>
      <c r="G7" s="1291"/>
      <c r="H7" s="296"/>
      <c r="I7" s="3360"/>
      <c r="J7" s="298"/>
      <c r="K7" s="299"/>
      <c r="L7" s="294" t="s">
        <v>697</v>
      </c>
      <c r="M7" s="295">
        <f ca="1">F7</f>
        <v>0</v>
      </c>
    </row>
    <row r="8" spans="1:37" ht="18" customHeight="1">
      <c r="A8" s="296"/>
      <c r="B8" s="3360"/>
      <c r="C8" s="298"/>
      <c r="D8" s="299"/>
      <c r="E8" s="294" t="s">
        <v>698</v>
      </c>
      <c r="F8" s="295">
        <f ca="1">INDIRECT("'数据-取费表'!ai"&amp;$G$1)</f>
        <v>0</v>
      </c>
      <c r="G8" s="1291"/>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1"/>
      <c r="H9" s="296"/>
      <c r="I9" s="336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3326</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ROUND(M20*M21/10000,2)</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24</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57" t="s">
        <v>837</v>
      </c>
      <c r="L53" s="3358"/>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80" zoomScaleNormal="70" zoomScaleSheetLayoutView="80" workbookViewId="0">
      <selection activeCell="C48" sqref="C48"/>
    </sheetView>
  </sheetViews>
  <sheetFormatPr defaultColWidth="9" defaultRowHeight="14.25"/>
  <cols>
    <col min="1" max="1" width="10.5" style="347" customWidth="1"/>
    <col min="2" max="2" width="17.8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673</v>
      </c>
      <c r="E1" s="3124" t="s">
        <v>3425</v>
      </c>
      <c r="F1" s="1734" t="s">
        <v>3426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2770.6691000000001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46455</v>
      </c>
      <c r="C3" s="344" t="s">
        <v>1768</v>
      </c>
      <c r="D3" s="343">
        <f>IF(D1="",'数据-汇总表'!E3,SUMIF('数据-汇总表'!$C19:$C33,D1,'数据-汇总表'!$E19:$E33))</f>
        <v>596.42000000000007</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7" t="s">
        <v>1771</v>
      </c>
      <c r="S4" s="3388"/>
      <c r="T4" s="3387" t="s">
        <v>1772</v>
      </c>
      <c r="U4" s="3388"/>
      <c r="V4" s="3384" t="s">
        <v>1773</v>
      </c>
      <c r="W4" s="3384"/>
      <c r="X4" s="1264"/>
      <c r="Y4" s="3387" t="s">
        <v>1775</v>
      </c>
      <c r="Z4" s="3388"/>
      <c r="AA4" s="3381" t="s">
        <v>1771</v>
      </c>
      <c r="AB4" s="3384" t="s">
        <v>1772</v>
      </c>
      <c r="AC4" s="3381" t="s">
        <v>1773</v>
      </c>
    </row>
    <row r="5" spans="1:29" ht="15">
      <c r="A5" s="348"/>
      <c r="B5" s="349"/>
      <c r="C5" s="3393" t="s">
        <v>3464</v>
      </c>
      <c r="D5" s="3394"/>
      <c r="E5" s="3391" t="s">
        <v>3458</v>
      </c>
      <c r="F5" s="3392"/>
      <c r="G5" s="3397" t="s">
        <v>3457</v>
      </c>
      <c r="H5" s="3394"/>
      <c r="I5" s="3397" t="s">
        <v>3460</v>
      </c>
      <c r="J5" s="3394"/>
      <c r="K5" s="537"/>
      <c r="L5" s="2486"/>
      <c r="M5" s="2487"/>
      <c r="N5" s="2487"/>
      <c r="O5" s="2487"/>
      <c r="P5" s="3407"/>
      <c r="Q5" s="3408"/>
      <c r="R5" s="3389"/>
      <c r="S5" s="3390"/>
      <c r="T5" s="3389"/>
      <c r="U5" s="3390"/>
      <c r="V5" s="3384"/>
      <c r="W5" s="3384"/>
      <c r="X5" s="1264"/>
      <c r="Y5" s="3389"/>
      <c r="Z5" s="3390"/>
      <c r="AA5" s="3382"/>
      <c r="AB5" s="3384"/>
      <c r="AC5" s="3382"/>
    </row>
    <row r="6" spans="1:29" ht="15.75" thickBot="1">
      <c r="A6" s="350"/>
      <c r="B6" s="351"/>
      <c r="C6" s="3395" t="s">
        <v>1677</v>
      </c>
      <c r="D6" s="3396"/>
      <c r="E6" s="3398" t="s">
        <v>1677</v>
      </c>
      <c r="F6" s="3399"/>
      <c r="G6" s="3395" t="s">
        <v>1677</v>
      </c>
      <c r="H6" s="3396"/>
      <c r="I6" s="3395" t="s">
        <v>1677</v>
      </c>
      <c r="J6" s="3396"/>
      <c r="K6" s="537" t="s">
        <v>1678</v>
      </c>
      <c r="L6" s="2486"/>
      <c r="M6" s="2487"/>
      <c r="N6" s="2487"/>
      <c r="O6" s="2487"/>
      <c r="P6" s="3409"/>
      <c r="Q6" s="3410"/>
      <c r="R6" s="3389"/>
      <c r="S6" s="3390"/>
      <c r="T6" s="3411"/>
      <c r="U6" s="3412"/>
      <c r="V6" s="3384"/>
      <c r="W6" s="3384"/>
      <c r="X6" s="1264"/>
      <c r="Y6" s="3411"/>
      <c r="Z6" s="3412"/>
      <c r="AA6" s="3383"/>
      <c r="AB6" s="3384"/>
      <c r="AC6" s="3383"/>
    </row>
    <row r="7" spans="1:29" s="102" customFormat="1" ht="15.75" thickBot="1">
      <c r="A7" s="352" t="s">
        <v>1679</v>
      </c>
      <c r="B7" s="353"/>
      <c r="C7" s="354">
        <f>'数据-取费表'!B2</f>
        <v>45768</v>
      </c>
      <c r="D7" s="355">
        <v>100</v>
      </c>
      <c r="E7" s="356">
        <f>C7</f>
        <v>45768</v>
      </c>
      <c r="F7" s="357">
        <f>SUMIF(58:58,YEAR(E7)&amp;"-"&amp;MONTH(E7),59:59)</f>
        <v>100</v>
      </c>
      <c r="G7" s="356">
        <f>E7</f>
        <v>45768</v>
      </c>
      <c r="H7" s="355">
        <f>SUMIF(58:58,YEAR(G7)&amp;"-"&amp;MONTH(G7),59:59)</f>
        <v>100</v>
      </c>
      <c r="I7" s="356">
        <f>G7</f>
        <v>45768</v>
      </c>
      <c r="J7" s="355">
        <f>SUMIF(58:58,YEAR(I7)&amp;"-"&amp;MONTH(I7),59:59)</f>
        <v>100</v>
      </c>
      <c r="K7" s="38"/>
      <c r="L7" s="2488"/>
      <c r="M7" s="2439"/>
      <c r="N7" s="2439"/>
      <c r="O7" s="2439"/>
      <c r="P7" s="3385" t="s">
        <v>1680</v>
      </c>
      <c r="Q7" s="3413"/>
      <c r="R7" s="663" t="s">
        <v>14</v>
      </c>
      <c r="S7" s="664">
        <f t="shared" ref="S7:S15" si="0">F7</f>
        <v>100</v>
      </c>
      <c r="T7" s="663" t="s">
        <v>14</v>
      </c>
      <c r="U7" s="664">
        <f t="shared" ref="U7:U15" si="1">H7</f>
        <v>100</v>
      </c>
      <c r="V7" s="663" t="s">
        <v>14</v>
      </c>
      <c r="W7" s="664">
        <f t="shared" ref="W7:W15" si="2">J7</f>
        <v>100</v>
      </c>
      <c r="X7" s="665"/>
      <c r="Y7" s="3385" t="s">
        <v>1680</v>
      </c>
      <c r="Z7" s="3386"/>
      <c r="AA7" s="50">
        <f>D7/F7</f>
        <v>1</v>
      </c>
      <c r="AB7" s="50">
        <f>D7/H7</f>
        <v>1</v>
      </c>
      <c r="AC7" s="50">
        <f>D7/J7</f>
        <v>1</v>
      </c>
    </row>
    <row r="8" spans="1:29" s="102" customFormat="1" ht="15.75" thickBot="1">
      <c r="A8" s="352" t="s">
        <v>1681</v>
      </c>
      <c r="B8" s="353"/>
      <c r="C8" s="358" t="s">
        <v>3429</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385" t="s">
        <v>1683</v>
      </c>
      <c r="Q8" s="3386"/>
      <c r="R8" s="663" t="s">
        <v>14</v>
      </c>
      <c r="S8" s="664">
        <f t="shared" si="0"/>
        <v>105</v>
      </c>
      <c r="T8" s="663" t="s">
        <v>14</v>
      </c>
      <c r="U8" s="664">
        <f t="shared" si="1"/>
        <v>105</v>
      </c>
      <c r="V8" s="663" t="s">
        <v>14</v>
      </c>
      <c r="W8" s="664">
        <f t="shared" si="2"/>
        <v>105</v>
      </c>
      <c r="X8" s="665"/>
      <c r="Y8" s="3385" t="s">
        <v>1683</v>
      </c>
      <c r="Z8" s="3386"/>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64" t="s">
        <v>3428</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400"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15.75" thickBot="1">
      <c r="A10" s="363"/>
      <c r="B10" s="364" t="s">
        <v>1688</v>
      </c>
      <c r="C10" s="3132" t="s">
        <v>3427</v>
      </c>
      <c r="D10" s="119">
        <v>100</v>
      </c>
      <c r="E10" s="3133" t="s">
        <v>3427</v>
      </c>
      <c r="F10" s="364">
        <f>SUMIF(65:65,E10,66:66)-SUMIF(65:65,C10,66:66)+100</f>
        <v>100</v>
      </c>
      <c r="G10" s="3132" t="s">
        <v>3427</v>
      </c>
      <c r="H10" s="119">
        <f>SUMIF(65:65,G10,66:66)-SUMIF(65:65,C10,66:66)+100</f>
        <v>100</v>
      </c>
      <c r="I10" s="3132" t="s">
        <v>3442</v>
      </c>
      <c r="J10" s="119">
        <f>SUMIF(65:65,I10,66:66)-SUMIF(65:65,C10,66:66)+100</f>
        <v>103</v>
      </c>
      <c r="K10" s="38"/>
      <c r="L10" s="2489"/>
      <c r="M10" s="2490"/>
      <c r="N10" s="2490"/>
      <c r="O10" s="2490"/>
      <c r="P10" s="3400"/>
      <c r="Q10" s="530" t="str">
        <f t="shared" si="6"/>
        <v>土地使用年限（年）</v>
      </c>
      <c r="R10" s="663" t="s">
        <v>14</v>
      </c>
      <c r="S10" s="664">
        <f t="shared" si="0"/>
        <v>100</v>
      </c>
      <c r="T10" s="663" t="s">
        <v>14</v>
      </c>
      <c r="U10" s="664">
        <f t="shared" si="1"/>
        <v>100</v>
      </c>
      <c r="V10" s="663" t="s">
        <v>14</v>
      </c>
      <c r="W10" s="664">
        <f t="shared" si="2"/>
        <v>103</v>
      </c>
      <c r="X10" s="665"/>
      <c r="Y10" s="3330"/>
      <c r="Z10" s="50" t="str">
        <f t="shared" si="7"/>
        <v>土地使用年限（年）</v>
      </c>
      <c r="AA10" s="50">
        <f t="shared" si="3"/>
        <v>1</v>
      </c>
      <c r="AB10" s="50">
        <f t="shared" si="4"/>
        <v>1</v>
      </c>
      <c r="AC10" s="50">
        <f t="shared" si="5"/>
        <v>0.970873786407767</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00"/>
      <c r="Q11" s="530"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0"/>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0"/>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0"/>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414" t="s">
        <v>1691</v>
      </c>
      <c r="Q15" s="1262" t="str">
        <f t="shared" si="6"/>
        <v>商业繁华度</v>
      </c>
      <c r="R15" s="666" t="s">
        <v>14</v>
      </c>
      <c r="S15" s="667">
        <f t="shared" si="0"/>
        <v>100</v>
      </c>
      <c r="T15" s="666" t="s">
        <v>14</v>
      </c>
      <c r="U15" s="667">
        <f t="shared" si="1"/>
        <v>100</v>
      </c>
      <c r="V15" s="666" t="s">
        <v>14</v>
      </c>
      <c r="W15" s="667">
        <f t="shared" si="2"/>
        <v>100</v>
      </c>
      <c r="X15" s="1264"/>
      <c r="Y15" s="3416" t="s">
        <v>1691</v>
      </c>
      <c r="Z15" s="1263" t="str">
        <f t="shared" si="7"/>
        <v>商业繁华度</v>
      </c>
      <c r="AA15" s="1263">
        <f t="shared" si="3"/>
        <v>1</v>
      </c>
      <c r="AB15" s="1263">
        <f t="shared" si="4"/>
        <v>1</v>
      </c>
      <c r="AC15" s="1263">
        <f t="shared" si="5"/>
        <v>1</v>
      </c>
    </row>
    <row r="16" spans="1:29" ht="15">
      <c r="A16" s="367"/>
      <c r="B16" s="385"/>
      <c r="C16" s="386" t="s">
        <v>3421</v>
      </c>
      <c r="D16" s="387"/>
      <c r="E16" s="386" t="s">
        <v>3421</v>
      </c>
      <c r="F16" s="388"/>
      <c r="G16" s="386" t="s">
        <v>3421</v>
      </c>
      <c r="H16" s="389"/>
      <c r="I16" s="386" t="s">
        <v>3421</v>
      </c>
      <c r="J16" s="387"/>
      <c r="K16" s="541"/>
      <c r="L16" s="2492"/>
      <c r="M16" s="2487"/>
      <c r="N16" s="2487"/>
      <c r="O16" s="2487"/>
      <c r="P16" s="3415"/>
      <c r="Q16" s="1262"/>
      <c r="R16" s="666"/>
      <c r="S16" s="667"/>
      <c r="T16" s="666"/>
      <c r="U16" s="667"/>
      <c r="V16" s="666"/>
      <c r="W16" s="667"/>
      <c r="X16" s="1264"/>
      <c r="Y16" s="3417"/>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1"/>
      <c r="H17" s="394">
        <f>SUMIF(78:78,G18,79:79)-SUMIF(78:78,C18,79:79)+100</f>
        <v>100</v>
      </c>
      <c r="I17" s="391"/>
      <c r="J17" s="394">
        <f>SUMIF(78:78,I18,79:79)-SUMIF(78:78,C18,79:79)+100</f>
        <v>100</v>
      </c>
      <c r="K17" s="540">
        <v>3</v>
      </c>
      <c r="L17" s="2492"/>
      <c r="M17" s="2487"/>
      <c r="N17" s="2487"/>
      <c r="O17" s="2487"/>
      <c r="P17" s="3415"/>
      <c r="Q17" s="1262" t="str">
        <f>B17</f>
        <v>交通便捷度</v>
      </c>
      <c r="R17" s="666" t="s">
        <v>14</v>
      </c>
      <c r="S17" s="667">
        <f>F17</f>
        <v>100</v>
      </c>
      <c r="T17" s="666" t="s">
        <v>14</v>
      </c>
      <c r="U17" s="667">
        <f>H17</f>
        <v>100</v>
      </c>
      <c r="V17" s="666" t="s">
        <v>14</v>
      </c>
      <c r="W17" s="667">
        <f>J17</f>
        <v>100</v>
      </c>
      <c r="X17" s="1264"/>
      <c r="Y17" s="3417"/>
      <c r="Z17" s="1263" t="str">
        <f>Q17</f>
        <v>交通便捷度</v>
      </c>
      <c r="AA17" s="1263">
        <f t="shared" si="3"/>
        <v>1</v>
      </c>
      <c r="AB17" s="1263">
        <f t="shared" si="4"/>
        <v>1</v>
      </c>
      <c r="AC17" s="1263">
        <f t="shared" si="5"/>
        <v>1</v>
      </c>
    </row>
    <row r="18" spans="1:29" ht="15">
      <c r="A18" s="367"/>
      <c r="B18" s="395"/>
      <c r="C18" s="1754" t="s">
        <v>3421</v>
      </c>
      <c r="D18" s="389"/>
      <c r="E18" s="1756" t="s">
        <v>3421</v>
      </c>
      <c r="F18" s="392"/>
      <c r="G18" s="1756" t="s">
        <v>3421</v>
      </c>
      <c r="H18" s="387"/>
      <c r="I18" s="1756" t="s">
        <v>3421</v>
      </c>
      <c r="J18" s="387"/>
      <c r="K18" s="541"/>
      <c r="L18" s="2492"/>
      <c r="M18" s="2487"/>
      <c r="N18" s="2487"/>
      <c r="O18" s="2487"/>
      <c r="P18" s="3415"/>
      <c r="Q18" s="1262"/>
      <c r="R18" s="666"/>
      <c r="S18" s="667"/>
      <c r="T18" s="666"/>
      <c r="U18" s="667"/>
      <c r="V18" s="666"/>
      <c r="W18" s="667"/>
      <c r="X18" s="1264"/>
      <c r="Y18" s="3417"/>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6"/>
      <c r="H19" s="389">
        <f>SUMIF(80:80,G20,81:81)-SUMIF(80:80,C20,81:81)+100</f>
        <v>100</v>
      </c>
      <c r="I19" s="396"/>
      <c r="J19" s="389">
        <f>SUMIF(80:80,I20,81:81)-SUMIF(80:80,C20,81:81)+100</f>
        <v>100</v>
      </c>
      <c r="K19" s="540">
        <v>3</v>
      </c>
      <c r="L19" s="2492"/>
      <c r="M19" s="2487"/>
      <c r="N19" s="2487"/>
      <c r="O19" s="2487"/>
      <c r="P19" s="3415"/>
      <c r="Q19" s="1262" t="str">
        <f>B19</f>
        <v>公共配套设施</v>
      </c>
      <c r="R19" s="666" t="s">
        <v>14</v>
      </c>
      <c r="S19" s="667">
        <f>F19</f>
        <v>100</v>
      </c>
      <c r="T19" s="666" t="s">
        <v>14</v>
      </c>
      <c r="U19" s="667">
        <f>H19</f>
        <v>100</v>
      </c>
      <c r="V19" s="666" t="s">
        <v>14</v>
      </c>
      <c r="W19" s="667">
        <f>J19</f>
        <v>100</v>
      </c>
      <c r="X19" s="1264"/>
      <c r="Y19" s="3417"/>
      <c r="Z19" s="1263" t="str">
        <f>Q19</f>
        <v>公共配套设施</v>
      </c>
      <c r="AA19" s="1263">
        <f t="shared" si="3"/>
        <v>1</v>
      </c>
      <c r="AB19" s="1263">
        <f t="shared" si="4"/>
        <v>1</v>
      </c>
      <c r="AC19" s="1263">
        <f t="shared" si="5"/>
        <v>1</v>
      </c>
    </row>
    <row r="20" spans="1:29" ht="15">
      <c r="A20" s="367"/>
      <c r="B20" s="395"/>
      <c r="C20" s="386" t="s">
        <v>3421</v>
      </c>
      <c r="D20" s="387"/>
      <c r="E20" s="1751" t="s">
        <v>3421</v>
      </c>
      <c r="F20" s="388"/>
      <c r="G20" s="1751" t="s">
        <v>3421</v>
      </c>
      <c r="H20" s="387"/>
      <c r="I20" s="1751" t="s">
        <v>3421</v>
      </c>
      <c r="J20" s="387"/>
      <c r="K20" s="541"/>
      <c r="L20" s="2492"/>
      <c r="M20" s="2487"/>
      <c r="N20" s="2487"/>
      <c r="O20" s="2487"/>
      <c r="P20" s="3415"/>
      <c r="Q20" s="1262"/>
      <c r="R20" s="666"/>
      <c r="S20" s="667"/>
      <c r="T20" s="666"/>
      <c r="U20" s="667"/>
      <c r="V20" s="666"/>
      <c r="W20" s="667"/>
      <c r="X20" s="1264"/>
      <c r="Y20" s="3417"/>
      <c r="Z20" s="1263"/>
      <c r="AA20" s="1263">
        <v>1</v>
      </c>
      <c r="AB20" s="1263">
        <v>1</v>
      </c>
      <c r="AC20" s="1263">
        <v>1</v>
      </c>
    </row>
    <row r="21" spans="1:29" ht="15">
      <c r="A21" s="367"/>
      <c r="B21" s="585" t="s">
        <v>1779</v>
      </c>
      <c r="C21" s="1753">
        <f>估价对象房地状况!C8</f>
        <v>0</v>
      </c>
      <c r="D21" s="394">
        <v>100</v>
      </c>
      <c r="E21" s="396"/>
      <c r="F21" s="397">
        <f>SUMIF(82:82,E22,83:83)-SUMIF(82:82,C22,83:83)+100</f>
        <v>100</v>
      </c>
      <c r="G21" s="396"/>
      <c r="H21" s="389">
        <f>SUMIF(82:82,G22,83:83)-SUMIF(82:82,C22,83:83)+100</f>
        <v>100</v>
      </c>
      <c r="I21" s="396"/>
      <c r="J21" s="389">
        <f>SUMIF(82:82,I22,83:83)-SUMIF(82:82,C22,83:83)+100</f>
        <v>100</v>
      </c>
      <c r="K21" s="540">
        <v>2</v>
      </c>
      <c r="L21" s="2492"/>
      <c r="M21" s="2487"/>
      <c r="N21" s="2487"/>
      <c r="O21" s="2487"/>
      <c r="P21" s="3415"/>
      <c r="Q21" s="1262" t="str">
        <f>B21</f>
        <v>基础设施水平</v>
      </c>
      <c r="R21" s="666" t="s">
        <v>14</v>
      </c>
      <c r="S21" s="667">
        <f>F21</f>
        <v>100</v>
      </c>
      <c r="T21" s="666" t="s">
        <v>14</v>
      </c>
      <c r="U21" s="667">
        <f>H21</f>
        <v>100</v>
      </c>
      <c r="V21" s="666" t="s">
        <v>14</v>
      </c>
      <c r="W21" s="667">
        <f>J21</f>
        <v>100</v>
      </c>
      <c r="X21" s="1264"/>
      <c r="Y21" s="3417"/>
      <c r="Z21" s="1263" t="str">
        <f>Q21</f>
        <v>基础设施水平</v>
      </c>
      <c r="AA21" s="1263">
        <f t="shared" ref="AA21" si="8">D21/F21</f>
        <v>1</v>
      </c>
      <c r="AB21" s="1263">
        <f t="shared" ref="AB21" si="9">D21/H21</f>
        <v>1</v>
      </c>
      <c r="AC21" s="1263">
        <f t="shared" ref="AC21" si="10">D21/J21</f>
        <v>1</v>
      </c>
    </row>
    <row r="22" spans="1:29" ht="15">
      <c r="A22" s="367"/>
      <c r="B22" s="585"/>
      <c r="C22" s="1754" t="s">
        <v>3430</v>
      </c>
      <c r="D22" s="387"/>
      <c r="E22" s="386" t="s">
        <v>3430</v>
      </c>
      <c r="F22" s="388"/>
      <c r="G22" s="386" t="s">
        <v>3430</v>
      </c>
      <c r="H22" s="387"/>
      <c r="I22" s="386" t="s">
        <v>3430</v>
      </c>
      <c r="J22" s="387"/>
      <c r="K22" s="1063"/>
      <c r="L22" s="2492"/>
      <c r="M22" s="2487"/>
      <c r="N22" s="2487"/>
      <c r="O22" s="2487"/>
      <c r="P22" s="3415"/>
      <c r="Q22" s="1262"/>
      <c r="R22" s="666"/>
      <c r="S22" s="667"/>
      <c r="T22" s="666"/>
      <c r="U22" s="667"/>
      <c r="V22" s="666"/>
      <c r="W22" s="667"/>
      <c r="X22" s="1264"/>
      <c r="Y22" s="3417"/>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1"/>
      <c r="H23" s="389">
        <f>SUMIF(84:84,G24,85:85)-SUMIF(84:84,C24,85:85)+100</f>
        <v>100</v>
      </c>
      <c r="I23" s="391"/>
      <c r="J23" s="389">
        <f>SUMIF(84:84,I24,85:85)-SUMIF(84:84,C24,85:85)+100</f>
        <v>100</v>
      </c>
      <c r="K23" s="540">
        <v>3</v>
      </c>
      <c r="L23" s="2492"/>
      <c r="M23" s="2487"/>
      <c r="N23" s="2487"/>
      <c r="O23" s="2487"/>
      <c r="P23" s="3415"/>
      <c r="Q23" s="1262" t="str">
        <f>B23</f>
        <v>自然及人文环境</v>
      </c>
      <c r="R23" s="666" t="s">
        <v>14</v>
      </c>
      <c r="S23" s="667">
        <f>F23</f>
        <v>100</v>
      </c>
      <c r="T23" s="666" t="s">
        <v>14</v>
      </c>
      <c r="U23" s="667">
        <f>H23</f>
        <v>100</v>
      </c>
      <c r="V23" s="666" t="s">
        <v>14</v>
      </c>
      <c r="W23" s="667">
        <f>J23</f>
        <v>100</v>
      </c>
      <c r="X23" s="1264"/>
      <c r="Y23" s="3417"/>
      <c r="Z23" s="1263" t="str">
        <f>Q23</f>
        <v>自然及人文环境</v>
      </c>
      <c r="AA23" s="1263">
        <f t="shared" si="3"/>
        <v>1</v>
      </c>
      <c r="AB23" s="1263">
        <f t="shared" si="4"/>
        <v>1</v>
      </c>
      <c r="AC23" s="1263">
        <f t="shared" si="5"/>
        <v>1</v>
      </c>
    </row>
    <row r="24" spans="1:29" ht="15">
      <c r="A24" s="367"/>
      <c r="B24" s="395"/>
      <c r="C24" s="386" t="s">
        <v>3420</v>
      </c>
      <c r="D24" s="387"/>
      <c r="E24" s="1751" t="s">
        <v>3420</v>
      </c>
      <c r="F24" s="388"/>
      <c r="G24" s="1751" t="s">
        <v>3420</v>
      </c>
      <c r="H24" s="387"/>
      <c r="I24" s="1751" t="s">
        <v>3420</v>
      </c>
      <c r="J24" s="387"/>
      <c r="K24" s="541"/>
      <c r="L24" s="2492"/>
      <c r="M24" s="2487"/>
      <c r="N24" s="2487"/>
      <c r="O24" s="2487"/>
      <c r="P24" s="3415"/>
      <c r="Q24" s="1262"/>
      <c r="R24" s="666"/>
      <c r="S24" s="667"/>
      <c r="T24" s="666"/>
      <c r="U24" s="667"/>
      <c r="V24" s="666"/>
      <c r="W24" s="667"/>
      <c r="X24" s="1264"/>
      <c r="Y24" s="3417"/>
      <c r="Z24" s="1263"/>
      <c r="AA24" s="1263">
        <v>1</v>
      </c>
      <c r="AB24" s="1263">
        <v>1</v>
      </c>
      <c r="AC24" s="1263">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5"/>
      <c r="Q25" s="1262" t="str">
        <f t="shared" ref="Q25:Q46" si="11">B25</f>
        <v>临街状况</v>
      </c>
      <c r="R25" s="666" t="s">
        <v>14</v>
      </c>
      <c r="S25" s="667">
        <f>F25</f>
        <v>100</v>
      </c>
      <c r="T25" s="666" t="s">
        <v>14</v>
      </c>
      <c r="U25" s="667">
        <f>H25</f>
        <v>100</v>
      </c>
      <c r="V25" s="666" t="s">
        <v>14</v>
      </c>
      <c r="W25" s="667">
        <f>J25</f>
        <v>100</v>
      </c>
      <c r="X25" s="1264"/>
      <c r="Y25" s="3417"/>
      <c r="Z25" s="1263" t="str">
        <f>Q25</f>
        <v>临街状况</v>
      </c>
      <c r="AA25" s="1263">
        <f t="shared" si="3"/>
        <v>1</v>
      </c>
      <c r="AB25" s="1263">
        <f t="shared" si="4"/>
        <v>1</v>
      </c>
      <c r="AC25" s="1263">
        <f t="shared" si="5"/>
        <v>1</v>
      </c>
    </row>
    <row r="26" spans="1:29" ht="15">
      <c r="A26" s="367"/>
      <c r="B26" s="1065" t="s">
        <v>1781</v>
      </c>
      <c r="C26" s="3170" t="s">
        <v>3439</v>
      </c>
      <c r="D26" s="374">
        <v>100</v>
      </c>
      <c r="E26" s="373" t="s">
        <v>3421</v>
      </c>
      <c r="F26" s="400">
        <f>SUMIF(88:88,E26,89:89)-SUMIF(88:88,C26,89:89)+100</f>
        <v>100</v>
      </c>
      <c r="G26" s="373" t="s">
        <v>3421</v>
      </c>
      <c r="H26" s="374">
        <f>SUMIF(88:88,G26,89:89)-SUMIF(88:88,C26,89:89)+100</f>
        <v>100</v>
      </c>
      <c r="I26" s="373" t="s">
        <v>3421</v>
      </c>
      <c r="J26" s="374">
        <f>SUMIF(88:88,I26,89:89)-SUMIF(88:88,C26,89:89)+100</f>
        <v>100</v>
      </c>
      <c r="K26" s="539"/>
      <c r="L26" s="2492"/>
      <c r="M26" s="2487"/>
      <c r="N26" s="2487"/>
      <c r="O26" s="2487"/>
      <c r="P26" s="3415"/>
      <c r="Q26" s="1262" t="str">
        <f t="shared" si="11"/>
        <v>平面位置/可视性</v>
      </c>
      <c r="R26" s="666" t="s">
        <v>14</v>
      </c>
      <c r="S26" s="667">
        <f>F26</f>
        <v>100</v>
      </c>
      <c r="T26" s="666" t="s">
        <v>14</v>
      </c>
      <c r="U26" s="667">
        <f>H26</f>
        <v>100</v>
      </c>
      <c r="V26" s="666" t="s">
        <v>14</v>
      </c>
      <c r="W26" s="667">
        <f>J26</f>
        <v>100</v>
      </c>
      <c r="X26" s="1264"/>
      <c r="Y26" s="3417"/>
      <c r="Z26" s="1263" t="str">
        <f>Q26</f>
        <v>平面位置/可视性</v>
      </c>
      <c r="AA26" s="1263">
        <f t="shared" si="3"/>
        <v>1</v>
      </c>
      <c r="AB26" s="1263">
        <f t="shared" si="4"/>
        <v>1</v>
      </c>
      <c r="AC26" s="1263">
        <f t="shared" si="5"/>
        <v>1</v>
      </c>
    </row>
    <row r="27" spans="1:29" s="102" customFormat="1" ht="15">
      <c r="A27" s="370"/>
      <c r="B27" s="390" t="s">
        <v>1782</v>
      </c>
      <c r="C27" s="1806" t="s">
        <v>3444</v>
      </c>
      <c r="D27" s="401">
        <v>100</v>
      </c>
      <c r="E27" s="1806" t="s">
        <v>3444</v>
      </c>
      <c r="F27" s="395">
        <f>SUMIF(90:90,E27,91:91)-SUMIF(90:90,C27,91:91)+100</f>
        <v>100</v>
      </c>
      <c r="G27" s="1806" t="s">
        <v>3444</v>
      </c>
      <c r="H27" s="401">
        <f>SUMIF(90:90,G27,91:91)-SUMIF(90:90,C27,91:91)+100</f>
        <v>100</v>
      </c>
      <c r="I27" s="1806" t="s">
        <v>3444</v>
      </c>
      <c r="J27" s="401">
        <f>SUMIF(90:90,I27,91:91)-SUMIF(90:90,C27,91:91)+100</f>
        <v>100</v>
      </c>
      <c r="K27" s="538">
        <v>3</v>
      </c>
      <c r="L27" s="2488"/>
      <c r="M27" s="2439"/>
      <c r="N27" s="2439"/>
      <c r="O27" s="2439"/>
      <c r="P27" s="3415"/>
      <c r="Q27" s="530" t="str">
        <f t="shared" si="11"/>
        <v>人流量</v>
      </c>
      <c r="R27" s="663" t="s">
        <v>14</v>
      </c>
      <c r="S27" s="664">
        <f>F27</f>
        <v>100</v>
      </c>
      <c r="T27" s="663" t="s">
        <v>14</v>
      </c>
      <c r="U27" s="664">
        <f>H27</f>
        <v>100</v>
      </c>
      <c r="V27" s="663" t="s">
        <v>14</v>
      </c>
      <c r="W27" s="664">
        <f>J27</f>
        <v>100</v>
      </c>
      <c r="X27" s="665"/>
      <c r="Y27" s="3417"/>
      <c r="Z27" s="50" t="str">
        <f>Q27</f>
        <v>人流量</v>
      </c>
      <c r="AA27" s="1263">
        <f>D27/F27</f>
        <v>1</v>
      </c>
      <c r="AB27" s="1263">
        <f>D27/H27</f>
        <v>1</v>
      </c>
      <c r="AC27" s="1263">
        <f>D27/J27</f>
        <v>1</v>
      </c>
    </row>
    <row r="28" spans="1:29" ht="15.75" thickBot="1">
      <c r="A28" s="367"/>
      <c r="B28" s="364" t="s">
        <v>1783</v>
      </c>
      <c r="C28" s="542" t="s">
        <v>3454</v>
      </c>
      <c r="D28" s="374">
        <v>100</v>
      </c>
      <c r="E28" s="542" t="s">
        <v>3454</v>
      </c>
      <c r="F28" s="400">
        <f>SUMIF(92:92,E28,93:93)-SUMIF(92:92,C28,93:93)+100</f>
        <v>100</v>
      </c>
      <c r="G28" s="542" t="s">
        <v>3459</v>
      </c>
      <c r="H28" s="374">
        <f>SUMIF(92:92,G28,93:93)-SUMIF(92:92,C28,93:93)+100</f>
        <v>115</v>
      </c>
      <c r="I28" s="542" t="s">
        <v>3459</v>
      </c>
      <c r="J28" s="374">
        <f>SUMIF(92:92,I28,93:93)-SUMIF(92:92,C28,93:93)+100</f>
        <v>115</v>
      </c>
      <c r="K28" s="539"/>
      <c r="L28" s="2492"/>
      <c r="M28" s="2487"/>
      <c r="N28" s="2487"/>
      <c r="O28" s="2487"/>
      <c r="P28" s="3415"/>
      <c r="Q28" s="1262" t="str">
        <f t="shared" si="11"/>
        <v>楼层</v>
      </c>
      <c r="R28" s="666" t="s">
        <v>14</v>
      </c>
      <c r="S28" s="667">
        <f t="shared" ref="S28:S46" si="12">F28</f>
        <v>100</v>
      </c>
      <c r="T28" s="666" t="s">
        <v>14</v>
      </c>
      <c r="U28" s="667">
        <f t="shared" ref="U28:U46" si="13">H28</f>
        <v>115</v>
      </c>
      <c r="V28" s="666" t="s">
        <v>14</v>
      </c>
      <c r="W28" s="667">
        <f t="shared" ref="W28:W46" si="14">J28</f>
        <v>115</v>
      </c>
      <c r="X28" s="1264"/>
      <c r="Y28" s="3417"/>
      <c r="Z28" s="1263" t="str">
        <f t="shared" ref="Z28:Z46" si="15">Q28</f>
        <v>楼层</v>
      </c>
      <c r="AA28" s="1263">
        <f t="shared" si="3"/>
        <v>1</v>
      </c>
      <c r="AB28" s="1263">
        <f t="shared" si="4"/>
        <v>0.86956521739130432</v>
      </c>
      <c r="AC28" s="1263">
        <f t="shared" si="5"/>
        <v>0.86956521739130432</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5"/>
      <c r="Q29" s="1262">
        <f t="shared" si="11"/>
        <v>111</v>
      </c>
      <c r="R29" s="666" t="s">
        <v>14</v>
      </c>
      <c r="S29" s="667">
        <f t="shared" si="12"/>
        <v>100</v>
      </c>
      <c r="T29" s="666" t="s">
        <v>14</v>
      </c>
      <c r="U29" s="667">
        <f t="shared" si="13"/>
        <v>100</v>
      </c>
      <c r="V29" s="666" t="s">
        <v>14</v>
      </c>
      <c r="W29" s="667">
        <f t="shared" si="14"/>
        <v>100</v>
      </c>
      <c r="X29" s="1264"/>
      <c r="Y29" s="3417"/>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5"/>
      <c r="Q30" s="1262">
        <f t="shared" si="11"/>
        <v>111</v>
      </c>
      <c r="R30" s="666" t="s">
        <v>14</v>
      </c>
      <c r="S30" s="667">
        <f t="shared" si="12"/>
        <v>100</v>
      </c>
      <c r="T30" s="666" t="s">
        <v>14</v>
      </c>
      <c r="U30" s="667">
        <f t="shared" si="13"/>
        <v>100</v>
      </c>
      <c r="V30" s="666" t="s">
        <v>14</v>
      </c>
      <c r="W30" s="667">
        <f t="shared" si="14"/>
        <v>100</v>
      </c>
      <c r="X30" s="1264"/>
      <c r="Y30" s="3417"/>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5"/>
      <c r="Q31" s="1262">
        <f t="shared" si="11"/>
        <v>111</v>
      </c>
      <c r="R31" s="666" t="s">
        <v>14</v>
      </c>
      <c r="S31" s="667">
        <f t="shared" si="12"/>
        <v>100</v>
      </c>
      <c r="T31" s="666" t="s">
        <v>14</v>
      </c>
      <c r="U31" s="667">
        <f t="shared" si="13"/>
        <v>100</v>
      </c>
      <c r="V31" s="666" t="s">
        <v>14</v>
      </c>
      <c r="W31" s="667">
        <f t="shared" si="14"/>
        <v>100</v>
      </c>
      <c r="X31" s="1264"/>
      <c r="Y31" s="3417"/>
      <c r="Z31" s="1263">
        <f t="shared" si="15"/>
        <v>111</v>
      </c>
      <c r="AA31" s="1263">
        <f t="shared" si="3"/>
        <v>1</v>
      </c>
      <c r="AB31" s="1263">
        <f t="shared" si="4"/>
        <v>1</v>
      </c>
      <c r="AC31" s="1263">
        <f t="shared" si="5"/>
        <v>1</v>
      </c>
    </row>
    <row r="32" spans="1:29" ht="15">
      <c r="A32" s="379" t="s">
        <v>1694</v>
      </c>
      <c r="B32" s="60" t="s">
        <v>1784</v>
      </c>
      <c r="C32" s="3165" t="s">
        <v>3431</v>
      </c>
      <c r="D32" s="405">
        <v>100</v>
      </c>
      <c r="E32" s="3165" t="s">
        <v>3431</v>
      </c>
      <c r="F32" s="400">
        <f>SUMIF(100:100,E32,101:101)-SUMIF(100:100,C32,101:101)+100</f>
        <v>100</v>
      </c>
      <c r="G32" s="3165" t="s">
        <v>3431</v>
      </c>
      <c r="H32" s="374">
        <f>SUMIF(100:100,G32,101:101)-SUMIF(100:100,C32,101:101)+100</f>
        <v>100</v>
      </c>
      <c r="I32" s="3165" t="s">
        <v>3431</v>
      </c>
      <c r="J32" s="405">
        <f>SUMIF(100:100,I32,101:101)-SUMIF(100:100,C32,101:101)+100</f>
        <v>100</v>
      </c>
      <c r="K32" s="538"/>
      <c r="L32" s="2492"/>
      <c r="M32" s="2487"/>
      <c r="N32" s="2487"/>
      <c r="O32" s="2487"/>
      <c r="P32" s="3418" t="s">
        <v>1696</v>
      </c>
      <c r="Q32" s="1262" t="str">
        <f t="shared" si="11"/>
        <v>商业类型</v>
      </c>
      <c r="R32" s="666" t="s">
        <v>14</v>
      </c>
      <c r="S32" s="667">
        <f t="shared" si="12"/>
        <v>100</v>
      </c>
      <c r="T32" s="666" t="s">
        <v>14</v>
      </c>
      <c r="U32" s="667">
        <f t="shared" si="13"/>
        <v>100</v>
      </c>
      <c r="V32" s="666" t="s">
        <v>14</v>
      </c>
      <c r="W32" s="667">
        <f t="shared" si="14"/>
        <v>100</v>
      </c>
      <c r="X32" s="1264"/>
      <c r="Y32" s="3421" t="s">
        <v>1696</v>
      </c>
      <c r="Z32" s="1263" t="str">
        <f t="shared" si="15"/>
        <v>商业类型</v>
      </c>
      <c r="AA32" s="1263">
        <f t="shared" si="3"/>
        <v>1</v>
      </c>
      <c r="AB32" s="1263">
        <f t="shared" si="4"/>
        <v>1</v>
      </c>
      <c r="AC32" s="1263">
        <f t="shared" si="5"/>
        <v>1</v>
      </c>
    </row>
    <row r="33" spans="1:29" s="408" customFormat="1" ht="15">
      <c r="A33" s="406"/>
      <c r="B33" s="364" t="s">
        <v>1697</v>
      </c>
      <c r="C33" s="407">
        <f>面积位置!C33</f>
        <v>596.42000000000007</v>
      </c>
      <c r="D33" s="119">
        <v>100</v>
      </c>
      <c r="E33" s="369">
        <v>333.63</v>
      </c>
      <c r="F33" s="364">
        <f>LOOKUP(E33,103:103,104:104)-LOOKUP(C33,103:103,104:104)+100</f>
        <v>101</v>
      </c>
      <c r="G33" s="368">
        <v>335.05</v>
      </c>
      <c r="H33" s="119">
        <f>LOOKUP(G33,103:103,104:104)-LOOKUP(C33,103:103,104:104)+100</f>
        <v>101</v>
      </c>
      <c r="I33" s="368">
        <v>180.75</v>
      </c>
      <c r="J33" s="119">
        <f>LOOKUP(I33,103:103,104:104)-LOOKUP(C33,103:103,104:104)+100</f>
        <v>102</v>
      </c>
      <c r="K33" s="539"/>
      <c r="L33" s="2491"/>
      <c r="M33" s="2493"/>
      <c r="N33" s="2493"/>
      <c r="O33" s="2493"/>
      <c r="P33" s="3419"/>
      <c r="Q33" s="531" t="str">
        <f t="shared" si="11"/>
        <v>项目建筑规模</v>
      </c>
      <c r="R33" s="668" t="s">
        <v>14</v>
      </c>
      <c r="S33" s="669">
        <f t="shared" si="12"/>
        <v>101</v>
      </c>
      <c r="T33" s="668" t="s">
        <v>14</v>
      </c>
      <c r="U33" s="669">
        <f t="shared" si="13"/>
        <v>101</v>
      </c>
      <c r="V33" s="668" t="s">
        <v>14</v>
      </c>
      <c r="W33" s="669">
        <f t="shared" si="14"/>
        <v>102</v>
      </c>
      <c r="X33" s="670"/>
      <c r="Y33" s="3421"/>
      <c r="Z33" s="671" t="str">
        <f t="shared" si="15"/>
        <v>项目建筑规模</v>
      </c>
      <c r="AA33" s="1263">
        <f t="shared" si="3"/>
        <v>0.99009900990099009</v>
      </c>
      <c r="AB33" s="1263">
        <f t="shared" si="4"/>
        <v>0.99009900990099009</v>
      </c>
      <c r="AC33" s="1263">
        <f t="shared" si="5"/>
        <v>0.98039215686274506</v>
      </c>
    </row>
    <row r="34" spans="1:29" ht="15">
      <c r="A34" s="409"/>
      <c r="B34" s="364" t="s">
        <v>1698</v>
      </c>
      <c r="C34" s="3166" t="s">
        <v>3432</v>
      </c>
      <c r="D34" s="374">
        <v>100</v>
      </c>
      <c r="E34" s="3166" t="s">
        <v>3432</v>
      </c>
      <c r="F34" s="400">
        <f>SUMIF(105:105,E34,106:106)-SUMIF(105:105,C34,106:106)+100</f>
        <v>100</v>
      </c>
      <c r="G34" s="3166" t="s">
        <v>3432</v>
      </c>
      <c r="H34" s="374">
        <f>SUMIF(105:105,G34,106:106)-SUMIF(105:105,C34,106:106)+100</f>
        <v>100</v>
      </c>
      <c r="I34" s="3166" t="s">
        <v>3432</v>
      </c>
      <c r="J34" s="374">
        <f>SUMIF(105:105,I34,106:106)-SUMIF(105:105,C34,106:106)+100</f>
        <v>100</v>
      </c>
      <c r="K34" s="538">
        <v>2</v>
      </c>
      <c r="L34" s="2492"/>
      <c r="M34" s="2487"/>
      <c r="N34" s="2487"/>
      <c r="O34" s="2487"/>
      <c r="P34" s="3419"/>
      <c r="Q34" s="1262" t="str">
        <f t="shared" si="11"/>
        <v>建筑结构</v>
      </c>
      <c r="R34" s="666" t="s">
        <v>14</v>
      </c>
      <c r="S34" s="667">
        <f t="shared" si="12"/>
        <v>100</v>
      </c>
      <c r="T34" s="666" t="s">
        <v>14</v>
      </c>
      <c r="U34" s="667">
        <f t="shared" si="13"/>
        <v>100</v>
      </c>
      <c r="V34" s="666" t="s">
        <v>14</v>
      </c>
      <c r="W34" s="667">
        <f t="shared" si="14"/>
        <v>100</v>
      </c>
      <c r="X34" s="1264"/>
      <c r="Y34" s="3421"/>
      <c r="Z34" s="1263" t="str">
        <f t="shared" si="15"/>
        <v>建筑结构</v>
      </c>
      <c r="AA34" s="1263">
        <f t="shared" si="3"/>
        <v>1</v>
      </c>
      <c r="AB34" s="1263">
        <f t="shared" si="4"/>
        <v>1</v>
      </c>
      <c r="AC34" s="1263">
        <f t="shared" si="5"/>
        <v>1</v>
      </c>
    </row>
    <row r="35" spans="1:29" ht="15" hidden="1">
      <c r="A35" s="409"/>
      <c r="B35" s="364" t="s">
        <v>1785</v>
      </c>
      <c r="C35" s="3167" t="s">
        <v>3433</v>
      </c>
      <c r="D35" s="374">
        <v>100</v>
      </c>
      <c r="E35" s="3167" t="s">
        <v>3433</v>
      </c>
      <c r="F35" s="400">
        <f>SUMIF(107:107,E35,108:108)-SUMIF(107:107,C35,108:108)+100</f>
        <v>100</v>
      </c>
      <c r="G35" s="3167" t="s">
        <v>3433</v>
      </c>
      <c r="H35" s="374">
        <f>SUMIF(107:107,G35,108:108)-SUMIF(107:107,C35,108:108)+100</f>
        <v>100</v>
      </c>
      <c r="I35" s="3167" t="s">
        <v>3433</v>
      </c>
      <c r="J35" s="374">
        <f>SUMIF(107:107,I35,108:108)-SUMIF(107:107,C35,108:108)+100</f>
        <v>100</v>
      </c>
      <c r="K35" s="538">
        <v>2</v>
      </c>
      <c r="L35" s="2492"/>
      <c r="M35" s="2487"/>
      <c r="N35" s="2487"/>
      <c r="O35" s="2487"/>
      <c r="P35" s="3419"/>
      <c r="Q35" s="1262" t="str">
        <f t="shared" si="11"/>
        <v>公共部分装修</v>
      </c>
      <c r="R35" s="666" t="s">
        <v>14</v>
      </c>
      <c r="S35" s="667">
        <f t="shared" si="12"/>
        <v>100</v>
      </c>
      <c r="T35" s="666" t="s">
        <v>14</v>
      </c>
      <c r="U35" s="667">
        <f t="shared" si="13"/>
        <v>100</v>
      </c>
      <c r="V35" s="666" t="s">
        <v>14</v>
      </c>
      <c r="W35" s="667">
        <f t="shared" si="14"/>
        <v>100</v>
      </c>
      <c r="X35" s="1264"/>
      <c r="Y35" s="3421"/>
      <c r="Z35" s="1263" t="str">
        <f t="shared" si="15"/>
        <v>公共部分装修</v>
      </c>
      <c r="AA35" s="1263">
        <f t="shared" si="3"/>
        <v>1</v>
      </c>
      <c r="AB35" s="1263">
        <f t="shared" si="4"/>
        <v>1</v>
      </c>
      <c r="AC35" s="1263">
        <f t="shared" si="5"/>
        <v>1</v>
      </c>
    </row>
    <row r="36" spans="1:29" ht="15">
      <c r="A36" s="409"/>
      <c r="B36" s="364" t="s">
        <v>1786</v>
      </c>
      <c r="C36" s="411">
        <f>'数据-取费表'!N6</f>
        <v>0.73</v>
      </c>
      <c r="D36" s="374">
        <v>100</v>
      </c>
      <c r="E36" s="411">
        <f>C36</f>
        <v>0.73</v>
      </c>
      <c r="F36" s="400">
        <f>LOOKUP(E36,110:110,111:111)-LOOKUP(C36,110:110,111:111)+100</f>
        <v>100</v>
      </c>
      <c r="G36" s="411">
        <v>0.75</v>
      </c>
      <c r="H36" s="400">
        <f>LOOKUP(G36,110:110,111:111)-LOOKUP(C36,110:110,111:111)+100</f>
        <v>100</v>
      </c>
      <c r="I36" s="411">
        <f>ROUND(1-(2025-2019)/60,2)</f>
        <v>0.9</v>
      </c>
      <c r="J36" s="374">
        <f>LOOKUP(I36,110:110,111:111)-LOOKUP(C36,110:110,111:111)+100</f>
        <v>102</v>
      </c>
      <c r="K36" s="538">
        <v>1</v>
      </c>
      <c r="L36" s="2492"/>
      <c r="M36" s="2487"/>
      <c r="N36" s="2487"/>
      <c r="O36" s="2487"/>
      <c r="P36" s="3419"/>
      <c r="Q36" s="1262" t="str">
        <f t="shared" si="11"/>
        <v>成新度</v>
      </c>
      <c r="R36" s="666" t="s">
        <v>14</v>
      </c>
      <c r="S36" s="667">
        <f t="shared" si="12"/>
        <v>100</v>
      </c>
      <c r="T36" s="666" t="s">
        <v>14</v>
      </c>
      <c r="U36" s="667">
        <f t="shared" si="13"/>
        <v>100</v>
      </c>
      <c r="V36" s="666" t="s">
        <v>14</v>
      </c>
      <c r="W36" s="667">
        <f t="shared" si="14"/>
        <v>102</v>
      </c>
      <c r="X36" s="1264"/>
      <c r="Y36" s="3421"/>
      <c r="Z36" s="1263" t="str">
        <f t="shared" si="15"/>
        <v>成新度</v>
      </c>
      <c r="AA36" s="1263">
        <f t="shared" si="3"/>
        <v>1</v>
      </c>
      <c r="AB36" s="1263">
        <f t="shared" si="4"/>
        <v>1</v>
      </c>
      <c r="AC36" s="1263">
        <f t="shared" si="5"/>
        <v>0.98039215686274506</v>
      </c>
    </row>
    <row r="37" spans="1:29" s="102" customFormat="1" ht="15">
      <c r="A37" s="410"/>
      <c r="B37" s="364" t="s">
        <v>1787</v>
      </c>
      <c r="C37" s="3167" t="s">
        <v>3434</v>
      </c>
      <c r="D37" s="119">
        <v>100</v>
      </c>
      <c r="E37" s="3167" t="s">
        <v>3434</v>
      </c>
      <c r="F37" s="400">
        <f>SUMIF(112:112,E37,113:113)-SUMIF(112:112,C37,113:113)+100</f>
        <v>100</v>
      </c>
      <c r="G37" s="3167" t="s">
        <v>3434</v>
      </c>
      <c r="H37" s="374">
        <f>SUMIF(112:112,G37,113:113)-SUMIF(112:112,C37,113:113)+100</f>
        <v>100</v>
      </c>
      <c r="I37" s="3167" t="s">
        <v>3434</v>
      </c>
      <c r="J37" s="374">
        <f>SUMIF(112:112,I37,113:113)-SUMIF(112:112,C37,113:113)+100</f>
        <v>100</v>
      </c>
      <c r="K37" s="538">
        <v>2</v>
      </c>
      <c r="L37" s="2488"/>
      <c r="M37" s="2439"/>
      <c r="N37" s="2439"/>
      <c r="O37" s="2439"/>
      <c r="P37" s="3419"/>
      <c r="Q37" s="530" t="str">
        <f t="shared" si="11"/>
        <v>市政基础设施</v>
      </c>
      <c r="R37" s="663" t="s">
        <v>14</v>
      </c>
      <c r="S37" s="664">
        <f t="shared" si="12"/>
        <v>100</v>
      </c>
      <c r="T37" s="663" t="s">
        <v>14</v>
      </c>
      <c r="U37" s="664">
        <f t="shared" si="13"/>
        <v>100</v>
      </c>
      <c r="V37" s="663" t="s">
        <v>14</v>
      </c>
      <c r="W37" s="664">
        <f t="shared" si="14"/>
        <v>100</v>
      </c>
      <c r="X37" s="665"/>
      <c r="Y37" s="3421"/>
      <c r="Z37" s="50" t="str">
        <f t="shared" si="15"/>
        <v>市政基础设施</v>
      </c>
      <c r="AA37" s="50">
        <f t="shared" si="3"/>
        <v>1</v>
      </c>
      <c r="AB37" s="50">
        <f t="shared" si="4"/>
        <v>1</v>
      </c>
      <c r="AC37" s="50">
        <f t="shared" si="5"/>
        <v>1</v>
      </c>
    </row>
    <row r="38" spans="1:29" ht="15" hidden="1">
      <c r="A38" s="409"/>
      <c r="B38" s="364" t="s">
        <v>1788</v>
      </c>
      <c r="C38" s="3167" t="s">
        <v>3435</v>
      </c>
      <c r="D38" s="374">
        <v>100</v>
      </c>
      <c r="E38" s="3167" t="s">
        <v>3435</v>
      </c>
      <c r="F38" s="400">
        <f>SUMIF(114:114,E38,115:115)-SUMIF(114:114,C38,115:115)+100</f>
        <v>100</v>
      </c>
      <c r="G38" s="3167" t="s">
        <v>3435</v>
      </c>
      <c r="H38" s="374">
        <f>SUMIF(114:114,G38,115:115)-SUMIF(114:114,C38,115:115)+100</f>
        <v>100</v>
      </c>
      <c r="I38" s="3167" t="s">
        <v>3435</v>
      </c>
      <c r="J38" s="374">
        <f>SUMIF(114:114,I38,115:115)-SUMIF(114:114,C38,115:115)+100</f>
        <v>100</v>
      </c>
      <c r="K38" s="538"/>
      <c r="L38" s="2492"/>
      <c r="M38" s="2487"/>
      <c r="N38" s="2487"/>
      <c r="O38" s="2487"/>
      <c r="P38" s="3419" t="s">
        <v>1696</v>
      </c>
      <c r="Q38" s="1262" t="str">
        <f t="shared" si="11"/>
        <v>业态</v>
      </c>
      <c r="R38" s="666" t="s">
        <v>14</v>
      </c>
      <c r="S38" s="667">
        <f t="shared" si="12"/>
        <v>100</v>
      </c>
      <c r="T38" s="666" t="s">
        <v>14</v>
      </c>
      <c r="U38" s="667">
        <f t="shared" si="13"/>
        <v>100</v>
      </c>
      <c r="V38" s="666" t="s">
        <v>14</v>
      </c>
      <c r="W38" s="667">
        <f t="shared" si="14"/>
        <v>100</v>
      </c>
      <c r="X38" s="1264"/>
      <c r="Y38" s="3421" t="s">
        <v>1696</v>
      </c>
      <c r="Z38" s="1263" t="str">
        <f t="shared" si="15"/>
        <v>业态</v>
      </c>
      <c r="AA38" s="1263">
        <f t="shared" si="3"/>
        <v>1</v>
      </c>
      <c r="AB38" s="1263">
        <f t="shared" si="4"/>
        <v>1</v>
      </c>
      <c r="AC38" s="1263">
        <f t="shared" si="5"/>
        <v>1</v>
      </c>
    </row>
    <row r="39" spans="1:29" ht="15">
      <c r="A39" s="409"/>
      <c r="B39" s="364" t="s">
        <v>1789</v>
      </c>
      <c r="C39" s="3167" t="s">
        <v>3436</v>
      </c>
      <c r="D39" s="374">
        <v>100</v>
      </c>
      <c r="E39" s="3167" t="s">
        <v>3436</v>
      </c>
      <c r="F39" s="400">
        <f>SUMIF(116:116,E39,117:117)-SUMIF(116:116,C39,117:117)+100</f>
        <v>100</v>
      </c>
      <c r="G39" s="3167" t="s">
        <v>3436</v>
      </c>
      <c r="H39" s="374">
        <f>SUMIF(116:116,G39,117:117)-SUMIF(116:116,C39,117:117)+100</f>
        <v>100</v>
      </c>
      <c r="I39" s="3167" t="s">
        <v>3436</v>
      </c>
      <c r="J39" s="374">
        <f>SUMIF(116:116,I39,117:117)-SUMIF(116:116,C39,117:117)+100</f>
        <v>100</v>
      </c>
      <c r="K39" s="538">
        <v>5</v>
      </c>
      <c r="L39" s="2492"/>
      <c r="M39" s="2487"/>
      <c r="N39" s="2487"/>
      <c r="O39" s="2487"/>
      <c r="P39" s="3419"/>
      <c r="Q39" s="1262" t="str">
        <f t="shared" si="11"/>
        <v>层高</v>
      </c>
      <c r="R39" s="666" t="s">
        <v>14</v>
      </c>
      <c r="S39" s="667">
        <f t="shared" si="12"/>
        <v>100</v>
      </c>
      <c r="T39" s="666" t="s">
        <v>14</v>
      </c>
      <c r="U39" s="667">
        <f t="shared" si="13"/>
        <v>100</v>
      </c>
      <c r="V39" s="666" t="s">
        <v>14</v>
      </c>
      <c r="W39" s="667">
        <f t="shared" si="14"/>
        <v>100</v>
      </c>
      <c r="X39" s="1264"/>
      <c r="Y39" s="3421"/>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9"/>
      <c r="Q40" s="1262" t="str">
        <f t="shared" si="11"/>
        <v>单套建筑面积</v>
      </c>
      <c r="R40" s="666" t="s">
        <v>14</v>
      </c>
      <c r="S40" s="667">
        <f t="shared" si="12"/>
        <v>100</v>
      </c>
      <c r="T40" s="666" t="s">
        <v>14</v>
      </c>
      <c r="U40" s="667">
        <f t="shared" si="13"/>
        <v>100</v>
      </c>
      <c r="V40" s="666" t="s">
        <v>14</v>
      </c>
      <c r="W40" s="667">
        <f t="shared" si="14"/>
        <v>100</v>
      </c>
      <c r="X40" s="1264"/>
      <c r="Y40" s="3421"/>
      <c r="Z40" s="1263" t="str">
        <f t="shared" si="15"/>
        <v>单套建筑面积</v>
      </c>
      <c r="AA40" s="1263">
        <f t="shared" si="3"/>
        <v>1</v>
      </c>
      <c r="AB40" s="1263">
        <f t="shared" si="4"/>
        <v>1</v>
      </c>
      <c r="AC40" s="1263">
        <f t="shared" si="5"/>
        <v>1</v>
      </c>
    </row>
    <row r="41" spans="1:29" s="408" customFormat="1" ht="15" hidden="1">
      <c r="A41" s="406"/>
      <c r="B41" s="400" t="s">
        <v>1791</v>
      </c>
      <c r="C41" s="3168" t="s">
        <v>3437</v>
      </c>
      <c r="D41" s="374">
        <v>100</v>
      </c>
      <c r="E41" s="3168" t="s">
        <v>3437</v>
      </c>
      <c r="F41" s="400">
        <f>SUMIF(120:120,E41,121:121)-SUMIF(120:120,C41,121:121)+100</f>
        <v>100</v>
      </c>
      <c r="G41" s="3168" t="s">
        <v>3437</v>
      </c>
      <c r="H41" s="374">
        <f>SUMIF(120:120,G41,121:121)-SUMIF(120:120,C41,121:121)+100</f>
        <v>100</v>
      </c>
      <c r="I41" s="3168" t="s">
        <v>3437</v>
      </c>
      <c r="J41" s="374">
        <f>SUMIF(120:120,I41,121:121)-SUMIF(120:120,C41,121:121)+100</f>
        <v>100</v>
      </c>
      <c r="K41" s="538">
        <v>2</v>
      </c>
      <c r="L41" s="2491"/>
      <c r="M41" s="2493"/>
      <c r="N41" s="2493"/>
      <c r="O41" s="2493"/>
      <c r="P41" s="3419"/>
      <c r="Q41" s="531" t="str">
        <f t="shared" si="11"/>
        <v>进深比</v>
      </c>
      <c r="R41" s="668" t="s">
        <v>14</v>
      </c>
      <c r="S41" s="669">
        <f t="shared" si="12"/>
        <v>100</v>
      </c>
      <c r="T41" s="668" t="s">
        <v>14</v>
      </c>
      <c r="U41" s="669">
        <f t="shared" si="13"/>
        <v>100</v>
      </c>
      <c r="V41" s="668" t="s">
        <v>14</v>
      </c>
      <c r="W41" s="669">
        <f t="shared" si="14"/>
        <v>100</v>
      </c>
      <c r="X41" s="670"/>
      <c r="Y41" s="3421"/>
      <c r="Z41" s="671" t="str">
        <f t="shared" si="15"/>
        <v>进深比</v>
      </c>
      <c r="AA41" s="1263">
        <f t="shared" si="3"/>
        <v>1</v>
      </c>
      <c r="AB41" s="1263">
        <f t="shared" si="4"/>
        <v>1</v>
      </c>
      <c r="AC41" s="1263">
        <f t="shared" si="5"/>
        <v>1</v>
      </c>
    </row>
    <row r="42" spans="1:29" ht="15">
      <c r="A42" s="409"/>
      <c r="B42" s="364" t="s">
        <v>1792</v>
      </c>
      <c r="C42" s="3167" t="s">
        <v>3438</v>
      </c>
      <c r="D42" s="374">
        <v>100</v>
      </c>
      <c r="E42" s="3167" t="s">
        <v>3438</v>
      </c>
      <c r="F42" s="400">
        <f>SUMIF(122:122,E42,123:123)-SUMIF(122:122,C42,123:123)+100</f>
        <v>100</v>
      </c>
      <c r="G42" s="3167" t="s">
        <v>3438</v>
      </c>
      <c r="H42" s="374">
        <f>SUMIF(122:122,G42,123:123)-SUMIF(122:122,C42,123:123)+100</f>
        <v>100</v>
      </c>
      <c r="I42" s="3167" t="s">
        <v>3438</v>
      </c>
      <c r="J42" s="374">
        <f>SUMIF(122:122,I42,123:123)-SUMIF(122:122,C42,123:123)+100</f>
        <v>100</v>
      </c>
      <c r="K42" s="538">
        <v>2</v>
      </c>
      <c r="L42" s="2492"/>
      <c r="M42" s="2487"/>
      <c r="N42" s="2487"/>
      <c r="O42" s="2487"/>
      <c r="P42" s="3419"/>
      <c r="Q42" s="1262" t="str">
        <f t="shared" si="11"/>
        <v>内部装修</v>
      </c>
      <c r="R42" s="666" t="s">
        <v>14</v>
      </c>
      <c r="S42" s="667">
        <f t="shared" si="12"/>
        <v>100</v>
      </c>
      <c r="T42" s="666" t="s">
        <v>14</v>
      </c>
      <c r="U42" s="667">
        <f t="shared" si="13"/>
        <v>100</v>
      </c>
      <c r="V42" s="666" t="s">
        <v>14</v>
      </c>
      <c r="W42" s="667">
        <f t="shared" si="14"/>
        <v>100</v>
      </c>
      <c r="X42" s="1264"/>
      <c r="Y42" s="3421"/>
      <c r="Z42" s="1263" t="str">
        <f t="shared" si="15"/>
        <v>内部装修</v>
      </c>
      <c r="AA42" s="1263">
        <f t="shared" si="3"/>
        <v>1</v>
      </c>
      <c r="AB42" s="1263">
        <f t="shared" si="4"/>
        <v>1</v>
      </c>
      <c r="AC42" s="1263">
        <f t="shared" si="5"/>
        <v>1</v>
      </c>
    </row>
    <row r="43" spans="1:29" ht="15.75" thickBot="1">
      <c r="A43" s="409"/>
      <c r="B43" s="364" t="s">
        <v>1707</v>
      </c>
      <c r="C43" s="3167" t="s">
        <v>3439</v>
      </c>
      <c r="D43" s="374">
        <v>100</v>
      </c>
      <c r="E43" s="3167" t="s">
        <v>3439</v>
      </c>
      <c r="F43" s="400">
        <f>SUMIF(124:124,E43,125:125)-SUMIF(124:124,C43,125:125)+100</f>
        <v>100</v>
      </c>
      <c r="G43" s="3167" t="s">
        <v>3439</v>
      </c>
      <c r="H43" s="374">
        <f>SUMIF(124:124,G43,125:125)-SUMIF(124:124,C43,125:125)+100</f>
        <v>100</v>
      </c>
      <c r="I43" s="3167" t="s">
        <v>3439</v>
      </c>
      <c r="J43" s="374">
        <f>SUMIF(124:124,I43,125:125)-SUMIF(124:124,C43,125:125)+100</f>
        <v>100</v>
      </c>
      <c r="K43" s="538">
        <v>2</v>
      </c>
      <c r="L43" s="2492"/>
      <c r="M43" s="2487"/>
      <c r="N43" s="2487"/>
      <c r="O43" s="2487"/>
      <c r="P43" s="3419"/>
      <c r="Q43" s="1262" t="str">
        <f t="shared" si="11"/>
        <v>内部装修维护情况</v>
      </c>
      <c r="R43" s="666" t="s">
        <v>14</v>
      </c>
      <c r="S43" s="667">
        <f t="shared" si="12"/>
        <v>100</v>
      </c>
      <c r="T43" s="666" t="s">
        <v>14</v>
      </c>
      <c r="U43" s="667">
        <f t="shared" si="13"/>
        <v>100</v>
      </c>
      <c r="V43" s="666" t="s">
        <v>14</v>
      </c>
      <c r="W43" s="667">
        <f t="shared" si="14"/>
        <v>100</v>
      </c>
      <c r="X43" s="1264"/>
      <c r="Y43" s="3421"/>
      <c r="Z43" s="1263" t="str">
        <f t="shared" si="15"/>
        <v>内部装修维护情况</v>
      </c>
      <c r="AA43" s="1263">
        <f t="shared" si="3"/>
        <v>1</v>
      </c>
      <c r="AB43" s="1263">
        <f t="shared" si="4"/>
        <v>1</v>
      </c>
      <c r="AC43" s="1263">
        <f t="shared" si="5"/>
        <v>1</v>
      </c>
    </row>
    <row r="44" spans="1:29" s="102" customFormat="1" ht="15" hidden="1">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9"/>
      <c r="Q44" s="530">
        <f t="shared" si="11"/>
        <v>111</v>
      </c>
      <c r="R44" s="663" t="s">
        <v>14</v>
      </c>
      <c r="S44" s="664">
        <f t="shared" si="12"/>
        <v>100</v>
      </c>
      <c r="T44" s="663" t="s">
        <v>14</v>
      </c>
      <c r="U44" s="664">
        <f t="shared" si="13"/>
        <v>100</v>
      </c>
      <c r="V44" s="663" t="s">
        <v>14</v>
      </c>
      <c r="W44" s="664">
        <f t="shared" si="14"/>
        <v>100</v>
      </c>
      <c r="X44" s="665"/>
      <c r="Y44" s="3421"/>
      <c r="Z44" s="50">
        <f t="shared" si="15"/>
        <v>111</v>
      </c>
      <c r="AA44" s="50">
        <f t="shared" si="3"/>
        <v>1</v>
      </c>
      <c r="AB44" s="50">
        <f t="shared" si="4"/>
        <v>1</v>
      </c>
      <c r="AC44" s="50">
        <f t="shared" si="5"/>
        <v>1</v>
      </c>
    </row>
    <row r="45" spans="1:29" ht="15" hidden="1">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9"/>
      <c r="Q45" s="1262">
        <f t="shared" si="11"/>
        <v>111</v>
      </c>
      <c r="R45" s="666" t="s">
        <v>14</v>
      </c>
      <c r="S45" s="667">
        <f t="shared" si="12"/>
        <v>100</v>
      </c>
      <c r="T45" s="666" t="s">
        <v>14</v>
      </c>
      <c r="U45" s="667">
        <f t="shared" si="13"/>
        <v>100</v>
      </c>
      <c r="V45" s="666" t="s">
        <v>14</v>
      </c>
      <c r="W45" s="667">
        <f t="shared" si="14"/>
        <v>100</v>
      </c>
      <c r="X45" s="1264"/>
      <c r="Y45" s="3421"/>
      <c r="Z45" s="1263">
        <f t="shared" si="15"/>
        <v>111</v>
      </c>
      <c r="AA45" s="1263">
        <f t="shared" si="3"/>
        <v>1</v>
      </c>
      <c r="AB45" s="1263">
        <f t="shared" si="4"/>
        <v>1</v>
      </c>
      <c r="AC45" s="1263">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0"/>
      <c r="Q46" s="1262">
        <f t="shared" si="11"/>
        <v>111</v>
      </c>
      <c r="R46" s="666" t="s">
        <v>14</v>
      </c>
      <c r="S46" s="667">
        <f t="shared" si="12"/>
        <v>100</v>
      </c>
      <c r="T46" s="666" t="s">
        <v>14</v>
      </c>
      <c r="U46" s="667">
        <f t="shared" si="13"/>
        <v>100</v>
      </c>
      <c r="V46" s="666" t="s">
        <v>14</v>
      </c>
      <c r="W46" s="667">
        <f t="shared" si="14"/>
        <v>100</v>
      </c>
      <c r="X46" s="1264"/>
      <c r="Y46" s="3422"/>
      <c r="Z46" s="1263">
        <f t="shared" si="15"/>
        <v>111</v>
      </c>
      <c r="AA46" s="1263">
        <f t="shared" si="3"/>
        <v>1</v>
      </c>
      <c r="AB46" s="1263">
        <f t="shared" si="4"/>
        <v>1</v>
      </c>
      <c r="AC46" s="1263">
        <f t="shared" si="5"/>
        <v>1</v>
      </c>
    </row>
    <row r="47" spans="1:29" ht="15">
      <c r="A47" s="416" t="s">
        <v>1708</v>
      </c>
      <c r="B47" s="417"/>
      <c r="C47" s="1080" t="s">
        <v>0</v>
      </c>
      <c r="D47" s="418"/>
      <c r="E47" s="419">
        <f>ROUND(16650000/E33,0)</f>
        <v>49906</v>
      </c>
      <c r="F47" s="420"/>
      <c r="G47" s="419">
        <f>ROUND(18500000/G33,0)</f>
        <v>55216</v>
      </c>
      <c r="H47" s="422"/>
      <c r="I47" s="419">
        <f>ROUND(11000000/I33,0)</f>
        <v>60858</v>
      </c>
      <c r="J47" s="422"/>
      <c r="K47" s="673"/>
      <c r="L47" s="2494"/>
      <c r="M47" s="2487"/>
      <c r="N47" s="2487"/>
      <c r="O47" s="2487"/>
      <c r="P47" s="3423" t="str">
        <f>A47</f>
        <v>成交单价（元/平方米）</v>
      </c>
      <c r="Q47" s="3423"/>
      <c r="R47" s="3384">
        <f>E47</f>
        <v>49906</v>
      </c>
      <c r="S47" s="3384"/>
      <c r="T47" s="3384">
        <f>G47</f>
        <v>55216</v>
      </c>
      <c r="U47" s="3384"/>
      <c r="V47" s="3384">
        <f>I47</f>
        <v>60858</v>
      </c>
      <c r="W47" s="3384"/>
      <c r="X47" s="385"/>
      <c r="Y47" s="672"/>
      <c r="Z47" s="385"/>
      <c r="AA47" s="385"/>
      <c r="AB47" s="385"/>
      <c r="AC47" s="385"/>
    </row>
    <row r="48" spans="1:29" ht="15.75" thickBot="1">
      <c r="A48" s="423" t="s">
        <v>1793</v>
      </c>
      <c r="B48" s="424"/>
      <c r="C48" s="1081">
        <f>R49</f>
        <v>46455</v>
      </c>
      <c r="D48" s="2140" t="s">
        <v>2138</v>
      </c>
      <c r="E48" s="1082">
        <f>R48</f>
        <v>47059</v>
      </c>
      <c r="F48" s="2141"/>
      <c r="G48" s="1081">
        <f>T48</f>
        <v>45275</v>
      </c>
      <c r="H48" s="2141"/>
      <c r="I48" s="1082">
        <f>V48</f>
        <v>47032</v>
      </c>
      <c r="J48" s="2141"/>
      <c r="K48" s="2143">
        <f>F48+H48+J48</f>
        <v>0</v>
      </c>
      <c r="L48" s="2494"/>
      <c r="M48" s="2487"/>
      <c r="N48" s="2487"/>
      <c r="O48" s="2487"/>
      <c r="P48" s="3423" t="str">
        <f>A48</f>
        <v>比较价值（元/平方米）</v>
      </c>
      <c r="Q48" s="3423"/>
      <c r="R48" s="3384">
        <f>IF(F1="售价",ROUND(PRODUCT(R47,AA7:AA46),0),ROUND(PRODUCT(R47,AA7:AA46),1))</f>
        <v>47059</v>
      </c>
      <c r="S48" s="3384"/>
      <c r="T48" s="3384">
        <f>IF(F1="售价",ROUND(PRODUCT(T47,AB7:AB46),0),ROUND(PRODUCT(T47,AB7:AB46),1))</f>
        <v>45275</v>
      </c>
      <c r="U48" s="3384"/>
      <c r="V48" s="3384">
        <f>IF(F1="售价",ROUND(PRODUCT(V47,AC7:AC46),0),ROUND(PRODUCT(V47,AC7:AC46),1))</f>
        <v>47032</v>
      </c>
      <c r="W48" s="3384"/>
      <c r="X48" s="385"/>
      <c r="Y48" s="385"/>
      <c r="Z48" s="385"/>
      <c r="AA48" s="385"/>
      <c r="AB48" s="385"/>
      <c r="AC48" s="385"/>
    </row>
    <row r="49" spans="1:29" ht="15.75" thickBot="1">
      <c r="A49" s="427" t="s">
        <v>1794</v>
      </c>
      <c r="B49" s="428"/>
      <c r="C49" s="351">
        <f>R49</f>
        <v>46455</v>
      </c>
      <c r="D49" s="351"/>
      <c r="E49" s="351"/>
      <c r="F49" s="351"/>
      <c r="G49" s="351"/>
      <c r="H49" s="351"/>
      <c r="I49" s="351"/>
      <c r="J49" s="351"/>
      <c r="K49" s="674"/>
      <c r="L49" s="2494"/>
      <c r="M49" s="2487"/>
      <c r="N49" s="2487"/>
      <c r="O49" s="2487"/>
      <c r="P49" s="3424" t="str">
        <f>A49</f>
        <v>估价对象XX用房的比较价值（楼面单价，元/平方米）</v>
      </c>
      <c r="Q49" s="3425"/>
      <c r="R49" s="3426">
        <f>IF(F1="售价",ROUND(IF(D48="简单平均",AVERAGE(R48:V48),R48*F48+T48*H48+V48*J48),0),ROUND(IF(D48="简单平均",AVERAGE(R48:V48),R48*F48+T48*H48+V48*J48),1))</f>
        <v>46455</v>
      </c>
      <c r="S49" s="3426"/>
      <c r="T49" s="3426"/>
      <c r="U49" s="3426"/>
      <c r="V49" s="3426"/>
      <c r="W49" s="3426"/>
      <c r="X49" s="385"/>
      <c r="Y49" s="385"/>
      <c r="Z49" s="385"/>
      <c r="AA49" s="385"/>
      <c r="AB49" s="385"/>
      <c r="AC49" s="385"/>
    </row>
    <row r="50" spans="1:29">
      <c r="A50" s="2487"/>
      <c r="B50" s="2487"/>
      <c r="C50" s="2487"/>
      <c r="D50" s="2487"/>
      <c r="E50" s="2487">
        <v>2005</v>
      </c>
      <c r="F50" s="2487"/>
      <c r="G50" s="2487">
        <v>2006</v>
      </c>
      <c r="H50" s="2487"/>
      <c r="I50" s="2487">
        <v>2019</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6.0498523130538162E-2</v>
      </c>
      <c r="F52" s="435" t="str">
        <f>IF(OR(E52&gt;=0.3,E52&lt;=-0.3),"超过30%","")</f>
        <v/>
      </c>
      <c r="G52" s="434">
        <f>IF(G47&lt;G48,G48/G47-1,G47/G48-1)</f>
        <v>0.21956929872998354</v>
      </c>
      <c r="H52" s="435" t="str">
        <f>IF(OR(G52&gt;=0.3,G52&lt;=-0.3),"超过30%","")</f>
        <v/>
      </c>
      <c r="I52" s="434">
        <f>IF(I47&lt;I48,I48/I47-1,I47/I48-1)</f>
        <v>0.29397006293587347</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3.9403644395361592E-2</v>
      </c>
      <c r="F53" s="435" t="str">
        <f>IF(OR(E53&gt;=0.2,E53&lt;=-0.2),"超过20%","")</f>
        <v/>
      </c>
      <c r="G53" s="434">
        <f>IF(G48&lt;I48,I48/G48-1,G48/I48-1)</f>
        <v>3.8807288790723371E-2</v>
      </c>
      <c r="H53" s="435" t="str">
        <f>IF(OR(G53&gt;=0.2,G53&lt;=-0.2),"超过20%","")</f>
        <v/>
      </c>
      <c r="I53" s="434">
        <f>IF(I48&lt;E48,E48/I48-1,I48/E48-1)</f>
        <v>5.7407722401769945E-4</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0.10640003206027338</v>
      </c>
      <c r="F54" s="435" t="str">
        <f>IF(OR(E54&gt;=0.3,E54&lt;=-0.3),"超过30%","")</f>
        <v/>
      </c>
      <c r="G54" s="434">
        <f>IF(G47&lt;I47,I47/G47-1,G47/I47-1)</f>
        <v>0.10218052738336714</v>
      </c>
      <c r="H54" s="435" t="str">
        <f>IF(OR(G54&gt;=0.3,G54&lt;=-0.3),"超过30%","")</f>
        <v/>
      </c>
      <c r="I54" s="434">
        <f>IF(I47&lt;E47,E47/I47-1,I47/E47-1)</f>
        <v>0.21945257083316627</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71"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15.75" thickTop="1">
      <c r="A65" s="367"/>
      <c r="B65" s="469" t="s">
        <v>1688</v>
      </c>
      <c r="C65" s="513" t="s">
        <v>3427</v>
      </c>
      <c r="D65" s="513" t="s">
        <v>3440</v>
      </c>
      <c r="E65" s="513" t="s">
        <v>3441</v>
      </c>
      <c r="F65" s="513" t="s">
        <v>3442</v>
      </c>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101</v>
      </c>
      <c r="E66" s="467">
        <v>102</v>
      </c>
      <c r="F66" s="467">
        <v>103</v>
      </c>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3449</v>
      </c>
      <c r="D88" s="485" t="s">
        <v>3421</v>
      </c>
      <c r="E88" s="485" t="s">
        <v>3420</v>
      </c>
      <c r="F88" s="1779" t="s">
        <v>3450</v>
      </c>
      <c r="G88" s="485" t="s">
        <v>3451</v>
      </c>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v>100</v>
      </c>
      <c r="D89" s="467">
        <v>102</v>
      </c>
      <c r="E89" s="467">
        <v>104</v>
      </c>
      <c r="F89" s="467">
        <v>106</v>
      </c>
      <c r="G89" s="467">
        <v>108</v>
      </c>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9" t="s">
        <v>3443</v>
      </c>
      <c r="D90" s="3169" t="s">
        <v>3445</v>
      </c>
      <c r="E90" s="3169" t="s">
        <v>3446</v>
      </c>
      <c r="F90" s="3169" t="s">
        <v>3447</v>
      </c>
      <c r="G90" s="3169" t="s">
        <v>3448</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3452</v>
      </c>
      <c r="D92" s="485" t="s">
        <v>3453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115</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100(含)-200</v>
      </c>
      <c r="E102" s="509" t="str">
        <f t="shared" si="23"/>
        <v>200(含)-500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99</v>
      </c>
      <c r="E104" s="467">
        <v>98</v>
      </c>
      <c r="F104" s="467">
        <v>97</v>
      </c>
      <c r="G104" s="467">
        <v>96</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17.47</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1366.4566</v>
      </c>
      <c r="C2" s="1288" t="s">
        <v>879</v>
      </c>
      <c r="D2" s="1374">
        <f ca="1">C40+J29+L46</f>
        <v>13664566</v>
      </c>
      <c r="E2" s="1294" t="s">
        <v>880</v>
      </c>
      <c r="F2" s="1295"/>
      <c r="G2" s="2478"/>
      <c r="H2" s="2468"/>
      <c r="I2" s="2468"/>
      <c r="J2" s="2468"/>
      <c r="K2" s="2469"/>
      <c r="L2" s="2468"/>
      <c r="M2" s="2468"/>
    </row>
    <row r="3" spans="1:37" ht="18" customHeight="1" thickBot="1">
      <c r="A3" s="1296" t="s">
        <v>881</v>
      </c>
      <c r="B3" s="1297">
        <f ca="1">IF(ISERROR(D2/F43),0,ROUND(D2/F43,0))</f>
        <v>22911</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1196630</v>
      </c>
      <c r="D5" s="1272" t="s">
        <v>889</v>
      </c>
      <c r="E5" s="1007"/>
      <c r="F5" s="1008"/>
      <c r="G5" s="1291"/>
      <c r="H5" s="291">
        <v>1</v>
      </c>
      <c r="I5" s="292" t="s">
        <v>888</v>
      </c>
      <c r="J5" s="1006">
        <f ca="1">J6+J10+J12</f>
        <v>0</v>
      </c>
      <c r="K5" s="1272" t="s">
        <v>889</v>
      </c>
      <c r="L5" s="1007"/>
      <c r="M5" s="1008"/>
    </row>
    <row r="6" spans="1:37" ht="18" customHeight="1">
      <c r="A6" s="1005" t="s">
        <v>398</v>
      </c>
      <c r="B6" s="3359" t="s">
        <v>694</v>
      </c>
      <c r="C6" s="1010">
        <f ca="1">ROUND(F6*F8*F7*(1-F9),0)</f>
        <v>1195136</v>
      </c>
      <c r="D6" s="147" t="s">
        <v>2106</v>
      </c>
      <c r="E6" s="294" t="s">
        <v>696</v>
      </c>
      <c r="F6" s="295">
        <f ca="1">INDIRECT("'数据-取费表'!u"&amp;$G$1)</f>
        <v>6.1</v>
      </c>
      <c r="G6" s="1291"/>
      <c r="H6" s="1005" t="s">
        <v>398</v>
      </c>
      <c r="I6" s="3359" t="s">
        <v>694</v>
      </c>
      <c r="J6" s="293">
        <f ca="1">ROUND(M6*M8*M7*(1-M9),0)</f>
        <v>0</v>
      </c>
      <c r="K6" s="1283" t="s">
        <v>2107</v>
      </c>
      <c r="L6" s="294" t="s">
        <v>696</v>
      </c>
      <c r="M6" s="295">
        <f ca="1">INDIRECT("'数据-取费表'!z"&amp;$G$1)</f>
        <v>0</v>
      </c>
    </row>
    <row r="7" spans="1:37" ht="18" customHeight="1">
      <c r="A7" s="1009"/>
      <c r="B7" s="3360"/>
      <c r="C7" s="1011"/>
      <c r="D7" s="299"/>
      <c r="E7" s="1012" t="s">
        <v>697</v>
      </c>
      <c r="F7" s="295">
        <f ca="1">IF(INDIRECT("'数据-取费表'!ah"&amp;$G$1)="",INDIRECT("'数据-取费表'!k"&amp;$G$1),INDIRECT("'数据-取费表'!ah"&amp;$G$1))</f>
        <v>596.42000000000007</v>
      </c>
      <c r="G7" s="1291"/>
      <c r="H7" s="296"/>
      <c r="I7" s="3360"/>
      <c r="J7" s="298"/>
      <c r="K7" s="299"/>
      <c r="L7" s="294" t="s">
        <v>697</v>
      </c>
      <c r="M7" s="295">
        <f ca="1">F7</f>
        <v>596.42000000000007</v>
      </c>
    </row>
    <row r="8" spans="1:37" ht="18" customHeight="1">
      <c r="A8" s="296"/>
      <c r="B8" s="3360"/>
      <c r="C8" s="298"/>
      <c r="D8" s="299"/>
      <c r="E8" s="294" t="s">
        <v>698</v>
      </c>
      <c r="F8" s="295">
        <f ca="1">INDIRECT("'数据-取费表'!ai"&amp;$G$1)</f>
        <v>365</v>
      </c>
      <c r="G8" s="1291"/>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1"/>
      <c r="H9" s="296"/>
      <c r="I9" s="3361"/>
      <c r="J9" s="298"/>
      <c r="K9" s="299"/>
      <c r="L9" s="305" t="s">
        <v>699</v>
      </c>
      <c r="M9" s="306">
        <f ca="1">INDIRECT("'数据-取费表'!ab"&amp;$G$1)</f>
        <v>0</v>
      </c>
    </row>
    <row r="10" spans="1:37" ht="18" customHeight="1">
      <c r="A10" s="1005" t="s">
        <v>402</v>
      </c>
      <c r="B10" s="1273" t="s">
        <v>700</v>
      </c>
      <c r="C10" s="308">
        <f ca="1">ROUND(IF(F10="押一",C6/12*F11,IF(F10="押二",C6/12*2*F11,IF(F10="押三",C6/12*3*F11,C11*F11))),0)</f>
        <v>1494</v>
      </c>
      <c r="D10" s="150" t="s">
        <v>2116</v>
      </c>
      <c r="E10" s="305" t="s">
        <v>701</v>
      </c>
      <c r="F10" s="1052" t="s">
        <v>3422</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3063490</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2683890</v>
      </c>
      <c r="D14" s="1256" t="s">
        <v>708</v>
      </c>
      <c r="E14" s="1254"/>
      <c r="F14" s="311"/>
      <c r="G14" s="1291"/>
      <c r="H14" s="927" t="s">
        <v>398</v>
      </c>
      <c r="I14" s="294" t="s">
        <v>709</v>
      </c>
      <c r="J14" s="21">
        <f ca="1">C29</f>
        <v>4196562</v>
      </c>
      <c r="K14" s="12"/>
      <c r="L14" s="758"/>
      <c r="M14" s="759"/>
    </row>
    <row r="15" spans="1:37" s="1303" customFormat="1" ht="18" customHeight="1" thickBot="1">
      <c r="A15" s="927" t="s">
        <v>399</v>
      </c>
      <c r="B15" s="294" t="s">
        <v>710</v>
      </c>
      <c r="C15" s="21">
        <f ca="1">ROUND(C14*F15,0)</f>
        <v>134195</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8393</v>
      </c>
      <c r="K16" s="1023" t="s">
        <v>715</v>
      </c>
      <c r="L16" s="1024"/>
      <c r="M16" s="1008"/>
    </row>
    <row r="17" spans="1:37" s="1303" customFormat="1" ht="18" customHeight="1">
      <c r="A17" s="927" t="s">
        <v>681</v>
      </c>
      <c r="B17" s="294" t="s">
        <v>716</v>
      </c>
      <c r="C17" s="21">
        <f ca="1">ROUND(F17*(F43+INDIRECT("'数据-取费表'!S"&amp;$G$1)),0)</f>
        <v>119284</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53678</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2991047</v>
      </c>
      <c r="D19" s="123" t="s">
        <v>726</v>
      </c>
      <c r="E19" s="1268"/>
      <c r="F19" s="23"/>
      <c r="G19" s="1291"/>
      <c r="H19" s="927" t="s">
        <v>399</v>
      </c>
      <c r="I19" s="294" t="s">
        <v>727</v>
      </c>
      <c r="J19" s="21">
        <f ca="1">IF(K19="按租金收入计税",ROUND(J6*M19/(1+'数据-取费表'!C42),0),ROUND(C29*M19*0.7,0))</f>
        <v>0</v>
      </c>
      <c r="K19" s="1277" t="s">
        <v>3326</v>
      </c>
      <c r="L19" s="294" t="s">
        <v>712</v>
      </c>
      <c r="M19" s="314">
        <f>IF(K19="按租金收入计税",'数据-取费表'!B51,'数据-取费表'!B50)</f>
        <v>0.12</v>
      </c>
    </row>
    <row r="20" spans="1:37" s="1303" customFormat="1" ht="18" customHeight="1">
      <c r="A20" s="927" t="s">
        <v>402</v>
      </c>
      <c r="B20" s="294" t="s">
        <v>728</v>
      </c>
      <c r="C20" s="21">
        <f ca="1">ROUND(C19*F20,0)</f>
        <v>89731</v>
      </c>
      <c r="D20" s="315" t="s">
        <v>729</v>
      </c>
      <c r="E20" s="294" t="s">
        <v>712</v>
      </c>
      <c r="F20" s="314">
        <f>'数据-取费表'!B37</f>
        <v>0.03</v>
      </c>
      <c r="G20" s="1302"/>
      <c r="H20" s="927" t="s">
        <v>680</v>
      </c>
      <c r="I20" s="147" t="s">
        <v>730</v>
      </c>
      <c r="J20" s="22">
        <f ca="1">ROUND(M20*M21,0)</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8393</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119839</v>
      </c>
      <c r="D23" s="138" t="str">
        <f>IF(F23&lt;=1,"(建造成本+管理费用)×利率×(建设周期÷2)","(建造成本+管理费用)×((1+利率)^(建设周期÷2)-1)")</f>
        <v>(建造成本+管理费用)×((1+利率)^(建设周期÷2)-1)</v>
      </c>
      <c r="E23" s="294" t="s">
        <v>741</v>
      </c>
      <c r="F23" s="317">
        <f>'数据-取费表'!B20</f>
        <v>2.5</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-8393</v>
      </c>
      <c r="K25" s="1031" t="s">
        <v>753</v>
      </c>
      <c r="L25" s="1032"/>
      <c r="M25" s="1033"/>
    </row>
    <row r="26" spans="1:37" ht="18" customHeight="1">
      <c r="A26" s="927" t="s">
        <v>397</v>
      </c>
      <c r="B26" s="294" t="s">
        <v>754</v>
      </c>
      <c r="C26" s="21">
        <f ca="1">ROUND((C19+C20)*F26,0)</f>
        <v>616156</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4196562</v>
      </c>
      <c r="D29" s="1028"/>
      <c r="E29" s="1026"/>
      <c r="F29" s="1029"/>
      <c r="G29" s="1302"/>
      <c r="H29" s="325" t="s">
        <v>396</v>
      </c>
      <c r="I29" s="326" t="s">
        <v>768</v>
      </c>
      <c r="J29" s="327">
        <f ca="1">ROUND(J26/(1+F40)^F41,0)</f>
        <v>0</v>
      </c>
      <c r="K29" s="328" t="s">
        <v>769</v>
      </c>
      <c r="L29" s="329"/>
      <c r="M29" s="330">
        <f ca="1">INDIRECT("'数据-取费表'!k"&amp;$G$1)</f>
        <v>596.42000000000007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160009</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136587</v>
      </c>
      <c r="D31" s="1256" t="s">
        <v>720</v>
      </c>
      <c r="E31" s="1255" t="s">
        <v>770</v>
      </c>
      <c r="F31" s="2138">
        <f ca="1">IF(项目基本情况!B11="企业","——",IF(M47="住宅",IF(F6*F7*F8/12/(1+'数据-取费表'!F30)&gt;100000,4%,2.5%),IF(F6*F7*F8/12/(1+'数据-取费表'!F30)&gt;100000,12%,7%)))</f>
        <v>0.12</v>
      </c>
      <c r="G31" s="1291"/>
      <c r="H31" s="2569" t="s">
        <v>2297</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24</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8393</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ROUND(C13*F37,0)</f>
        <v>3063</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11966</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1036621</v>
      </c>
      <c r="D39" s="1031" t="s">
        <v>773</v>
      </c>
      <c r="E39" s="1032"/>
      <c r="F39" s="1033"/>
      <c r="G39" s="1291"/>
      <c r="H39" s="2473"/>
      <c r="I39" s="1304"/>
      <c r="J39" s="1305"/>
      <c r="K39" s="2471"/>
      <c r="L39" s="2473"/>
      <c r="M39" s="2473"/>
    </row>
    <row r="40" spans="1:18" ht="18" customHeight="1">
      <c r="A40" s="291" t="s">
        <v>395</v>
      </c>
      <c r="B40" s="292" t="s">
        <v>774</v>
      </c>
      <c r="C40" s="293">
        <f ca="1">ROUND(C39*(1-((1+F42)/(1+F40))^F41)/(F40-F42),0)</f>
        <v>13190053</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17.47</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22115</v>
      </c>
      <c r="D43" s="328" t="s">
        <v>777</v>
      </c>
      <c r="E43" s="329" t="s">
        <v>778</v>
      </c>
      <c r="F43" s="330">
        <f ca="1">INDIRECT("'数据-取费表'!k"&amp;$G$1)</f>
        <v>596.42000000000007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3342</v>
      </c>
      <c r="B45" s="1306"/>
      <c r="C45" s="1375">
        <f ca="1">ROUND((C68-C40)/10000,4)</f>
        <v>-1331.6601000000001</v>
      </c>
      <c r="D45" s="3130" t="s">
        <v>3343</v>
      </c>
      <c r="E45" s="1306"/>
      <c r="F45" s="1306"/>
      <c r="O45" s="1309" t="s">
        <v>808</v>
      </c>
      <c r="P45" s="1365"/>
      <c r="Q45" s="1365"/>
      <c r="R45" s="1365"/>
    </row>
    <row r="46" spans="1:18" s="1291" customFormat="1" ht="13.5" thickBot="1">
      <c r="A46" s="1310" t="s">
        <v>809</v>
      </c>
      <c r="C46" s="1311">
        <f ca="1">ROUND(C45,0)</f>
        <v>-1332</v>
      </c>
      <c r="D46" s="1312" t="str">
        <f>C2</f>
        <v>万元</v>
      </c>
      <c r="I46" s="1313" t="s">
        <v>810</v>
      </c>
      <c r="J46" s="1314"/>
      <c r="K46" s="1315"/>
      <c r="L46" s="1316">
        <f ca="1">IF(M47="住宅",0,IF(L48&gt;J51,L60,J60))</f>
        <v>474513</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3423</v>
      </c>
      <c r="K47" s="1322" t="s">
        <v>816</v>
      </c>
      <c r="L47" s="1323">
        <f ca="1">INDIRECT("'数据-取费表'!d"&amp;$G$1)</f>
        <v>40</v>
      </c>
      <c r="M47" s="1287" t="str">
        <f>IF(ISNUMBER(FIND("住宅",C1)),"住宅","非住宅")</f>
        <v>非住宅</v>
      </c>
      <c r="O47" s="1324" t="s">
        <v>403</v>
      </c>
      <c r="P47" s="1325" t="s">
        <v>817</v>
      </c>
      <c r="Q47" s="1326">
        <f ca="1">C40+J29</f>
        <v>13190053</v>
      </c>
      <c r="R47" s="1326" t="s">
        <v>818</v>
      </c>
    </row>
    <row r="48" spans="1:18" s="1291" customFormat="1" ht="28.5" thickBot="1">
      <c r="A48" s="1046" t="s">
        <v>438</v>
      </c>
      <c r="B48" s="292" t="s">
        <v>692</v>
      </c>
      <c r="C48" s="1267">
        <f ca="1">C49+C53+C55</f>
        <v>0</v>
      </c>
      <c r="D48" s="1048"/>
      <c r="E48" s="1049"/>
      <c r="F48" s="907"/>
      <c r="G48" s="680"/>
      <c r="H48" s="681"/>
      <c r="I48" s="1327" t="s">
        <v>819</v>
      </c>
      <c r="J48" s="1328" t="s">
        <v>3424</v>
      </c>
      <c r="K48" s="1329" t="s">
        <v>820</v>
      </c>
      <c r="L48" s="1330">
        <f ca="1">INDIRECT("'数据-取费表'!f"&amp;$G$1)</f>
        <v>17.47</v>
      </c>
      <c r="O48" s="1324" t="s">
        <v>404</v>
      </c>
      <c r="P48" s="1325" t="s">
        <v>821</v>
      </c>
      <c r="Q48" s="1326">
        <f ca="1">J60</f>
        <v>474513</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2005</v>
      </c>
      <c r="K49" s="1329" t="s">
        <v>824</v>
      </c>
      <c r="L49" s="1332"/>
      <c r="O49" s="1333" t="s">
        <v>405</v>
      </c>
      <c r="P49" s="1325" t="s">
        <v>825</v>
      </c>
      <c r="Q49" s="1326">
        <f ca="1">C29</f>
        <v>4196562</v>
      </c>
      <c r="R49" s="1326" t="s">
        <v>818</v>
      </c>
    </row>
    <row r="50" spans="1:18" s="1291" customFormat="1" ht="13.5" thickBot="1">
      <c r="A50" s="921"/>
      <c r="B50" s="924"/>
      <c r="C50" s="925"/>
      <c r="D50" s="898"/>
      <c r="E50" s="992" t="s">
        <v>697</v>
      </c>
      <c r="F50" s="993">
        <f ca="1">F7</f>
        <v>596.42000000000007</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14107801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17.47</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17.47</v>
      </c>
      <c r="K53" s="3357" t="s">
        <v>837</v>
      </c>
      <c r="L53" s="3358"/>
      <c r="O53" s="1324" t="s">
        <v>409</v>
      </c>
      <c r="P53" s="1325" t="s">
        <v>838</v>
      </c>
      <c r="Q53" s="1326">
        <f ca="1">Q47+Q48</f>
        <v>13664566</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0.376</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3063490</v>
      </c>
      <c r="D56" s="1351"/>
      <c r="E56" s="1352"/>
      <c r="F56" s="1344"/>
      <c r="I56" s="1353" t="s">
        <v>842</v>
      </c>
      <c r="J56" s="1354" t="s">
        <v>3465</v>
      </c>
      <c r="K56" s="1327" t="s">
        <v>843</v>
      </c>
      <c r="L56" s="1330" t="str">
        <f ca="1">IF(L48&lt;J51,"——",L48-J51)</f>
        <v>——</v>
      </c>
      <c r="O56" s="1324" t="s">
        <v>403</v>
      </c>
      <c r="P56" s="1325" t="s">
        <v>817</v>
      </c>
      <c r="Q56" s="1326">
        <f ca="1">C40+J29</f>
        <v>13190053</v>
      </c>
      <c r="R56" s="1326" t="s">
        <v>818</v>
      </c>
    </row>
    <row r="57" spans="1:18" s="1291" customFormat="1" ht="24.75" thickBot="1">
      <c r="A57" s="1355"/>
      <c r="B57" s="895" t="s">
        <v>767</v>
      </c>
      <c r="C57" s="230">
        <f ca="1">C29</f>
        <v>4196562</v>
      </c>
      <c r="D57" s="1356"/>
      <c r="E57" s="1357"/>
      <c r="F57" s="1358"/>
      <c r="I57" s="1359" t="s">
        <v>844</v>
      </c>
      <c r="J57" s="1360">
        <f ca="1">IF(OR(M47="住宅",J51&lt;L48,J56="是"),"——",J51-L48)</f>
        <v>22.53</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11456</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1678625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474513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24</v>
      </c>
      <c r="I62" s="1366" t="s">
        <v>858</v>
      </c>
      <c r="J62" s="609" t="s">
        <v>859</v>
      </c>
      <c r="K62" s="609" t="s">
        <v>860</v>
      </c>
      <c r="L62" s="609" t="s">
        <v>861</v>
      </c>
      <c r="M62" s="1367" t="s">
        <v>862</v>
      </c>
      <c r="O62" s="1324" t="s">
        <v>409</v>
      </c>
      <c r="P62" s="1325" t="s">
        <v>863</v>
      </c>
      <c r="Q62" s="1326">
        <f ca="1">Q56+Q57</f>
        <v>13190053</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8393</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3063</v>
      </c>
      <c r="D65" s="909" t="s">
        <v>743</v>
      </c>
      <c r="E65" s="895" t="s">
        <v>744</v>
      </c>
      <c r="F65" s="321">
        <f t="shared" ca="1" si="0"/>
        <v>1E-3</v>
      </c>
      <c r="I65" s="1366" t="s">
        <v>867</v>
      </c>
      <c r="J65" s="609">
        <v>40</v>
      </c>
      <c r="K65" s="609">
        <v>30</v>
      </c>
      <c r="L65" s="609">
        <v>50</v>
      </c>
      <c r="M65" s="1368">
        <v>0.02</v>
      </c>
      <c r="O65" s="1324" t="s">
        <v>403</v>
      </c>
      <c r="P65" s="1325" t="s">
        <v>868</v>
      </c>
      <c r="Q65" s="1326">
        <f ca="1">C40+J29</f>
        <v>13190053</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-11456</v>
      </c>
      <c r="D67" s="908" t="s">
        <v>753</v>
      </c>
      <c r="E67" s="913"/>
      <c r="F67" s="914"/>
      <c r="O67" s="1333" t="s">
        <v>405</v>
      </c>
      <c r="P67" s="1325" t="s">
        <v>850</v>
      </c>
      <c r="Q67" s="1369">
        <f ca="1">L51</f>
        <v>14107801</v>
      </c>
      <c r="R67" s="1326" t="s">
        <v>870</v>
      </c>
    </row>
    <row r="68" spans="1:18" s="1291" customFormat="1" ht="16.5" thickBot="1">
      <c r="A68" s="892" t="s">
        <v>395</v>
      </c>
      <c r="B68" s="893" t="s">
        <v>774</v>
      </c>
      <c r="C68" s="293">
        <f ca="1">ROUND(C67*(1-((1+F70)/(1+F68))^F69)/(F68-F70),0)</f>
        <v>-126548</v>
      </c>
      <c r="D68" s="910" t="s">
        <v>758</v>
      </c>
      <c r="E68" s="895" t="s">
        <v>759</v>
      </c>
      <c r="F68" s="304">
        <f ca="1">F40</f>
        <v>5.5E-2</v>
      </c>
      <c r="O68" s="1333" t="s">
        <v>406</v>
      </c>
      <c r="P68" s="1370" t="s">
        <v>871</v>
      </c>
      <c r="Q68" s="1326">
        <f ca="1">ROUND(Q69-Q70*Q71,0)</f>
        <v>822177</v>
      </c>
      <c r="R68" s="1326" t="s">
        <v>414</v>
      </c>
    </row>
    <row r="69" spans="1:18" s="1291" customFormat="1" ht="13.5" thickBot="1">
      <c r="A69" s="896"/>
      <c r="B69" s="897"/>
      <c r="C69" s="298"/>
      <c r="D69" s="915" t="s">
        <v>762</v>
      </c>
      <c r="E69" s="895" t="s">
        <v>763</v>
      </c>
      <c r="F69" s="324">
        <f ca="1">F41</f>
        <v>17.47</v>
      </c>
      <c r="O69" s="1333" t="s">
        <v>411</v>
      </c>
      <c r="P69" s="1370" t="s">
        <v>872</v>
      </c>
      <c r="Q69" s="1326">
        <f ca="1">C39</f>
        <v>1036621</v>
      </c>
      <c r="R69" s="1326" t="s">
        <v>818</v>
      </c>
    </row>
    <row r="70" spans="1:18" s="1291" customFormat="1" ht="13.5" thickBot="1">
      <c r="A70" s="899"/>
      <c r="B70" s="900"/>
      <c r="C70" s="302"/>
      <c r="D70" s="911"/>
      <c r="E70" s="895" t="s">
        <v>766</v>
      </c>
      <c r="F70" s="990"/>
      <c r="O70" s="1333" t="s">
        <v>412</v>
      </c>
      <c r="P70" s="1370" t="s">
        <v>873</v>
      </c>
      <c r="Q70" s="1326">
        <f ca="1">C13</f>
        <v>3063490</v>
      </c>
      <c r="R70" s="1326" t="s">
        <v>818</v>
      </c>
    </row>
    <row r="71" spans="1:18" s="1291" customFormat="1" ht="13.5" thickBot="1">
      <c r="A71" s="916" t="s">
        <v>396</v>
      </c>
      <c r="B71" s="917" t="s">
        <v>776</v>
      </c>
      <c r="C71" s="327">
        <f ca="1">ROUND(C68/F71,0)</f>
        <v>-212</v>
      </c>
      <c r="D71" s="918" t="s">
        <v>777</v>
      </c>
      <c r="E71" s="919" t="s">
        <v>778</v>
      </c>
      <c r="F71" s="330">
        <f ca="1">F43</f>
        <v>596.42000000000007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214444</v>
      </c>
      <c r="D75" s="1291"/>
      <c r="E75" s="1291"/>
      <c r="F75" s="1291"/>
      <c r="K75" s="1308"/>
      <c r="L75" s="1291"/>
      <c r="O75" s="1324" t="s">
        <v>409</v>
      </c>
      <c r="P75" s="1325" t="s">
        <v>838</v>
      </c>
      <c r="Q75" s="1326">
        <f ca="1">Q65+Q66</f>
        <v>13190053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0.79300000000000004</v>
      </c>
    </row>
    <row r="80" spans="1:18">
      <c r="B80" s="331" t="s">
        <v>800</v>
      </c>
      <c r="C80" s="266">
        <f ca="1">ROUND(C75/C39,3)</f>
        <v>0.20699999999999999</v>
      </c>
    </row>
    <row r="81" spans="2:3">
      <c r="B81" s="262" t="s">
        <v>801</v>
      </c>
      <c r="C81" s="230"/>
    </row>
    <row r="82" spans="2:3">
      <c r="B82" s="265" t="s">
        <v>802</v>
      </c>
      <c r="C82" s="267">
        <f ca="1">1-C83</f>
        <v>0.76800000000000002</v>
      </c>
    </row>
    <row r="83" spans="2:3">
      <c r="B83" s="265" t="s">
        <v>803</v>
      </c>
      <c r="C83" s="266">
        <f ca="1">ROUND(C13/C40,3)</f>
        <v>0.23200000000000001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3349</v>
      </c>
      <c r="E2" s="3139"/>
      <c r="F2" s="2597"/>
      <c r="G2" s="2598"/>
      <c r="H2" s="2599"/>
      <c r="I2" s="2600"/>
      <c r="J2" s="3427" t="s">
        <v>2308</v>
      </c>
      <c r="K2" s="3428"/>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29" t="s">
        <v>2318</v>
      </c>
      <c r="K3" s="3430"/>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29" t="s">
        <v>2320</v>
      </c>
      <c r="K4" s="3430"/>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31" t="s">
        <v>2324</v>
      </c>
      <c r="B6" s="3432"/>
      <c r="C6" s="3433"/>
      <c r="D6" s="2621"/>
      <c r="E6" s="2622"/>
      <c r="F6" s="2623"/>
      <c r="G6" s="2624"/>
      <c r="H6" s="2599"/>
      <c r="I6" s="2600"/>
      <c r="J6" s="3434">
        <v>1</v>
      </c>
      <c r="K6" s="3435"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34"/>
      <c r="K7" s="3436"/>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38" t="s">
        <v>2338</v>
      </c>
      <c r="C8" s="3439"/>
      <c r="D8" s="2640" t="s">
        <v>2339</v>
      </c>
      <c r="E8" s="2641" t="s">
        <v>2340</v>
      </c>
      <c r="F8" s="2642" t="s">
        <v>2341</v>
      </c>
      <c r="G8" s="2643"/>
      <c r="H8" s="2599"/>
      <c r="I8" s="2600"/>
      <c r="J8" s="3434"/>
      <c r="K8" s="3436"/>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38" t="s">
        <v>2344</v>
      </c>
      <c r="C9" s="3439"/>
      <c r="D9" s="2640">
        <f>ROUND(D6*E9,0)</f>
        <v>0</v>
      </c>
      <c r="E9" s="2644"/>
      <c r="F9" s="2645" t="s">
        <v>2345</v>
      </c>
      <c r="G9" s="2624"/>
      <c r="H9" s="2599"/>
      <c r="I9" s="2600"/>
      <c r="J9" s="3434"/>
      <c r="K9" s="3436"/>
      <c r="L9" s="2634" t="s">
        <v>2346</v>
      </c>
      <c r="M9" s="2635"/>
      <c r="N9" s="2611"/>
      <c r="O9" s="2636"/>
      <c r="P9" s="2636"/>
      <c r="Q9" s="2637">
        <v>365</v>
      </c>
      <c r="R9" s="2638">
        <f t="shared" si="0"/>
        <v>0</v>
      </c>
      <c r="S9" s="2592"/>
      <c r="T9" s="2592"/>
      <c r="U9" s="2592"/>
      <c r="V9" s="2600"/>
    </row>
    <row r="10" spans="1:22" s="2604" customFormat="1" ht="13.15" customHeight="1">
      <c r="A10" s="2639">
        <v>2</v>
      </c>
      <c r="B10" s="3438" t="s">
        <v>2347</v>
      </c>
      <c r="C10" s="3439"/>
      <c r="D10" s="2640">
        <f>ROUND(D6*E10,0)</f>
        <v>0</v>
      </c>
      <c r="E10" s="2644"/>
      <c r="F10" s="2645" t="s">
        <v>2348</v>
      </c>
      <c r="G10" s="2624"/>
      <c r="H10" s="2599"/>
      <c r="I10" s="2600"/>
      <c r="J10" s="3434"/>
      <c r="K10" s="3436"/>
      <c r="L10" s="2634" t="s">
        <v>2349</v>
      </c>
      <c r="M10" s="2635"/>
      <c r="N10" s="2611"/>
      <c r="O10" s="2636"/>
      <c r="P10" s="2636"/>
      <c r="Q10" s="2637">
        <v>365</v>
      </c>
      <c r="R10" s="2638">
        <f t="shared" si="0"/>
        <v>0</v>
      </c>
      <c r="S10" s="2592"/>
      <c r="T10" s="2592"/>
      <c r="U10" s="2592"/>
      <c r="V10" s="2600"/>
    </row>
    <row r="11" spans="1:22" s="2604" customFormat="1" ht="13.15" customHeight="1">
      <c r="A11" s="2639">
        <v>3</v>
      </c>
      <c r="B11" s="3438" t="s">
        <v>2350</v>
      </c>
      <c r="C11" s="3439"/>
      <c r="D11" s="2640">
        <f>D12+D14+D15+D16</f>
        <v>0</v>
      </c>
      <c r="E11" s="2646" t="e">
        <f>D11/D6</f>
        <v>#DIV/0!</v>
      </c>
      <c r="F11" s="2642"/>
      <c r="G11" s="2643"/>
      <c r="H11" s="2599"/>
      <c r="I11" s="2600"/>
      <c r="J11" s="3434"/>
      <c r="K11" s="3436"/>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40" t="s">
        <v>2353</v>
      </c>
      <c r="C12" s="3441"/>
      <c r="D12" s="2648">
        <f>ROUND(D13*1.2%*(1-30%),0)</f>
        <v>0</v>
      </c>
      <c r="E12" s="2649">
        <v>1.2E-2</v>
      </c>
      <c r="F12" s="2642" t="s">
        <v>2354</v>
      </c>
      <c r="G12" s="2643"/>
      <c r="H12" s="2599"/>
      <c r="I12" s="2600"/>
      <c r="J12" s="3434"/>
      <c r="K12" s="3436"/>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34"/>
      <c r="K13" s="3436"/>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40" t="s">
        <v>2359</v>
      </c>
      <c r="C14" s="3441"/>
      <c r="D14" s="2648">
        <f>ROUND(E14*B5/10000,0)</f>
        <v>0</v>
      </c>
      <c r="E14" s="2637"/>
      <c r="F14" s="2642" t="s">
        <v>2360</v>
      </c>
      <c r="G14" s="2643"/>
      <c r="H14" s="2599"/>
      <c r="I14" s="2600"/>
      <c r="J14" s="3434"/>
      <c r="K14" s="3437"/>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40" t="s">
        <v>2363</v>
      </c>
      <c r="C15" s="3441"/>
      <c r="D15" s="2648">
        <f>ROUND(D6*E15,0)</f>
        <v>0</v>
      </c>
      <c r="E15" s="2649">
        <v>5.5E-2</v>
      </c>
      <c r="F15" s="2642" t="s">
        <v>2364</v>
      </c>
      <c r="G15" s="2624"/>
      <c r="H15" s="2599"/>
      <c r="I15" s="2600"/>
      <c r="J15" s="3434">
        <v>2</v>
      </c>
      <c r="K15" s="3435"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40" t="s">
        <v>2372</v>
      </c>
      <c r="C16" s="3441"/>
      <c r="D16" s="2659">
        <f>D6*E16</f>
        <v>0</v>
      </c>
      <c r="E16" s="2660"/>
      <c r="F16" s="2645" t="s">
        <v>2373</v>
      </c>
      <c r="G16" s="2624"/>
      <c r="H16" s="2599"/>
      <c r="I16" s="2600"/>
      <c r="J16" s="3434"/>
      <c r="K16" s="3436"/>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42" t="s">
        <v>2375</v>
      </c>
      <c r="C17" s="3443"/>
      <c r="D17" s="2662">
        <f>ROUND(D6*E17,0)</f>
        <v>0</v>
      </c>
      <c r="E17" s="2663"/>
      <c r="F17" s="2664" t="s">
        <v>2376</v>
      </c>
      <c r="G17" s="2624"/>
      <c r="H17" s="2599"/>
      <c r="I17" s="2600"/>
      <c r="J17" s="3434"/>
      <c r="K17" s="3436"/>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34"/>
      <c r="K18" s="3436"/>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34"/>
      <c r="K19" s="3437"/>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4">
        <v>3</v>
      </c>
      <c r="K20" s="3435"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34"/>
      <c r="K21" s="3436"/>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34"/>
      <c r="K22" s="3436"/>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34"/>
      <c r="K23" s="3436"/>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34"/>
      <c r="K24" s="3437"/>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44">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4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27" t="s">
        <v>2308</v>
      </c>
      <c r="K32" s="3428"/>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29" t="s">
        <v>2318</v>
      </c>
      <c r="K33" s="3430"/>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29" t="s">
        <v>2320</v>
      </c>
      <c r="K34" s="343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34">
        <v>1</v>
      </c>
      <c r="K36" s="3435"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34"/>
      <c r="K37" s="3436"/>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4"/>
      <c r="K38" s="3436"/>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34"/>
      <c r="K39" s="3436"/>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34"/>
      <c r="K40" s="3437"/>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4">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4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1366.4566</v>
      </c>
      <c r="C2" s="1728" t="s">
        <v>1651</v>
      </c>
      <c r="D2" s="1729" t="s">
        <v>1652</v>
      </c>
      <c r="E2" s="2392">
        <f>SUM(E6:E13)</f>
        <v>596.42000000000007</v>
      </c>
      <c r="F2" s="2479"/>
      <c r="G2" s="459"/>
      <c r="H2" s="459"/>
      <c r="I2" s="459"/>
      <c r="J2" s="459"/>
      <c r="K2" s="459"/>
      <c r="L2" s="459"/>
      <c r="M2" s="459"/>
      <c r="N2" s="459"/>
      <c r="O2" s="459"/>
      <c r="P2" s="459"/>
      <c r="Q2" s="459"/>
      <c r="R2" s="459"/>
      <c r="S2" s="459"/>
    </row>
    <row r="3" spans="1:22" ht="15.75">
      <c r="A3" s="1727" t="s">
        <v>686</v>
      </c>
      <c r="B3" s="2386">
        <f ca="1">ROUND(B2*10000/E2,0)</f>
        <v>22911</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46" t="s">
        <v>1654</v>
      </c>
      <c r="C5" s="3447"/>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1366.4566</v>
      </c>
      <c r="C6" s="1728" t="s">
        <v>1651</v>
      </c>
      <c r="D6" s="2479"/>
      <c r="E6" s="2391">
        <f>IF(OR(A6=0,F6="否"),0,'数据-取费表'!K6+'数据-取费表'!S6)</f>
        <v>596.42000000000007</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596.42000000000007</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401" t="s">
        <v>1667</v>
      </c>
      <c r="D4" s="3402"/>
      <c r="E4" s="3403" t="s">
        <v>1668</v>
      </c>
      <c r="F4" s="3404"/>
      <c r="G4" s="3401" t="s">
        <v>1669</v>
      </c>
      <c r="H4" s="3402"/>
      <c r="I4" s="3401" t="s">
        <v>1670</v>
      </c>
      <c r="J4" s="3402"/>
      <c r="K4" s="1743" t="s">
        <v>1671</v>
      </c>
      <c r="L4" s="2486"/>
      <c r="M4" s="2487"/>
      <c r="N4" s="2487"/>
      <c r="O4" s="2487"/>
      <c r="P4" s="3405" t="s">
        <v>1672</v>
      </c>
      <c r="Q4" s="3406"/>
      <c r="R4" s="3387" t="s">
        <v>1668</v>
      </c>
      <c r="S4" s="3388"/>
      <c r="T4" s="3387" t="s">
        <v>1669</v>
      </c>
      <c r="U4" s="3388"/>
      <c r="V4" s="3384" t="s">
        <v>1670</v>
      </c>
      <c r="W4" s="3384"/>
      <c r="X4" s="1264"/>
      <c r="Y4" s="3387" t="s">
        <v>1672</v>
      </c>
      <c r="Z4" s="3388"/>
      <c r="AA4" s="3381" t="s">
        <v>1668</v>
      </c>
      <c r="AB4" s="3381" t="s">
        <v>1669</v>
      </c>
      <c r="AC4" s="3381" t="s">
        <v>1670</v>
      </c>
    </row>
    <row r="5" spans="1:29" ht="15">
      <c r="A5" s="348"/>
      <c r="B5" s="349"/>
      <c r="C5" s="3393" t="s">
        <v>1673</v>
      </c>
      <c r="D5" s="3394"/>
      <c r="E5" s="3448" t="s">
        <v>1674</v>
      </c>
      <c r="F5" s="3392"/>
      <c r="G5" s="3393" t="s">
        <v>1675</v>
      </c>
      <c r="H5" s="3394"/>
      <c r="I5" s="3393" t="s">
        <v>1676</v>
      </c>
      <c r="J5" s="3394"/>
      <c r="K5" s="1744"/>
      <c r="L5" s="2486"/>
      <c r="M5" s="2487"/>
      <c r="N5" s="2487"/>
      <c r="O5" s="2487"/>
      <c r="P5" s="3407"/>
      <c r="Q5" s="3408"/>
      <c r="R5" s="3389"/>
      <c r="S5" s="3390"/>
      <c r="T5" s="3389"/>
      <c r="U5" s="3390"/>
      <c r="V5" s="3384"/>
      <c r="W5" s="3384"/>
      <c r="X5" s="1264"/>
      <c r="Y5" s="3389"/>
      <c r="Z5" s="3390"/>
      <c r="AA5" s="3382"/>
      <c r="AB5" s="3382"/>
      <c r="AC5" s="3382"/>
    </row>
    <row r="6" spans="1:29" ht="15.75" thickBot="1">
      <c r="A6" s="350"/>
      <c r="B6" s="351"/>
      <c r="C6" s="3395" t="s">
        <v>1677</v>
      </c>
      <c r="D6" s="3396"/>
      <c r="E6" s="3398" t="s">
        <v>1677</v>
      </c>
      <c r="F6" s="3399"/>
      <c r="G6" s="3395" t="s">
        <v>1677</v>
      </c>
      <c r="H6" s="3396"/>
      <c r="I6" s="3395" t="s">
        <v>1677</v>
      </c>
      <c r="J6" s="3396"/>
      <c r="K6" s="1744" t="s">
        <v>1678</v>
      </c>
      <c r="L6" s="2486"/>
      <c r="M6" s="2487"/>
      <c r="N6" s="2487"/>
      <c r="O6" s="2487"/>
      <c r="P6" s="3409"/>
      <c r="Q6" s="3410"/>
      <c r="R6" s="3389"/>
      <c r="S6" s="3390"/>
      <c r="T6" s="3411"/>
      <c r="U6" s="3412"/>
      <c r="V6" s="3384"/>
      <c r="W6" s="3384"/>
      <c r="X6" s="1264"/>
      <c r="Y6" s="3411"/>
      <c r="Z6" s="3412"/>
      <c r="AA6" s="3383"/>
      <c r="AB6" s="3383"/>
      <c r="AC6" s="3383"/>
    </row>
    <row r="7" spans="1:29" s="102" customFormat="1" ht="15.75" thickBot="1">
      <c r="A7" s="352" t="s">
        <v>1679</v>
      </c>
      <c r="B7" s="353"/>
      <c r="C7" s="354">
        <f>'数据-取费表'!B2</f>
        <v>45768</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5" t="s">
        <v>1680</v>
      </c>
      <c r="Q7" s="3413"/>
      <c r="R7" s="663" t="s">
        <v>20</v>
      </c>
      <c r="S7" s="664">
        <f t="shared" ref="S7:S15" si="0">F7</f>
        <v>0</v>
      </c>
      <c r="T7" s="663" t="s">
        <v>20</v>
      </c>
      <c r="U7" s="664">
        <f t="shared" ref="U7:U15" si="1">H7</f>
        <v>0</v>
      </c>
      <c r="V7" s="663" t="s">
        <v>20</v>
      </c>
      <c r="W7" s="664">
        <f t="shared" ref="W7:W15" si="2">J7</f>
        <v>0</v>
      </c>
      <c r="X7" s="665"/>
      <c r="Y7" s="3385" t="s">
        <v>1680</v>
      </c>
      <c r="Z7" s="3386"/>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5" t="s">
        <v>1683</v>
      </c>
      <c r="Q8" s="3386"/>
      <c r="R8" s="663" t="s">
        <v>20</v>
      </c>
      <c r="S8" s="664">
        <f t="shared" si="0"/>
        <v>100</v>
      </c>
      <c r="T8" s="663" t="s">
        <v>20</v>
      </c>
      <c r="U8" s="664">
        <f t="shared" si="1"/>
        <v>100</v>
      </c>
      <c r="V8" s="663" t="s">
        <v>20</v>
      </c>
      <c r="W8" s="664">
        <f t="shared" si="2"/>
        <v>100</v>
      </c>
      <c r="X8" s="665"/>
      <c r="Y8" s="3385" t="s">
        <v>1683</v>
      </c>
      <c r="Z8" s="338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0"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0"/>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0"/>
      <c r="Q11" s="530" t="str">
        <f t="shared" si="6"/>
        <v>容积率</v>
      </c>
      <c r="R11" s="663" t="s">
        <v>18</v>
      </c>
      <c r="S11" s="664" t="e">
        <f t="shared" si="0"/>
        <v>#N/A</v>
      </c>
      <c r="T11" s="663" t="s">
        <v>18</v>
      </c>
      <c r="U11" s="664" t="e">
        <f t="shared" si="1"/>
        <v>#N/A</v>
      </c>
      <c r="V11" s="663" t="s">
        <v>18</v>
      </c>
      <c r="W11" s="664" t="e">
        <f t="shared" si="2"/>
        <v>#N/A</v>
      </c>
      <c r="X11" s="665"/>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0"/>
      <c r="Q12" s="530">
        <f t="shared" si="6"/>
        <v>111</v>
      </c>
      <c r="R12" s="663" t="s">
        <v>18</v>
      </c>
      <c r="S12" s="664">
        <f t="shared" si="0"/>
        <v>100</v>
      </c>
      <c r="T12" s="663" t="s">
        <v>18</v>
      </c>
      <c r="U12" s="664">
        <f t="shared" si="1"/>
        <v>100</v>
      </c>
      <c r="V12" s="663" t="s">
        <v>18</v>
      </c>
      <c r="W12" s="664">
        <f t="shared" si="2"/>
        <v>100</v>
      </c>
      <c r="X12" s="665"/>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0"/>
      <c r="Q13" s="530">
        <f t="shared" si="6"/>
        <v>111</v>
      </c>
      <c r="R13" s="663" t="s">
        <v>18</v>
      </c>
      <c r="S13" s="664">
        <f t="shared" si="0"/>
        <v>100</v>
      </c>
      <c r="T13" s="663" t="s">
        <v>18</v>
      </c>
      <c r="U13" s="664">
        <f t="shared" si="1"/>
        <v>100</v>
      </c>
      <c r="V13" s="663" t="s">
        <v>18</v>
      </c>
      <c r="W13" s="664">
        <f t="shared" si="2"/>
        <v>100</v>
      </c>
      <c r="X13" s="665"/>
      <c r="Y13" s="333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0"/>
      <c r="Q14" s="530">
        <f t="shared" si="6"/>
        <v>111</v>
      </c>
      <c r="R14" s="663" t="s">
        <v>18</v>
      </c>
      <c r="S14" s="664">
        <f t="shared" si="0"/>
        <v>100</v>
      </c>
      <c r="T14" s="663" t="s">
        <v>18</v>
      </c>
      <c r="U14" s="664">
        <f t="shared" si="1"/>
        <v>100</v>
      </c>
      <c r="V14" s="663" t="s">
        <v>18</v>
      </c>
      <c r="W14" s="664">
        <f t="shared" si="2"/>
        <v>100</v>
      </c>
      <c r="X14" s="665"/>
      <c r="Y14" s="3330"/>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4" t="s">
        <v>1691</v>
      </c>
      <c r="Q15" s="1262" t="str">
        <f t="shared" si="6"/>
        <v>居住社区成熟度</v>
      </c>
      <c r="R15" s="666" t="s">
        <v>18</v>
      </c>
      <c r="S15" s="667">
        <f t="shared" si="0"/>
        <v>100</v>
      </c>
      <c r="T15" s="666" t="s">
        <v>18</v>
      </c>
      <c r="U15" s="667">
        <f t="shared" si="1"/>
        <v>100</v>
      </c>
      <c r="V15" s="666" t="s">
        <v>18</v>
      </c>
      <c r="W15" s="667">
        <f t="shared" si="2"/>
        <v>100</v>
      </c>
      <c r="X15" s="1264"/>
      <c r="Y15" s="341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15"/>
      <c r="Q16" s="1262"/>
      <c r="R16" s="666"/>
      <c r="S16" s="667"/>
      <c r="T16" s="666"/>
      <c r="U16" s="667"/>
      <c r="V16" s="666"/>
      <c r="W16" s="667"/>
      <c r="X16" s="1264"/>
      <c r="Y16" s="3417"/>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5"/>
      <c r="Q17" s="1262" t="str">
        <f>B17</f>
        <v>交通便捷度</v>
      </c>
      <c r="R17" s="666" t="s">
        <v>18</v>
      </c>
      <c r="S17" s="667">
        <f>F17</f>
        <v>100</v>
      </c>
      <c r="T17" s="666" t="s">
        <v>18</v>
      </c>
      <c r="U17" s="667">
        <f>H17</f>
        <v>100</v>
      </c>
      <c r="V17" s="666" t="s">
        <v>18</v>
      </c>
      <c r="W17" s="667">
        <f>J17</f>
        <v>100</v>
      </c>
      <c r="X17" s="1264"/>
      <c r="Y17" s="341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15"/>
      <c r="Q18" s="1262"/>
      <c r="R18" s="666"/>
      <c r="S18" s="667"/>
      <c r="T18" s="666"/>
      <c r="U18" s="667"/>
      <c r="V18" s="666"/>
      <c r="W18" s="667"/>
      <c r="X18" s="1264"/>
      <c r="Y18" s="3417"/>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5"/>
      <c r="Q19" s="1262" t="str">
        <f>B19</f>
        <v>公共配套设施</v>
      </c>
      <c r="R19" s="666" t="s">
        <v>18</v>
      </c>
      <c r="S19" s="667">
        <f>F19</f>
        <v>100</v>
      </c>
      <c r="T19" s="666" t="s">
        <v>18</v>
      </c>
      <c r="U19" s="667">
        <f>H19</f>
        <v>100</v>
      </c>
      <c r="V19" s="666" t="s">
        <v>18</v>
      </c>
      <c r="W19" s="667">
        <f>J19</f>
        <v>100</v>
      </c>
      <c r="X19" s="1264"/>
      <c r="Y19" s="341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15"/>
      <c r="Q20" s="1262"/>
      <c r="R20" s="666"/>
      <c r="S20" s="667"/>
      <c r="T20" s="666"/>
      <c r="U20" s="667"/>
      <c r="V20" s="666"/>
      <c r="W20" s="667"/>
      <c r="X20" s="1264"/>
      <c r="Y20" s="3417"/>
      <c r="Z20" s="1263"/>
      <c r="AA20" s="1263">
        <v>1</v>
      </c>
      <c r="AB20" s="1263">
        <v>1</v>
      </c>
      <c r="AC20" s="1263">
        <v>1</v>
      </c>
    </row>
    <row r="21" spans="1:29" ht="15">
      <c r="A21" s="367"/>
      <c r="B21" s="585"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5"/>
      <c r="Q21" s="1262" t="str">
        <f>B21</f>
        <v>基础设施水平</v>
      </c>
      <c r="R21" s="666" t="s">
        <v>14</v>
      </c>
      <c r="S21" s="667">
        <f>F21</f>
        <v>100</v>
      </c>
      <c r="T21" s="666" t="s">
        <v>14</v>
      </c>
      <c r="U21" s="667">
        <f>H21</f>
        <v>100</v>
      </c>
      <c r="V21" s="666" t="s">
        <v>14</v>
      </c>
      <c r="W21" s="667">
        <f>J21</f>
        <v>100</v>
      </c>
      <c r="X21" s="1264"/>
      <c r="Y21" s="341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15"/>
      <c r="Q22" s="1262"/>
      <c r="R22" s="666"/>
      <c r="S22" s="667"/>
      <c r="T22" s="666"/>
      <c r="U22" s="667"/>
      <c r="V22" s="666"/>
      <c r="W22" s="667"/>
      <c r="X22" s="1264"/>
      <c r="Y22" s="3417"/>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5"/>
      <c r="Q23" s="1262" t="str">
        <f>B23</f>
        <v>自然及人文环境</v>
      </c>
      <c r="R23" s="666" t="s">
        <v>18</v>
      </c>
      <c r="S23" s="667">
        <f>F23</f>
        <v>100</v>
      </c>
      <c r="T23" s="666" t="s">
        <v>18</v>
      </c>
      <c r="U23" s="667">
        <f>H23</f>
        <v>100</v>
      </c>
      <c r="V23" s="666" t="s">
        <v>18</v>
      </c>
      <c r="W23" s="667">
        <f>J23</f>
        <v>100</v>
      </c>
      <c r="X23" s="1264"/>
      <c r="Y23" s="341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15"/>
      <c r="Q24" s="1262"/>
      <c r="R24" s="666"/>
      <c r="S24" s="667"/>
      <c r="T24" s="666"/>
      <c r="U24" s="667"/>
      <c r="V24" s="666"/>
      <c r="W24" s="667"/>
      <c r="X24" s="1264"/>
      <c r="Y24" s="341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15"/>
      <c r="Q26" s="1262" t="str">
        <f t="shared" si="11"/>
        <v>朝向</v>
      </c>
      <c r="R26" s="666" t="s">
        <v>18</v>
      </c>
      <c r="S26" s="667">
        <f t="shared" si="12"/>
        <v>100</v>
      </c>
      <c r="T26" s="666" t="s">
        <v>18</v>
      </c>
      <c r="U26" s="667">
        <f t="shared" si="13"/>
        <v>100</v>
      </c>
      <c r="V26" s="666" t="s">
        <v>18</v>
      </c>
      <c r="W26" s="667">
        <f t="shared" si="14"/>
        <v>100</v>
      </c>
      <c r="X26" s="1264"/>
      <c r="Y26" s="341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15"/>
      <c r="Q27" s="530">
        <f t="shared" si="11"/>
        <v>111</v>
      </c>
      <c r="R27" s="663" t="s">
        <v>18</v>
      </c>
      <c r="S27" s="664">
        <f t="shared" si="12"/>
        <v>100</v>
      </c>
      <c r="T27" s="663" t="s">
        <v>18</v>
      </c>
      <c r="U27" s="664">
        <f t="shared" si="13"/>
        <v>100</v>
      </c>
      <c r="V27" s="663" t="s">
        <v>18</v>
      </c>
      <c r="W27" s="664">
        <f t="shared" si="14"/>
        <v>100</v>
      </c>
      <c r="X27" s="665"/>
      <c r="Y27" s="341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5"/>
      <c r="Q28" s="1262">
        <f t="shared" si="11"/>
        <v>111</v>
      </c>
      <c r="R28" s="666" t="s">
        <v>18</v>
      </c>
      <c r="S28" s="667">
        <f t="shared" si="12"/>
        <v>100</v>
      </c>
      <c r="T28" s="666" t="s">
        <v>18</v>
      </c>
      <c r="U28" s="667">
        <f t="shared" si="13"/>
        <v>100</v>
      </c>
      <c r="V28" s="666" t="s">
        <v>18</v>
      </c>
      <c r="W28" s="667">
        <f t="shared" si="14"/>
        <v>100</v>
      </c>
      <c r="X28" s="1264"/>
      <c r="Y28" s="341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5"/>
      <c r="Q29" s="1262">
        <f t="shared" si="11"/>
        <v>111</v>
      </c>
      <c r="R29" s="666" t="s">
        <v>18</v>
      </c>
      <c r="S29" s="667">
        <f t="shared" si="12"/>
        <v>100</v>
      </c>
      <c r="T29" s="666" t="s">
        <v>18</v>
      </c>
      <c r="U29" s="667">
        <f t="shared" si="13"/>
        <v>100</v>
      </c>
      <c r="V29" s="666" t="s">
        <v>18</v>
      </c>
      <c r="W29" s="667">
        <f t="shared" si="14"/>
        <v>100</v>
      </c>
      <c r="X29" s="1264"/>
      <c r="Y29" s="341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5"/>
      <c r="Q30" s="1262">
        <f t="shared" si="11"/>
        <v>111</v>
      </c>
      <c r="R30" s="666" t="s">
        <v>18</v>
      </c>
      <c r="S30" s="667">
        <f t="shared" si="12"/>
        <v>100</v>
      </c>
      <c r="T30" s="666" t="s">
        <v>18</v>
      </c>
      <c r="U30" s="667">
        <f t="shared" si="13"/>
        <v>100</v>
      </c>
      <c r="V30" s="666" t="s">
        <v>18</v>
      </c>
      <c r="W30" s="667">
        <f t="shared" si="14"/>
        <v>100</v>
      </c>
      <c r="X30" s="1264"/>
      <c r="Y30" s="341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5"/>
      <c r="Q31" s="1262">
        <f t="shared" si="11"/>
        <v>111</v>
      </c>
      <c r="R31" s="666" t="s">
        <v>18</v>
      </c>
      <c r="S31" s="667">
        <f t="shared" si="12"/>
        <v>100</v>
      </c>
      <c r="T31" s="666" t="s">
        <v>18</v>
      </c>
      <c r="U31" s="667">
        <f t="shared" si="13"/>
        <v>100</v>
      </c>
      <c r="V31" s="666" t="s">
        <v>18</v>
      </c>
      <c r="W31" s="667">
        <f t="shared" si="14"/>
        <v>100</v>
      </c>
      <c r="X31" s="1264"/>
      <c r="Y31" s="341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8" t="s">
        <v>1696</v>
      </c>
      <c r="Q32" s="1262" t="str">
        <f t="shared" si="11"/>
        <v>建筑类型</v>
      </c>
      <c r="R32" s="666" t="s">
        <v>18</v>
      </c>
      <c r="S32" s="667">
        <f t="shared" si="12"/>
        <v>100</v>
      </c>
      <c r="T32" s="666" t="s">
        <v>18</v>
      </c>
      <c r="U32" s="667">
        <f t="shared" si="13"/>
        <v>100</v>
      </c>
      <c r="V32" s="666" t="s">
        <v>18</v>
      </c>
      <c r="W32" s="667">
        <f t="shared" si="14"/>
        <v>100</v>
      </c>
      <c r="X32" s="1264"/>
      <c r="Y32" s="342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9"/>
      <c r="Q33" s="531" t="str">
        <f t="shared" si="11"/>
        <v>项目建筑规模</v>
      </c>
      <c r="R33" s="668" t="s">
        <v>18</v>
      </c>
      <c r="S33" s="669" t="e">
        <f t="shared" si="12"/>
        <v>#N/A</v>
      </c>
      <c r="T33" s="668" t="s">
        <v>18</v>
      </c>
      <c r="U33" s="669" t="e">
        <f t="shared" si="13"/>
        <v>#N/A</v>
      </c>
      <c r="V33" s="668" t="s">
        <v>18</v>
      </c>
      <c r="W33" s="669" t="e">
        <f t="shared" si="14"/>
        <v>#N/A</v>
      </c>
      <c r="X33" s="670"/>
      <c r="Y33" s="342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9"/>
      <c r="Q34" s="1262" t="str">
        <f t="shared" si="11"/>
        <v>建筑结构</v>
      </c>
      <c r="R34" s="666" t="s">
        <v>18</v>
      </c>
      <c r="S34" s="667">
        <f t="shared" si="12"/>
        <v>100</v>
      </c>
      <c r="T34" s="666" t="s">
        <v>18</v>
      </c>
      <c r="U34" s="667">
        <f t="shared" si="13"/>
        <v>100</v>
      </c>
      <c r="V34" s="666" t="s">
        <v>18</v>
      </c>
      <c r="W34" s="667">
        <f t="shared" si="14"/>
        <v>100</v>
      </c>
      <c r="X34" s="1264"/>
      <c r="Y34" s="342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9"/>
      <c r="Q35" s="1262" t="str">
        <f t="shared" si="11"/>
        <v>建筑品质</v>
      </c>
      <c r="R35" s="666" t="s">
        <v>18</v>
      </c>
      <c r="S35" s="667">
        <f t="shared" si="12"/>
        <v>100</v>
      </c>
      <c r="T35" s="666" t="s">
        <v>18</v>
      </c>
      <c r="U35" s="667">
        <f t="shared" si="13"/>
        <v>100</v>
      </c>
      <c r="V35" s="666" t="s">
        <v>18</v>
      </c>
      <c r="W35" s="667">
        <f t="shared" si="14"/>
        <v>100</v>
      </c>
      <c r="X35" s="1264"/>
      <c r="Y35" s="342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9"/>
      <c r="Q36" s="1262" t="str">
        <f t="shared" si="11"/>
        <v>公共部分装修</v>
      </c>
      <c r="R36" s="666" t="s">
        <v>18</v>
      </c>
      <c r="S36" s="667">
        <f t="shared" si="12"/>
        <v>100</v>
      </c>
      <c r="T36" s="666" t="s">
        <v>18</v>
      </c>
      <c r="U36" s="667">
        <f t="shared" si="13"/>
        <v>100</v>
      </c>
      <c r="V36" s="666" t="s">
        <v>18</v>
      </c>
      <c r="W36" s="667">
        <f t="shared" si="14"/>
        <v>100</v>
      </c>
      <c r="X36" s="1264"/>
      <c r="Y36" s="342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9"/>
      <c r="Q37" s="530" t="str">
        <f t="shared" si="11"/>
        <v>成新度</v>
      </c>
      <c r="R37" s="663" t="s">
        <v>18</v>
      </c>
      <c r="S37" s="664" t="e">
        <f t="shared" si="12"/>
        <v>#N/A</v>
      </c>
      <c r="T37" s="663" t="s">
        <v>18</v>
      </c>
      <c r="U37" s="664" t="e">
        <f t="shared" si="13"/>
        <v>#N/A</v>
      </c>
      <c r="V37" s="663" t="s">
        <v>18</v>
      </c>
      <c r="W37" s="664" t="e">
        <f t="shared" si="14"/>
        <v>#N/A</v>
      </c>
      <c r="X37" s="665"/>
      <c r="Y37" s="342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9" t="s">
        <v>1696</v>
      </c>
      <c r="Q38" s="1262" t="str">
        <f t="shared" si="11"/>
        <v>物业管理</v>
      </c>
      <c r="R38" s="666" t="s">
        <v>18</v>
      </c>
      <c r="S38" s="667">
        <f t="shared" si="12"/>
        <v>100</v>
      </c>
      <c r="T38" s="666" t="s">
        <v>18</v>
      </c>
      <c r="U38" s="667">
        <f t="shared" si="13"/>
        <v>100</v>
      </c>
      <c r="V38" s="666" t="s">
        <v>18</v>
      </c>
      <c r="W38" s="667">
        <f t="shared" si="14"/>
        <v>100</v>
      </c>
      <c r="X38" s="1264"/>
      <c r="Y38" s="342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9"/>
      <c r="Q39" s="1262" t="str">
        <f t="shared" si="11"/>
        <v>市政基础设施</v>
      </c>
      <c r="R39" s="666" t="s">
        <v>18</v>
      </c>
      <c r="S39" s="667">
        <f t="shared" si="12"/>
        <v>100</v>
      </c>
      <c r="T39" s="666" t="s">
        <v>18</v>
      </c>
      <c r="U39" s="667">
        <f t="shared" si="13"/>
        <v>100</v>
      </c>
      <c r="V39" s="666" t="s">
        <v>18</v>
      </c>
      <c r="W39" s="667">
        <f t="shared" si="14"/>
        <v>100</v>
      </c>
      <c r="X39" s="1264"/>
      <c r="Y39" s="342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9"/>
      <c r="Q40" s="1262" t="str">
        <f t="shared" si="11"/>
        <v>房型</v>
      </c>
      <c r="R40" s="666" t="s">
        <v>18</v>
      </c>
      <c r="S40" s="667">
        <f t="shared" si="12"/>
        <v>100</v>
      </c>
      <c r="T40" s="666" t="s">
        <v>18</v>
      </c>
      <c r="U40" s="667">
        <f t="shared" si="13"/>
        <v>100</v>
      </c>
      <c r="V40" s="666" t="s">
        <v>18</v>
      </c>
      <c r="W40" s="667">
        <f t="shared" si="14"/>
        <v>100</v>
      </c>
      <c r="X40" s="1264"/>
      <c r="Y40" s="342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9"/>
      <c r="Q41" s="531" t="str">
        <f t="shared" si="11"/>
        <v>单套/主力户型建筑面积</v>
      </c>
      <c r="R41" s="668" t="s">
        <v>18</v>
      </c>
      <c r="S41" s="669">
        <f t="shared" si="12"/>
        <v>100</v>
      </c>
      <c r="T41" s="668" t="s">
        <v>18</v>
      </c>
      <c r="U41" s="669">
        <f t="shared" si="13"/>
        <v>100</v>
      </c>
      <c r="V41" s="668" t="s">
        <v>18</v>
      </c>
      <c r="W41" s="669">
        <f t="shared" si="14"/>
        <v>100</v>
      </c>
      <c r="X41" s="670"/>
      <c r="Y41" s="342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9"/>
      <c r="Q42" s="1262" t="str">
        <f t="shared" si="11"/>
        <v>内部装修</v>
      </c>
      <c r="R42" s="666" t="s">
        <v>18</v>
      </c>
      <c r="S42" s="667">
        <f t="shared" si="12"/>
        <v>100</v>
      </c>
      <c r="T42" s="666" t="s">
        <v>18</v>
      </c>
      <c r="U42" s="667">
        <f t="shared" si="13"/>
        <v>100</v>
      </c>
      <c r="V42" s="666" t="s">
        <v>18</v>
      </c>
      <c r="W42" s="667">
        <f t="shared" si="14"/>
        <v>100</v>
      </c>
      <c r="X42" s="1264"/>
      <c r="Y42" s="342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9"/>
      <c r="Q43" s="1262" t="str">
        <f t="shared" si="11"/>
        <v>内部装修维护情况</v>
      </c>
      <c r="R43" s="666" t="s">
        <v>18</v>
      </c>
      <c r="S43" s="667">
        <f t="shared" si="12"/>
        <v>100</v>
      </c>
      <c r="T43" s="666" t="s">
        <v>18</v>
      </c>
      <c r="U43" s="667">
        <f t="shared" si="13"/>
        <v>100</v>
      </c>
      <c r="V43" s="666" t="s">
        <v>18</v>
      </c>
      <c r="W43" s="667">
        <f t="shared" si="14"/>
        <v>100</v>
      </c>
      <c r="X43" s="1264"/>
      <c r="Y43" s="342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9"/>
      <c r="Q44" s="530">
        <f t="shared" si="11"/>
        <v>111</v>
      </c>
      <c r="R44" s="663" t="s">
        <v>18</v>
      </c>
      <c r="S44" s="664">
        <f t="shared" si="12"/>
        <v>100</v>
      </c>
      <c r="T44" s="663" t="s">
        <v>18</v>
      </c>
      <c r="U44" s="664">
        <f t="shared" si="13"/>
        <v>100</v>
      </c>
      <c r="V44" s="663" t="s">
        <v>18</v>
      </c>
      <c r="W44" s="664">
        <f t="shared" si="14"/>
        <v>100</v>
      </c>
      <c r="X44" s="665"/>
      <c r="Y44" s="342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9"/>
      <c r="Q45" s="1262">
        <f t="shared" si="11"/>
        <v>111</v>
      </c>
      <c r="R45" s="666" t="s">
        <v>18</v>
      </c>
      <c r="S45" s="667">
        <f t="shared" si="12"/>
        <v>100</v>
      </c>
      <c r="T45" s="666" t="s">
        <v>18</v>
      </c>
      <c r="U45" s="667">
        <f t="shared" si="13"/>
        <v>100</v>
      </c>
      <c r="V45" s="666" t="s">
        <v>18</v>
      </c>
      <c r="W45" s="667">
        <f t="shared" si="14"/>
        <v>100</v>
      </c>
      <c r="X45" s="1264"/>
      <c r="Y45" s="342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20"/>
      <c r="Q46" s="1262">
        <f t="shared" si="11"/>
        <v>111</v>
      </c>
      <c r="R46" s="666" t="s">
        <v>17</v>
      </c>
      <c r="S46" s="667">
        <f t="shared" si="12"/>
        <v>100</v>
      </c>
      <c r="T46" s="666" t="s">
        <v>17</v>
      </c>
      <c r="U46" s="667">
        <f t="shared" si="13"/>
        <v>100</v>
      </c>
      <c r="V46" s="666" t="s">
        <v>17</v>
      </c>
      <c r="W46" s="667">
        <f t="shared" si="14"/>
        <v>100</v>
      </c>
      <c r="X46" s="1264"/>
      <c r="Y46" s="342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23" t="str">
        <f>A47</f>
        <v>成交单价（元/平方米）</v>
      </c>
      <c r="Q47" s="3423"/>
      <c r="R47" s="3384">
        <f>E47</f>
        <v>0</v>
      </c>
      <c r="S47" s="3384"/>
      <c r="T47" s="3384">
        <f>G47</f>
        <v>0</v>
      </c>
      <c r="U47" s="3384"/>
      <c r="V47" s="3384">
        <f>I47</f>
        <v>0</v>
      </c>
      <c r="W47" s="3384"/>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23" t="str">
        <f>A48</f>
        <v>比较价值（元/平方米）</v>
      </c>
      <c r="Q48" s="342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596.42000000000007</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55" t="s">
        <v>1775</v>
      </c>
      <c r="Q4" s="3456"/>
      <c r="R4" s="3450" t="s">
        <v>1771</v>
      </c>
      <c r="S4" s="3451"/>
      <c r="T4" s="3450" t="s">
        <v>1772</v>
      </c>
      <c r="U4" s="3451"/>
      <c r="V4" s="3459" t="s">
        <v>1773</v>
      </c>
      <c r="W4" s="3459"/>
      <c r="X4" s="1808"/>
      <c r="Y4" s="3450" t="s">
        <v>1775</v>
      </c>
      <c r="Z4" s="3451"/>
      <c r="AA4" s="3449" t="s">
        <v>1771</v>
      </c>
      <c r="AB4" s="3449" t="s">
        <v>1772</v>
      </c>
      <c r="AC4" s="3452" t="s">
        <v>1773</v>
      </c>
    </row>
    <row r="5" spans="1:29" ht="15">
      <c r="A5" s="348"/>
      <c r="B5" s="349"/>
      <c r="C5" s="3393" t="s">
        <v>1673</v>
      </c>
      <c r="D5" s="3394"/>
      <c r="E5" s="3448" t="s">
        <v>1674</v>
      </c>
      <c r="F5" s="3392"/>
      <c r="G5" s="3393" t="s">
        <v>1675</v>
      </c>
      <c r="H5" s="3394"/>
      <c r="I5" s="3393" t="s">
        <v>1676</v>
      </c>
      <c r="J5" s="3394"/>
      <c r="K5" s="537"/>
      <c r="L5" s="2486"/>
      <c r="M5" s="2487"/>
      <c r="N5" s="2487"/>
      <c r="O5" s="2487"/>
      <c r="P5" s="3457"/>
      <c r="Q5" s="3408"/>
      <c r="R5" s="3389"/>
      <c r="S5" s="3390"/>
      <c r="T5" s="3389"/>
      <c r="U5" s="3390"/>
      <c r="V5" s="3384"/>
      <c r="W5" s="3384"/>
      <c r="X5" s="1264"/>
      <c r="Y5" s="3389"/>
      <c r="Z5" s="3390"/>
      <c r="AA5" s="3382"/>
      <c r="AB5" s="3382"/>
      <c r="AC5" s="3453"/>
    </row>
    <row r="6" spans="1:29" ht="15.75" thickBot="1">
      <c r="A6" s="350"/>
      <c r="B6" s="351"/>
      <c r="C6" s="3395" t="s">
        <v>1677</v>
      </c>
      <c r="D6" s="3396"/>
      <c r="E6" s="3398" t="s">
        <v>1677</v>
      </c>
      <c r="F6" s="3399"/>
      <c r="G6" s="3395" t="s">
        <v>1677</v>
      </c>
      <c r="H6" s="3396"/>
      <c r="I6" s="3395" t="s">
        <v>1677</v>
      </c>
      <c r="J6" s="3396"/>
      <c r="K6" s="537" t="s">
        <v>1678</v>
      </c>
      <c r="L6" s="2486"/>
      <c r="M6" s="2487"/>
      <c r="N6" s="2487"/>
      <c r="O6" s="2487"/>
      <c r="P6" s="3458"/>
      <c r="Q6" s="3410"/>
      <c r="R6" s="3389"/>
      <c r="S6" s="3390"/>
      <c r="T6" s="3411"/>
      <c r="U6" s="3412"/>
      <c r="V6" s="3384"/>
      <c r="W6" s="3384"/>
      <c r="X6" s="1264"/>
      <c r="Y6" s="3411"/>
      <c r="Z6" s="3412"/>
      <c r="AA6" s="3383"/>
      <c r="AB6" s="3383"/>
      <c r="AC6" s="3454"/>
    </row>
    <row r="7" spans="1:29" s="102" customFormat="1" ht="15.75" thickBot="1">
      <c r="A7" s="352" t="s">
        <v>1679</v>
      </c>
      <c r="B7" s="353"/>
      <c r="C7" s="354">
        <f>'数据-取费表'!B2</f>
        <v>45768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0" t="s">
        <v>1680</v>
      </c>
      <c r="Q7" s="3413"/>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0" t="s">
        <v>1683</v>
      </c>
      <c r="Q8" s="3386"/>
      <c r="R8" s="663" t="s">
        <v>14</v>
      </c>
      <c r="S8" s="664">
        <f t="shared" si="0"/>
        <v>100</v>
      </c>
      <c r="T8" s="663" t="s">
        <v>14</v>
      </c>
      <c r="U8" s="664">
        <f t="shared" si="1"/>
        <v>100</v>
      </c>
      <c r="V8" s="663" t="s">
        <v>14</v>
      </c>
      <c r="W8" s="664">
        <f t="shared" si="2"/>
        <v>100</v>
      </c>
      <c r="X8" s="665"/>
      <c r="Y8" s="3385" t="s">
        <v>1683</v>
      </c>
      <c r="Z8" s="3386"/>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0"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0"/>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0"/>
      <c r="Q11" s="530"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0"/>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0"/>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400"/>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801">
        <f t="shared" si="5"/>
        <v>1</v>
      </c>
    </row>
    <row r="15" spans="1:29" ht="15">
      <c r="A15" s="379" t="s">
        <v>1690</v>
      </c>
      <c r="B15" s="553"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4" t="s">
        <v>1691</v>
      </c>
      <c r="Q15" s="1262" t="str">
        <f t="shared" si="6"/>
        <v>办公集聚程度</v>
      </c>
      <c r="R15" s="666" t="s">
        <v>14</v>
      </c>
      <c r="S15" s="667">
        <f t="shared" si="0"/>
        <v>100</v>
      </c>
      <c r="T15" s="666" t="s">
        <v>14</v>
      </c>
      <c r="U15" s="667">
        <f t="shared" si="1"/>
        <v>100</v>
      </c>
      <c r="V15" s="666" t="s">
        <v>14</v>
      </c>
      <c r="W15" s="667">
        <f t="shared" si="2"/>
        <v>100</v>
      </c>
      <c r="X15" s="1264"/>
      <c r="Y15" s="3416"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15"/>
      <c r="Q16" s="1262"/>
      <c r="R16" s="666"/>
      <c r="S16" s="667"/>
      <c r="T16" s="666"/>
      <c r="U16" s="667"/>
      <c r="V16" s="666"/>
      <c r="W16" s="667"/>
      <c r="X16" s="1264"/>
      <c r="Y16" s="3417"/>
      <c r="Z16" s="1263"/>
      <c r="AA16" s="1263">
        <v>1</v>
      </c>
      <c r="AB16" s="1263">
        <v>1</v>
      </c>
      <c r="AC16" s="1811">
        <v>1</v>
      </c>
    </row>
    <row r="17" spans="1:29" ht="15">
      <c r="A17" s="367"/>
      <c r="B17" s="555"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5"/>
      <c r="Q17" s="1262" t="str">
        <f>B17</f>
        <v>交通便捷度</v>
      </c>
      <c r="R17" s="666" t="s">
        <v>14</v>
      </c>
      <c r="S17" s="667">
        <f>F17</f>
        <v>100</v>
      </c>
      <c r="T17" s="666" t="s">
        <v>14</v>
      </c>
      <c r="U17" s="667">
        <f>H17</f>
        <v>100</v>
      </c>
      <c r="V17" s="666" t="s">
        <v>14</v>
      </c>
      <c r="W17" s="667">
        <f>J17</f>
        <v>100</v>
      </c>
      <c r="X17" s="1264"/>
      <c r="Y17" s="341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5"/>
      <c r="Q18" s="1262"/>
      <c r="R18" s="666"/>
      <c r="S18" s="667"/>
      <c r="T18" s="666"/>
      <c r="U18" s="667"/>
      <c r="V18" s="666"/>
      <c r="W18" s="667"/>
      <c r="X18" s="1264"/>
      <c r="Y18" s="3417"/>
      <c r="Z18" s="1263"/>
      <c r="AA18" s="1263">
        <v>1</v>
      </c>
      <c r="AB18" s="1263">
        <v>1</v>
      </c>
      <c r="AC18" s="1811">
        <v>1</v>
      </c>
    </row>
    <row r="19" spans="1:29" ht="15">
      <c r="A19" s="367"/>
      <c r="B19" s="555"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5"/>
      <c r="Q19" s="1262" t="str">
        <f>B19</f>
        <v>公共配套设施</v>
      </c>
      <c r="R19" s="666" t="s">
        <v>14</v>
      </c>
      <c r="S19" s="667">
        <f>F19</f>
        <v>100</v>
      </c>
      <c r="T19" s="666" t="s">
        <v>14</v>
      </c>
      <c r="U19" s="667">
        <f>H19</f>
        <v>100</v>
      </c>
      <c r="V19" s="666" t="s">
        <v>14</v>
      </c>
      <c r="W19" s="667">
        <f>J19</f>
        <v>100</v>
      </c>
      <c r="X19" s="1264"/>
      <c r="Y19" s="341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5"/>
      <c r="Q20" s="1262"/>
      <c r="R20" s="666"/>
      <c r="S20" s="667"/>
      <c r="T20" s="666"/>
      <c r="U20" s="667"/>
      <c r="V20" s="666"/>
      <c r="W20" s="667"/>
      <c r="X20" s="1264"/>
      <c r="Y20" s="3417"/>
      <c r="Z20" s="1263"/>
      <c r="AA20" s="1263">
        <v>1</v>
      </c>
      <c r="AB20" s="1263">
        <v>1</v>
      </c>
      <c r="AC20" s="1811">
        <v>1</v>
      </c>
    </row>
    <row r="21" spans="1:29" ht="15">
      <c r="A21" s="367"/>
      <c r="B21" s="556"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5"/>
      <c r="Q21" s="1262" t="str">
        <f>B21</f>
        <v>基础设施水平</v>
      </c>
      <c r="R21" s="666" t="s">
        <v>14</v>
      </c>
      <c r="S21" s="667">
        <f>F21</f>
        <v>100</v>
      </c>
      <c r="T21" s="666" t="s">
        <v>14</v>
      </c>
      <c r="U21" s="667">
        <f>H21</f>
        <v>100</v>
      </c>
      <c r="V21" s="666" t="s">
        <v>14</v>
      </c>
      <c r="W21" s="667">
        <f>J21</f>
        <v>100</v>
      </c>
      <c r="X21" s="1264"/>
      <c r="Y21" s="3417"/>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15"/>
      <c r="Q22" s="1262"/>
      <c r="R22" s="666"/>
      <c r="S22" s="667"/>
      <c r="T22" s="666"/>
      <c r="U22" s="667"/>
      <c r="V22" s="666"/>
      <c r="W22" s="667"/>
      <c r="X22" s="1264"/>
      <c r="Y22" s="3417"/>
      <c r="Z22" s="1263"/>
      <c r="AA22" s="1263">
        <v>1</v>
      </c>
      <c r="AB22" s="1263">
        <v>1</v>
      </c>
      <c r="AC22" s="1811">
        <v>1</v>
      </c>
    </row>
    <row r="23" spans="1:29" ht="15">
      <c r="A23" s="367"/>
      <c r="B23" s="555"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5"/>
      <c r="Q23" s="1262" t="str">
        <f>B23</f>
        <v>环境质量</v>
      </c>
      <c r="R23" s="666" t="s">
        <v>14</v>
      </c>
      <c r="S23" s="667">
        <f>F23</f>
        <v>100</v>
      </c>
      <c r="T23" s="666" t="s">
        <v>14</v>
      </c>
      <c r="U23" s="667">
        <f>H23</f>
        <v>100</v>
      </c>
      <c r="V23" s="666" t="s">
        <v>14</v>
      </c>
      <c r="W23" s="667">
        <f>J23</f>
        <v>100</v>
      </c>
      <c r="X23" s="1264"/>
      <c r="Y23" s="3417"/>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15"/>
      <c r="Q24" s="1262"/>
      <c r="R24" s="666"/>
      <c r="S24" s="667"/>
      <c r="T24" s="666"/>
      <c r="U24" s="667"/>
      <c r="V24" s="666"/>
      <c r="W24" s="667"/>
      <c r="X24" s="1264"/>
      <c r="Y24" s="3417"/>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5"/>
      <c r="Q25" s="1262" t="str">
        <f>B25</f>
        <v>毗邻道路的类型与等级</v>
      </c>
      <c r="R25" s="666" t="s">
        <v>14</v>
      </c>
      <c r="S25" s="667">
        <f>F25</f>
        <v>100</v>
      </c>
      <c r="T25" s="666" t="s">
        <v>14</v>
      </c>
      <c r="U25" s="667">
        <f>H25</f>
        <v>100</v>
      </c>
      <c r="V25" s="666" t="s">
        <v>14</v>
      </c>
      <c r="W25" s="667">
        <f>J25</f>
        <v>100</v>
      </c>
      <c r="X25" s="1264"/>
      <c r="Y25" s="3417"/>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15"/>
      <c r="Q26" s="1262"/>
      <c r="R26" s="666"/>
      <c r="S26" s="667"/>
      <c r="T26" s="666"/>
      <c r="U26" s="667"/>
      <c r="V26" s="666"/>
      <c r="W26" s="667"/>
      <c r="X26" s="1264"/>
      <c r="Y26" s="3417"/>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15"/>
      <c r="Q27" s="1262" t="str">
        <f t="shared" ref="Q27:Q47" si="11">B27</f>
        <v>楼层</v>
      </c>
      <c r="R27" s="666" t="s">
        <v>14</v>
      </c>
      <c r="S27" s="667">
        <f>F27</f>
        <v>100</v>
      </c>
      <c r="T27" s="666" t="s">
        <v>14</v>
      </c>
      <c r="U27" s="667">
        <f>H27</f>
        <v>100</v>
      </c>
      <c r="V27" s="666" t="s">
        <v>14</v>
      </c>
      <c r="W27" s="667">
        <f>J27</f>
        <v>100</v>
      </c>
      <c r="X27" s="1264"/>
      <c r="Y27" s="3417"/>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5"/>
      <c r="Q28" s="530" t="str">
        <f t="shared" si="11"/>
        <v>朝向</v>
      </c>
      <c r="R28" s="663" t="s">
        <v>14</v>
      </c>
      <c r="S28" s="664">
        <f>F28</f>
        <v>100</v>
      </c>
      <c r="T28" s="663" t="s">
        <v>14</v>
      </c>
      <c r="U28" s="664">
        <f>H28</f>
        <v>100</v>
      </c>
      <c r="V28" s="663" t="s">
        <v>14</v>
      </c>
      <c r="W28" s="664">
        <f>J28</f>
        <v>100</v>
      </c>
      <c r="X28" s="665"/>
      <c r="Y28" s="341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5"/>
      <c r="Q29" s="1262">
        <f t="shared" si="11"/>
        <v>111</v>
      </c>
      <c r="R29" s="666" t="s">
        <v>14</v>
      </c>
      <c r="S29" s="667">
        <f t="shared" ref="S29:S47" si="12">F29</f>
        <v>100</v>
      </c>
      <c r="T29" s="666" t="s">
        <v>14</v>
      </c>
      <c r="U29" s="667">
        <f t="shared" ref="U29:U47" si="13">H29</f>
        <v>100</v>
      </c>
      <c r="V29" s="666" t="s">
        <v>14</v>
      </c>
      <c r="W29" s="667">
        <f t="shared" ref="W29:W47" si="14">J29</f>
        <v>100</v>
      </c>
      <c r="X29" s="1264"/>
      <c r="Y29" s="341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5"/>
      <c r="Q30" s="1262">
        <f t="shared" si="11"/>
        <v>111</v>
      </c>
      <c r="R30" s="666" t="s">
        <v>14</v>
      </c>
      <c r="S30" s="667">
        <f t="shared" si="12"/>
        <v>100</v>
      </c>
      <c r="T30" s="666" t="s">
        <v>14</v>
      </c>
      <c r="U30" s="667">
        <f t="shared" si="13"/>
        <v>100</v>
      </c>
      <c r="V30" s="666" t="s">
        <v>14</v>
      </c>
      <c r="W30" s="667">
        <f t="shared" si="14"/>
        <v>100</v>
      </c>
      <c r="X30" s="1264"/>
      <c r="Y30" s="341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5"/>
      <c r="Q31" s="1262">
        <f t="shared" si="11"/>
        <v>111</v>
      </c>
      <c r="R31" s="666" t="s">
        <v>14</v>
      </c>
      <c r="S31" s="667">
        <f t="shared" si="12"/>
        <v>100</v>
      </c>
      <c r="T31" s="666" t="s">
        <v>14</v>
      </c>
      <c r="U31" s="667">
        <f t="shared" si="13"/>
        <v>100</v>
      </c>
      <c r="V31" s="666" t="s">
        <v>14</v>
      </c>
      <c r="W31" s="667">
        <f t="shared" si="14"/>
        <v>100</v>
      </c>
      <c r="X31" s="1264"/>
      <c r="Y31" s="3417"/>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5"/>
      <c r="Q32" s="1262">
        <f t="shared" si="11"/>
        <v>111</v>
      </c>
      <c r="R32" s="666" t="s">
        <v>14</v>
      </c>
      <c r="S32" s="667">
        <f t="shared" si="12"/>
        <v>100</v>
      </c>
      <c r="T32" s="666" t="s">
        <v>14</v>
      </c>
      <c r="U32" s="667">
        <f t="shared" si="13"/>
        <v>100</v>
      </c>
      <c r="V32" s="666" t="s">
        <v>14</v>
      </c>
      <c r="W32" s="667">
        <f t="shared" si="14"/>
        <v>100</v>
      </c>
      <c r="X32" s="1264"/>
      <c r="Y32" s="341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8" t="s">
        <v>1696</v>
      </c>
      <c r="Q33" s="1262" t="str">
        <f t="shared" si="11"/>
        <v>建筑类型</v>
      </c>
      <c r="R33" s="666" t="s">
        <v>14</v>
      </c>
      <c r="S33" s="667">
        <f t="shared" si="12"/>
        <v>100</v>
      </c>
      <c r="T33" s="666" t="s">
        <v>14</v>
      </c>
      <c r="U33" s="667">
        <f t="shared" si="13"/>
        <v>100</v>
      </c>
      <c r="V33" s="666" t="s">
        <v>14</v>
      </c>
      <c r="W33" s="667">
        <f t="shared" si="14"/>
        <v>100</v>
      </c>
      <c r="X33" s="1264"/>
      <c r="Y33" s="342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9"/>
      <c r="Q34" s="531" t="str">
        <f t="shared" si="11"/>
        <v>项目建筑规模</v>
      </c>
      <c r="R34" s="668" t="s">
        <v>14</v>
      </c>
      <c r="S34" s="669" t="e">
        <f t="shared" si="12"/>
        <v>#N/A</v>
      </c>
      <c r="T34" s="668" t="s">
        <v>14</v>
      </c>
      <c r="U34" s="669" t="e">
        <f t="shared" si="13"/>
        <v>#N/A</v>
      </c>
      <c r="V34" s="668" t="s">
        <v>14</v>
      </c>
      <c r="W34" s="669" t="e">
        <f t="shared" si="14"/>
        <v>#N/A</v>
      </c>
      <c r="X34" s="670"/>
      <c r="Y34" s="3421"/>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9"/>
      <c r="Q35" s="1262" t="str">
        <f t="shared" si="11"/>
        <v>建筑结构</v>
      </c>
      <c r="R35" s="666" t="s">
        <v>14</v>
      </c>
      <c r="S35" s="667">
        <f t="shared" si="12"/>
        <v>100</v>
      </c>
      <c r="T35" s="666" t="s">
        <v>14</v>
      </c>
      <c r="U35" s="667">
        <f t="shared" si="13"/>
        <v>100</v>
      </c>
      <c r="V35" s="666" t="s">
        <v>14</v>
      </c>
      <c r="W35" s="667">
        <f t="shared" si="14"/>
        <v>100</v>
      </c>
      <c r="X35" s="1264"/>
      <c r="Y35" s="342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9"/>
      <c r="Q36" s="1262" t="str">
        <f t="shared" si="11"/>
        <v>公共部分装修</v>
      </c>
      <c r="R36" s="666" t="s">
        <v>14</v>
      </c>
      <c r="S36" s="667">
        <f t="shared" si="12"/>
        <v>100</v>
      </c>
      <c r="T36" s="666" t="s">
        <v>14</v>
      </c>
      <c r="U36" s="667">
        <f t="shared" si="13"/>
        <v>100</v>
      </c>
      <c r="V36" s="666" t="s">
        <v>14</v>
      </c>
      <c r="W36" s="667">
        <f t="shared" si="14"/>
        <v>100</v>
      </c>
      <c r="X36" s="1264"/>
      <c r="Y36" s="342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9"/>
      <c r="Q37" s="1262" t="str">
        <f t="shared" si="11"/>
        <v>成新度</v>
      </c>
      <c r="R37" s="666" t="s">
        <v>14</v>
      </c>
      <c r="S37" s="667" t="e">
        <f t="shared" si="12"/>
        <v>#N/A</v>
      </c>
      <c r="T37" s="666" t="s">
        <v>14</v>
      </c>
      <c r="U37" s="667" t="e">
        <f t="shared" si="13"/>
        <v>#N/A</v>
      </c>
      <c r="V37" s="666" t="s">
        <v>14</v>
      </c>
      <c r="W37" s="667" t="e">
        <f t="shared" si="14"/>
        <v>#N/A</v>
      </c>
      <c r="X37" s="1264"/>
      <c r="Y37" s="342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9"/>
      <c r="Q38" s="530" t="str">
        <f t="shared" si="11"/>
        <v>写字楼等级</v>
      </c>
      <c r="R38" s="663" t="s">
        <v>14</v>
      </c>
      <c r="S38" s="664">
        <f t="shared" si="12"/>
        <v>100</v>
      </c>
      <c r="T38" s="663" t="s">
        <v>14</v>
      </c>
      <c r="U38" s="664">
        <f t="shared" si="13"/>
        <v>100</v>
      </c>
      <c r="V38" s="663" t="s">
        <v>14</v>
      </c>
      <c r="W38" s="664">
        <f t="shared" si="14"/>
        <v>100</v>
      </c>
      <c r="X38" s="665"/>
      <c r="Y38" s="3421"/>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9" t="s">
        <v>1696</v>
      </c>
      <c r="Q39" s="1262" t="str">
        <f t="shared" si="11"/>
        <v>物业管理</v>
      </c>
      <c r="R39" s="666" t="s">
        <v>14</v>
      </c>
      <c r="S39" s="667">
        <f t="shared" si="12"/>
        <v>100</v>
      </c>
      <c r="T39" s="666" t="s">
        <v>14</v>
      </c>
      <c r="U39" s="667">
        <f t="shared" si="13"/>
        <v>100</v>
      </c>
      <c r="V39" s="666" t="s">
        <v>14</v>
      </c>
      <c r="W39" s="667">
        <f t="shared" si="14"/>
        <v>100</v>
      </c>
      <c r="X39" s="1264"/>
      <c r="Y39" s="342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9"/>
      <c r="Q40" s="1262" t="str">
        <f t="shared" si="11"/>
        <v>市政基础设施</v>
      </c>
      <c r="R40" s="666" t="s">
        <v>14</v>
      </c>
      <c r="S40" s="667">
        <f t="shared" si="12"/>
        <v>100</v>
      </c>
      <c r="T40" s="666" t="s">
        <v>14</v>
      </c>
      <c r="U40" s="667">
        <f t="shared" si="13"/>
        <v>100</v>
      </c>
      <c r="V40" s="666" t="s">
        <v>14</v>
      </c>
      <c r="W40" s="667">
        <f t="shared" si="14"/>
        <v>100</v>
      </c>
      <c r="X40" s="1264"/>
      <c r="Y40" s="342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9"/>
      <c r="Q41" s="1262" t="str">
        <f t="shared" si="11"/>
        <v>层高</v>
      </c>
      <c r="R41" s="666" t="s">
        <v>14</v>
      </c>
      <c r="S41" s="667">
        <f t="shared" si="12"/>
        <v>100</v>
      </c>
      <c r="T41" s="666" t="s">
        <v>14</v>
      </c>
      <c r="U41" s="667">
        <f t="shared" si="13"/>
        <v>100</v>
      </c>
      <c r="V41" s="666" t="s">
        <v>14</v>
      </c>
      <c r="W41" s="667">
        <f t="shared" si="14"/>
        <v>100</v>
      </c>
      <c r="X41" s="1264"/>
      <c r="Y41" s="342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9"/>
      <c r="Q42" s="531" t="str">
        <f t="shared" si="11"/>
        <v>单套建筑面积</v>
      </c>
      <c r="R42" s="668" t="s">
        <v>14</v>
      </c>
      <c r="S42" s="669">
        <f t="shared" si="12"/>
        <v>100</v>
      </c>
      <c r="T42" s="668" t="s">
        <v>14</v>
      </c>
      <c r="U42" s="669">
        <f t="shared" si="13"/>
        <v>100</v>
      </c>
      <c r="V42" s="668" t="s">
        <v>14</v>
      </c>
      <c r="W42" s="669">
        <f t="shared" si="14"/>
        <v>100</v>
      </c>
      <c r="X42" s="670"/>
      <c r="Y42" s="3421"/>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9"/>
      <c r="Q43" s="1262" t="str">
        <f t="shared" si="11"/>
        <v>内部装修</v>
      </c>
      <c r="R43" s="666" t="s">
        <v>14</v>
      </c>
      <c r="S43" s="667">
        <f t="shared" si="12"/>
        <v>100</v>
      </c>
      <c r="T43" s="666" t="s">
        <v>14</v>
      </c>
      <c r="U43" s="667">
        <f t="shared" si="13"/>
        <v>100</v>
      </c>
      <c r="V43" s="666" t="s">
        <v>14</v>
      </c>
      <c r="W43" s="667">
        <f t="shared" si="14"/>
        <v>100</v>
      </c>
      <c r="X43" s="1264"/>
      <c r="Y43" s="3421"/>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9"/>
      <c r="Q44" s="1262" t="str">
        <f t="shared" si="11"/>
        <v>内部装修维护情况</v>
      </c>
      <c r="R44" s="666" t="s">
        <v>14</v>
      </c>
      <c r="S44" s="667">
        <f t="shared" si="12"/>
        <v>100</v>
      </c>
      <c r="T44" s="666" t="s">
        <v>14</v>
      </c>
      <c r="U44" s="667">
        <f t="shared" si="13"/>
        <v>100</v>
      </c>
      <c r="V44" s="666" t="s">
        <v>14</v>
      </c>
      <c r="W44" s="667">
        <f t="shared" si="14"/>
        <v>100</v>
      </c>
      <c r="X44" s="1264"/>
      <c r="Y44" s="3421"/>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9"/>
      <c r="Q45" s="530">
        <f t="shared" si="11"/>
        <v>111</v>
      </c>
      <c r="R45" s="663" t="s">
        <v>14</v>
      </c>
      <c r="S45" s="664">
        <f t="shared" si="12"/>
        <v>100</v>
      </c>
      <c r="T45" s="663" t="s">
        <v>14</v>
      </c>
      <c r="U45" s="664">
        <f t="shared" si="13"/>
        <v>100</v>
      </c>
      <c r="V45" s="663" t="s">
        <v>14</v>
      </c>
      <c r="W45" s="664">
        <f t="shared" si="14"/>
        <v>100</v>
      </c>
      <c r="X45" s="665"/>
      <c r="Y45" s="3421"/>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9"/>
      <c r="Q46" s="1262">
        <f t="shared" si="11"/>
        <v>111</v>
      </c>
      <c r="R46" s="666" t="s">
        <v>14</v>
      </c>
      <c r="S46" s="667">
        <f t="shared" si="12"/>
        <v>100</v>
      </c>
      <c r="T46" s="666" t="s">
        <v>14</v>
      </c>
      <c r="U46" s="667">
        <f t="shared" si="13"/>
        <v>100</v>
      </c>
      <c r="V46" s="666" t="s">
        <v>14</v>
      </c>
      <c r="W46" s="667">
        <f t="shared" si="14"/>
        <v>100</v>
      </c>
      <c r="X46" s="1264"/>
      <c r="Y46" s="342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0"/>
      <c r="Q47" s="1262">
        <f t="shared" si="11"/>
        <v>111</v>
      </c>
      <c r="R47" s="666" t="s">
        <v>14</v>
      </c>
      <c r="S47" s="667">
        <f t="shared" si="12"/>
        <v>100</v>
      </c>
      <c r="T47" s="666" t="s">
        <v>14</v>
      </c>
      <c r="U47" s="667">
        <f t="shared" si="13"/>
        <v>100</v>
      </c>
      <c r="V47" s="666" t="s">
        <v>14</v>
      </c>
      <c r="W47" s="667">
        <f t="shared" si="14"/>
        <v>100</v>
      </c>
      <c r="X47" s="1264"/>
      <c r="Y47" s="3422"/>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400" t="str">
        <f>A48</f>
        <v>成交单价（元/平方米）</v>
      </c>
      <c r="Q48" s="3423"/>
      <c r="R48" s="3384">
        <f>E48</f>
        <v>0</v>
      </c>
      <c r="S48" s="3384"/>
      <c r="T48" s="3384">
        <f>G48</f>
        <v>0</v>
      </c>
      <c r="U48" s="3384"/>
      <c r="V48" s="3384">
        <f>I48</f>
        <v>0</v>
      </c>
      <c r="W48" s="3384"/>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00" t="str">
        <f>A49</f>
        <v>比较价值（元/平方米）</v>
      </c>
      <c r="Q49" s="342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4"/>
      <c r="M50" s="2487"/>
      <c r="N50" s="2487"/>
      <c r="O50" s="2487"/>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596.42000000000007</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859"/>
      <c r="M4" s="860"/>
      <c r="N4" s="860"/>
      <c r="O4" s="860"/>
      <c r="P4" s="3405" t="s">
        <v>1775</v>
      </c>
      <c r="Q4" s="3406"/>
      <c r="R4" s="3387" t="s">
        <v>1771</v>
      </c>
      <c r="S4" s="3388"/>
      <c r="T4" s="3387" t="s">
        <v>1772</v>
      </c>
      <c r="U4" s="3388"/>
      <c r="V4" s="3384" t="s">
        <v>1773</v>
      </c>
      <c r="W4" s="3384"/>
      <c r="X4" s="1264"/>
      <c r="Y4" s="3387" t="s">
        <v>1775</v>
      </c>
      <c r="Z4" s="3388"/>
      <c r="AA4" s="3381" t="s">
        <v>1771</v>
      </c>
      <c r="AB4" s="3382" t="s">
        <v>1772</v>
      </c>
      <c r="AC4" s="3381" t="s">
        <v>1773</v>
      </c>
    </row>
    <row r="5" spans="1:29" ht="15">
      <c r="A5" s="348"/>
      <c r="B5" s="349"/>
      <c r="C5" s="3393" t="s">
        <v>1673</v>
      </c>
      <c r="D5" s="3394"/>
      <c r="E5" s="3448" t="s">
        <v>1674</v>
      </c>
      <c r="F5" s="3392"/>
      <c r="G5" s="3393" t="s">
        <v>1675</v>
      </c>
      <c r="H5" s="3394"/>
      <c r="I5" s="3393" t="s">
        <v>1676</v>
      </c>
      <c r="J5" s="3394"/>
      <c r="K5" s="537"/>
      <c r="L5" s="859"/>
      <c r="M5" s="860"/>
      <c r="N5" s="860"/>
      <c r="O5" s="860"/>
      <c r="P5" s="3407"/>
      <c r="Q5" s="3408"/>
      <c r="R5" s="3389"/>
      <c r="S5" s="3390"/>
      <c r="T5" s="3389"/>
      <c r="U5" s="3390"/>
      <c r="V5" s="3384"/>
      <c r="W5" s="3384"/>
      <c r="X5" s="1264"/>
      <c r="Y5" s="3389"/>
      <c r="Z5" s="3390"/>
      <c r="AA5" s="3382"/>
      <c r="AB5" s="3382"/>
      <c r="AC5" s="3382"/>
    </row>
    <row r="6" spans="1:29" ht="15.75" thickBot="1">
      <c r="A6" s="350"/>
      <c r="B6" s="351"/>
      <c r="C6" s="3395" t="s">
        <v>1677</v>
      </c>
      <c r="D6" s="3396"/>
      <c r="E6" s="3398" t="s">
        <v>1677</v>
      </c>
      <c r="F6" s="3399"/>
      <c r="G6" s="3395" t="s">
        <v>1677</v>
      </c>
      <c r="H6" s="3396"/>
      <c r="I6" s="3395" t="s">
        <v>1677</v>
      </c>
      <c r="J6" s="3396"/>
      <c r="K6" s="537" t="s">
        <v>1678</v>
      </c>
      <c r="L6" s="859"/>
      <c r="M6" s="860"/>
      <c r="N6" s="860"/>
      <c r="O6" s="860"/>
      <c r="P6" s="3409"/>
      <c r="Q6" s="3410"/>
      <c r="R6" s="3389"/>
      <c r="S6" s="3390"/>
      <c r="T6" s="3411"/>
      <c r="U6" s="3412"/>
      <c r="V6" s="3384"/>
      <c r="W6" s="3384"/>
      <c r="X6" s="1264"/>
      <c r="Y6" s="3411"/>
      <c r="Z6" s="3412"/>
      <c r="AA6" s="3383"/>
      <c r="AB6" s="3383"/>
      <c r="AC6" s="3383"/>
    </row>
    <row r="7" spans="1:29" s="102" customFormat="1" ht="15.75" thickBot="1">
      <c r="A7" s="352" t="s">
        <v>1679</v>
      </c>
      <c r="B7" s="353"/>
      <c r="C7" s="354">
        <f>'数据-取费表'!B2</f>
        <v>45768</v>
      </c>
      <c r="D7" s="355">
        <v>100</v>
      </c>
      <c r="E7" s="356"/>
      <c r="F7" s="357">
        <f>SUMIF(52:52,YEAR(E7)&amp;"-"&amp;MONTH(E7),53:53)</f>
        <v>0</v>
      </c>
      <c r="G7" s="356"/>
      <c r="H7" s="355">
        <f>SUMIF(52:52,YEAR(G7)&amp;"-"&amp;MONTH(G7),53:53)</f>
        <v>0</v>
      </c>
      <c r="I7" s="356"/>
      <c r="J7" s="355">
        <f>SUMIF(52:52,YEAR(I7)&amp;"-"&amp;MONTH(I7),53:53)</f>
        <v>0</v>
      </c>
      <c r="K7" s="38"/>
      <c r="L7" s="861"/>
      <c r="M7" s="862"/>
      <c r="N7" s="862"/>
      <c r="O7" s="862"/>
      <c r="P7" s="3385" t="s">
        <v>1680</v>
      </c>
      <c r="Q7" s="3413"/>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5" t="s">
        <v>1683</v>
      </c>
      <c r="Q8" s="3386"/>
      <c r="R8" s="663" t="s">
        <v>14</v>
      </c>
      <c r="S8" s="664">
        <f t="shared" si="0"/>
        <v>100</v>
      </c>
      <c r="T8" s="663" t="s">
        <v>14</v>
      </c>
      <c r="U8" s="664">
        <f t="shared" si="1"/>
        <v>100</v>
      </c>
      <c r="V8" s="663" t="s">
        <v>14</v>
      </c>
      <c r="W8" s="664">
        <f t="shared" si="2"/>
        <v>100</v>
      </c>
      <c r="X8" s="665"/>
      <c r="Y8" s="3385" t="s">
        <v>1683</v>
      </c>
      <c r="Z8" s="338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3"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23"/>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3"/>
      <c r="Q11" s="530"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23"/>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23"/>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23"/>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16" t="s">
        <v>1691</v>
      </c>
      <c r="Q15" s="1262" t="str">
        <f t="shared" si="6"/>
        <v>产业集聚程度</v>
      </c>
      <c r="R15" s="666" t="s">
        <v>14</v>
      </c>
      <c r="S15" s="667">
        <f t="shared" si="0"/>
        <v>100</v>
      </c>
      <c r="T15" s="666" t="s">
        <v>14</v>
      </c>
      <c r="U15" s="667">
        <f t="shared" si="1"/>
        <v>100</v>
      </c>
      <c r="V15" s="666" t="s">
        <v>14</v>
      </c>
      <c r="W15" s="667">
        <f t="shared" si="2"/>
        <v>100</v>
      </c>
      <c r="X15" s="1264"/>
      <c r="Y15" s="341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7"/>
      <c r="Q16" s="1262"/>
      <c r="R16" s="666"/>
      <c r="S16" s="667"/>
      <c r="T16" s="666"/>
      <c r="U16" s="667"/>
      <c r="V16" s="666"/>
      <c r="W16" s="667"/>
      <c r="X16" s="1264"/>
      <c r="Y16" s="3417"/>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7"/>
      <c r="Q17" s="1262" t="str">
        <f>B17</f>
        <v>交通便捷度</v>
      </c>
      <c r="R17" s="666" t="s">
        <v>14</v>
      </c>
      <c r="S17" s="667">
        <f>F17</f>
        <v>100</v>
      </c>
      <c r="T17" s="666" t="s">
        <v>14</v>
      </c>
      <c r="U17" s="667">
        <f>H17</f>
        <v>100</v>
      </c>
      <c r="V17" s="666" t="s">
        <v>14</v>
      </c>
      <c r="W17" s="667">
        <f>J17</f>
        <v>100</v>
      </c>
      <c r="X17" s="1264"/>
      <c r="Y17" s="341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7"/>
      <c r="Q18" s="1262"/>
      <c r="R18" s="666"/>
      <c r="S18" s="667"/>
      <c r="T18" s="666"/>
      <c r="U18" s="667"/>
      <c r="V18" s="666"/>
      <c r="W18" s="667"/>
      <c r="X18" s="1264"/>
      <c r="Y18" s="3417"/>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7"/>
      <c r="Q19" s="1262" t="str">
        <f>B19</f>
        <v>公共配套设施</v>
      </c>
      <c r="R19" s="666" t="s">
        <v>14</v>
      </c>
      <c r="S19" s="667">
        <f>F19</f>
        <v>100</v>
      </c>
      <c r="T19" s="666" t="s">
        <v>14</v>
      </c>
      <c r="U19" s="667">
        <f>H19</f>
        <v>100</v>
      </c>
      <c r="V19" s="666" t="s">
        <v>14</v>
      </c>
      <c r="W19" s="667">
        <f>J19</f>
        <v>100</v>
      </c>
      <c r="X19" s="1264"/>
      <c r="Y19" s="341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7"/>
      <c r="Q20" s="1262"/>
      <c r="R20" s="666"/>
      <c r="S20" s="667"/>
      <c r="T20" s="666"/>
      <c r="U20" s="667"/>
      <c r="V20" s="666"/>
      <c r="W20" s="667"/>
      <c r="X20" s="1264"/>
      <c r="Y20" s="3417"/>
      <c r="Z20" s="1263"/>
      <c r="AA20" s="1263">
        <v>1</v>
      </c>
      <c r="AB20" s="1263">
        <v>1</v>
      </c>
      <c r="AC20" s="1263">
        <v>1</v>
      </c>
    </row>
    <row r="21" spans="1:29" ht="15">
      <c r="A21" s="367"/>
      <c r="B21" s="585"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7"/>
      <c r="Q21" s="1262" t="str">
        <f>B21</f>
        <v>基础设施水平</v>
      </c>
      <c r="R21" s="666" t="s">
        <v>14</v>
      </c>
      <c r="S21" s="667">
        <f>F21</f>
        <v>100</v>
      </c>
      <c r="T21" s="666" t="s">
        <v>14</v>
      </c>
      <c r="U21" s="667">
        <f>H21</f>
        <v>100</v>
      </c>
      <c r="V21" s="666" t="s">
        <v>14</v>
      </c>
      <c r="W21" s="667">
        <f>J21</f>
        <v>100</v>
      </c>
      <c r="X21" s="1264"/>
      <c r="Y21" s="341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17"/>
      <c r="Q22" s="1262"/>
      <c r="R22" s="666"/>
      <c r="S22" s="667"/>
      <c r="T22" s="666"/>
      <c r="U22" s="667"/>
      <c r="V22" s="666"/>
      <c r="W22" s="667"/>
      <c r="X22" s="1264"/>
      <c r="Y22" s="3417"/>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7"/>
      <c r="Q23" s="1262" t="str">
        <f>B23</f>
        <v>环境质量</v>
      </c>
      <c r="R23" s="666" t="s">
        <v>14</v>
      </c>
      <c r="S23" s="667">
        <f>F23</f>
        <v>100</v>
      </c>
      <c r="T23" s="666" t="s">
        <v>14</v>
      </c>
      <c r="U23" s="667">
        <f>H23</f>
        <v>100</v>
      </c>
      <c r="V23" s="666" t="s">
        <v>14</v>
      </c>
      <c r="W23" s="667">
        <f>J23</f>
        <v>100</v>
      </c>
      <c r="X23" s="1264"/>
      <c r="Y23" s="3417"/>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17"/>
      <c r="Q24" s="1262"/>
      <c r="R24" s="666"/>
      <c r="S24" s="667"/>
      <c r="T24" s="666"/>
      <c r="U24" s="667"/>
      <c r="V24" s="666"/>
      <c r="W24" s="667"/>
      <c r="X24" s="1264"/>
      <c r="Y24" s="341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7"/>
      <c r="Q25" s="1262">
        <f>B25</f>
        <v>111</v>
      </c>
      <c r="R25" s="666" t="s">
        <v>14</v>
      </c>
      <c r="S25" s="667">
        <f>F25</f>
        <v>100</v>
      </c>
      <c r="T25" s="666" t="s">
        <v>14</v>
      </c>
      <c r="U25" s="667">
        <f>H25</f>
        <v>100</v>
      </c>
      <c r="V25" s="666" t="s">
        <v>14</v>
      </c>
      <c r="W25" s="667">
        <f>J25</f>
        <v>100</v>
      </c>
      <c r="X25" s="1264"/>
      <c r="Y25" s="341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7"/>
      <c r="Q26" s="1262">
        <f t="shared" ref="Q26:Q40" si="11">B26</f>
        <v>111</v>
      </c>
      <c r="R26" s="666" t="s">
        <v>14</v>
      </c>
      <c r="S26" s="667">
        <f>F26</f>
        <v>100</v>
      </c>
      <c r="T26" s="666" t="s">
        <v>14</v>
      </c>
      <c r="U26" s="667">
        <f>H26</f>
        <v>100</v>
      </c>
      <c r="V26" s="666" t="s">
        <v>14</v>
      </c>
      <c r="W26" s="667">
        <f>J26</f>
        <v>100</v>
      </c>
      <c r="X26" s="1264"/>
      <c r="Y26" s="341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7"/>
      <c r="Q27" s="530">
        <f t="shared" si="11"/>
        <v>111</v>
      </c>
      <c r="R27" s="663" t="s">
        <v>14</v>
      </c>
      <c r="S27" s="664">
        <f>F27</f>
        <v>100</v>
      </c>
      <c r="T27" s="663" t="s">
        <v>14</v>
      </c>
      <c r="U27" s="664">
        <f>H27</f>
        <v>100</v>
      </c>
      <c r="V27" s="663" t="s">
        <v>14</v>
      </c>
      <c r="W27" s="664">
        <f>J27</f>
        <v>100</v>
      </c>
      <c r="X27" s="665"/>
      <c r="Y27" s="341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7"/>
      <c r="Q28" s="1262">
        <f t="shared" si="11"/>
        <v>111</v>
      </c>
      <c r="R28" s="666" t="s">
        <v>14</v>
      </c>
      <c r="S28" s="667">
        <f t="shared" ref="S28:S40" si="12">F28</f>
        <v>100</v>
      </c>
      <c r="T28" s="666" t="s">
        <v>14</v>
      </c>
      <c r="U28" s="667">
        <f t="shared" ref="U28:U40" si="13">H28</f>
        <v>100</v>
      </c>
      <c r="V28" s="666" t="s">
        <v>14</v>
      </c>
      <c r="W28" s="667">
        <f t="shared" ref="W28:W40" si="14">J28</f>
        <v>100</v>
      </c>
      <c r="X28" s="1264"/>
      <c r="Y28" s="341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64" t="s">
        <v>1696</v>
      </c>
      <c r="Q29" s="1262" t="str">
        <f t="shared" si="11"/>
        <v>建筑类型</v>
      </c>
      <c r="R29" s="666" t="s">
        <v>14</v>
      </c>
      <c r="S29" s="667">
        <f t="shared" si="12"/>
        <v>100</v>
      </c>
      <c r="T29" s="666" t="s">
        <v>14</v>
      </c>
      <c r="U29" s="667">
        <f t="shared" si="13"/>
        <v>100</v>
      </c>
      <c r="V29" s="666" t="s">
        <v>14</v>
      </c>
      <c r="W29" s="667">
        <f t="shared" si="14"/>
        <v>100</v>
      </c>
      <c r="X29" s="1264"/>
      <c r="Y29" s="342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21"/>
      <c r="Q30" s="531" t="str">
        <f t="shared" si="11"/>
        <v>项目建筑规模</v>
      </c>
      <c r="R30" s="668" t="s">
        <v>14</v>
      </c>
      <c r="S30" s="669" t="e">
        <f t="shared" si="12"/>
        <v>#N/A</v>
      </c>
      <c r="T30" s="668" t="s">
        <v>14</v>
      </c>
      <c r="U30" s="669" t="e">
        <f t="shared" si="13"/>
        <v>#N/A</v>
      </c>
      <c r="V30" s="668" t="s">
        <v>14</v>
      </c>
      <c r="W30" s="669" t="e">
        <f t="shared" si="14"/>
        <v>#N/A</v>
      </c>
      <c r="X30" s="670"/>
      <c r="Y30" s="342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21"/>
      <c r="Q31" s="1262" t="str">
        <f t="shared" si="11"/>
        <v>建筑结构</v>
      </c>
      <c r="R31" s="666" t="s">
        <v>14</v>
      </c>
      <c r="S31" s="667">
        <f t="shared" si="12"/>
        <v>100</v>
      </c>
      <c r="T31" s="666" t="s">
        <v>14</v>
      </c>
      <c r="U31" s="667">
        <f t="shared" si="13"/>
        <v>100</v>
      </c>
      <c r="V31" s="666" t="s">
        <v>14</v>
      </c>
      <c r="W31" s="667">
        <f t="shared" si="14"/>
        <v>100</v>
      </c>
      <c r="X31" s="1264"/>
      <c r="Y31" s="342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21"/>
      <c r="Q32" s="1262" t="str">
        <f t="shared" si="11"/>
        <v>公共部分装修</v>
      </c>
      <c r="R32" s="666" t="s">
        <v>14</v>
      </c>
      <c r="S32" s="667">
        <f t="shared" si="12"/>
        <v>100</v>
      </c>
      <c r="T32" s="666" t="s">
        <v>14</v>
      </c>
      <c r="U32" s="667">
        <f t="shared" si="13"/>
        <v>100</v>
      </c>
      <c r="V32" s="666" t="s">
        <v>14</v>
      </c>
      <c r="W32" s="667">
        <f t="shared" si="14"/>
        <v>100</v>
      </c>
      <c r="X32" s="1264"/>
      <c r="Y32" s="342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21"/>
      <c r="Q33" s="1262" t="str">
        <f t="shared" si="11"/>
        <v>成新度</v>
      </c>
      <c r="R33" s="666" t="s">
        <v>14</v>
      </c>
      <c r="S33" s="667" t="e">
        <f t="shared" si="12"/>
        <v>#N/A</v>
      </c>
      <c r="T33" s="666" t="s">
        <v>14</v>
      </c>
      <c r="U33" s="667" t="e">
        <f t="shared" si="13"/>
        <v>#N/A</v>
      </c>
      <c r="V33" s="666" t="s">
        <v>14</v>
      </c>
      <c r="W33" s="667" t="e">
        <f t="shared" si="14"/>
        <v>#N/A</v>
      </c>
      <c r="X33" s="1264"/>
      <c r="Y33" s="342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21"/>
      <c r="Q34" s="530" t="str">
        <f t="shared" si="11"/>
        <v>物业管理</v>
      </c>
      <c r="R34" s="663" t="s">
        <v>14</v>
      </c>
      <c r="S34" s="664">
        <f t="shared" si="12"/>
        <v>100</v>
      </c>
      <c r="T34" s="663" t="s">
        <v>14</v>
      </c>
      <c r="U34" s="664">
        <f t="shared" si="13"/>
        <v>100</v>
      </c>
      <c r="V34" s="663" t="s">
        <v>14</v>
      </c>
      <c r="W34" s="664">
        <f t="shared" si="14"/>
        <v>100</v>
      </c>
      <c r="X34" s="665"/>
      <c r="Y34" s="34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21" t="s">
        <v>1696</v>
      </c>
      <c r="Q35" s="1262" t="str">
        <f t="shared" si="11"/>
        <v>市政基础设施</v>
      </c>
      <c r="R35" s="666" t="s">
        <v>14</v>
      </c>
      <c r="S35" s="667">
        <f t="shared" si="12"/>
        <v>100</v>
      </c>
      <c r="T35" s="666" t="s">
        <v>14</v>
      </c>
      <c r="U35" s="667">
        <f t="shared" si="13"/>
        <v>100</v>
      </c>
      <c r="V35" s="666" t="s">
        <v>14</v>
      </c>
      <c r="W35" s="667">
        <f t="shared" si="14"/>
        <v>100</v>
      </c>
      <c r="X35" s="1264"/>
      <c r="Y35" s="342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21"/>
      <c r="Q36" s="1262" t="str">
        <f t="shared" si="11"/>
        <v>内部装修</v>
      </c>
      <c r="R36" s="666" t="s">
        <v>14</v>
      </c>
      <c r="S36" s="667">
        <f t="shared" si="12"/>
        <v>100</v>
      </c>
      <c r="T36" s="666" t="s">
        <v>14</v>
      </c>
      <c r="U36" s="667">
        <f t="shared" si="13"/>
        <v>100</v>
      </c>
      <c r="V36" s="666" t="s">
        <v>14</v>
      </c>
      <c r="W36" s="667">
        <f t="shared" si="14"/>
        <v>100</v>
      </c>
      <c r="X36" s="1264"/>
      <c r="Y36" s="342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21"/>
      <c r="Q37" s="1262" t="str">
        <f t="shared" si="11"/>
        <v>内部装修状况</v>
      </c>
      <c r="R37" s="666" t="s">
        <v>14</v>
      </c>
      <c r="S37" s="667">
        <f t="shared" si="12"/>
        <v>100</v>
      </c>
      <c r="T37" s="666" t="s">
        <v>14</v>
      </c>
      <c r="U37" s="667">
        <f t="shared" si="13"/>
        <v>100</v>
      </c>
      <c r="V37" s="666" t="s">
        <v>14</v>
      </c>
      <c r="W37" s="667">
        <f t="shared" si="14"/>
        <v>100</v>
      </c>
      <c r="X37" s="1264"/>
      <c r="Y37" s="342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21"/>
      <c r="Q38" s="531">
        <f t="shared" si="11"/>
        <v>111</v>
      </c>
      <c r="R38" s="668" t="s">
        <v>14</v>
      </c>
      <c r="S38" s="669">
        <f t="shared" si="12"/>
        <v>100</v>
      </c>
      <c r="T38" s="668" t="s">
        <v>14</v>
      </c>
      <c r="U38" s="669">
        <f t="shared" si="13"/>
        <v>100</v>
      </c>
      <c r="V38" s="668" t="s">
        <v>14</v>
      </c>
      <c r="W38" s="669">
        <f t="shared" si="14"/>
        <v>100</v>
      </c>
      <c r="X38" s="670"/>
      <c r="Y38" s="342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21"/>
      <c r="Q39" s="1262">
        <f t="shared" si="11"/>
        <v>111</v>
      </c>
      <c r="R39" s="666" t="s">
        <v>14</v>
      </c>
      <c r="S39" s="667">
        <f t="shared" si="12"/>
        <v>100</v>
      </c>
      <c r="T39" s="666" t="s">
        <v>14</v>
      </c>
      <c r="U39" s="667">
        <f t="shared" si="13"/>
        <v>100</v>
      </c>
      <c r="V39" s="666" t="s">
        <v>14</v>
      </c>
      <c r="W39" s="667">
        <f t="shared" si="14"/>
        <v>100</v>
      </c>
      <c r="X39" s="1264"/>
      <c r="Y39" s="342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22"/>
      <c r="Q40" s="1262">
        <f t="shared" si="11"/>
        <v>111</v>
      </c>
      <c r="R40" s="666" t="s">
        <v>14</v>
      </c>
      <c r="S40" s="667">
        <f t="shared" si="12"/>
        <v>100</v>
      </c>
      <c r="T40" s="666" t="s">
        <v>14</v>
      </c>
      <c r="U40" s="667">
        <f t="shared" si="13"/>
        <v>100</v>
      </c>
      <c r="V40" s="666" t="s">
        <v>14</v>
      </c>
      <c r="W40" s="667">
        <f t="shared" si="14"/>
        <v>100</v>
      </c>
      <c r="X40" s="1264"/>
      <c r="Y40" s="342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23" t="str">
        <f>A41</f>
        <v>成交单价（元/平方米）</v>
      </c>
      <c r="Q41" s="3423"/>
      <c r="R41" s="3384">
        <f>E41</f>
        <v>0</v>
      </c>
      <c r="S41" s="3384"/>
      <c r="T41" s="3384">
        <f>G41</f>
        <v>0</v>
      </c>
      <c r="U41" s="3384"/>
      <c r="V41" s="3384">
        <f>I41</f>
        <v>0</v>
      </c>
      <c r="W41" s="3384"/>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23" t="str">
        <f>A42</f>
        <v>比较价值（元/平方米）</v>
      </c>
      <c r="Q42" s="342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估价对象为北京市房地产，为所有。根据《国有土地使用证》[]，估价对象（分摊）出让国有建设用地使用权面积为0平方米，建筑面积为596.42平方米。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估价对象为北京市房地产,属开发建设的，该项目尚在开发建设中。根据《国有土地使用证》[]，估价对象（分摊）出让国有建设用地使用权面积为0平方米，规划建筑面积为596.42平方米。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2025年4月21日（评估专业人员实地查勘之日）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3324</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7" t="s">
        <v>1771</v>
      </c>
      <c r="S4" s="3388"/>
      <c r="T4" s="3387" t="s">
        <v>1772</v>
      </c>
      <c r="U4" s="3388"/>
      <c r="V4" s="3384" t="s">
        <v>1773</v>
      </c>
      <c r="W4" s="3384"/>
      <c r="X4" s="1264"/>
      <c r="Y4" s="3387" t="s">
        <v>1775</v>
      </c>
      <c r="Z4" s="3388"/>
      <c r="AA4" s="3381" t="s">
        <v>1771</v>
      </c>
      <c r="AB4" s="3382" t="s">
        <v>1772</v>
      </c>
      <c r="AC4" s="3381" t="s">
        <v>1773</v>
      </c>
    </row>
    <row r="5" spans="1:29" ht="15">
      <c r="A5" s="348"/>
      <c r="B5" s="349"/>
      <c r="C5" s="3393" t="s">
        <v>1673</v>
      </c>
      <c r="D5" s="3394"/>
      <c r="E5" s="3448" t="s">
        <v>1674</v>
      </c>
      <c r="F5" s="3392"/>
      <c r="G5" s="3393" t="s">
        <v>1675</v>
      </c>
      <c r="H5" s="3394"/>
      <c r="I5" s="3393" t="s">
        <v>1676</v>
      </c>
      <c r="J5" s="3394"/>
      <c r="K5" s="537"/>
      <c r="L5" s="2486"/>
      <c r="M5" s="2487"/>
      <c r="N5" s="2487"/>
      <c r="O5" s="2487"/>
      <c r="P5" s="3407"/>
      <c r="Q5" s="3408"/>
      <c r="R5" s="3389"/>
      <c r="S5" s="3390"/>
      <c r="T5" s="3389"/>
      <c r="U5" s="3390"/>
      <c r="V5" s="3384"/>
      <c r="W5" s="3384"/>
      <c r="X5" s="1264"/>
      <c r="Y5" s="3389"/>
      <c r="Z5" s="3390"/>
      <c r="AA5" s="3382"/>
      <c r="AB5" s="3382"/>
      <c r="AC5" s="3382"/>
    </row>
    <row r="6" spans="1:29" ht="15.75" thickBot="1">
      <c r="A6" s="350"/>
      <c r="B6" s="351"/>
      <c r="C6" s="3395" t="s">
        <v>1677</v>
      </c>
      <c r="D6" s="3396"/>
      <c r="E6" s="3398" t="s">
        <v>1677</v>
      </c>
      <c r="F6" s="3399"/>
      <c r="G6" s="3395" t="s">
        <v>1677</v>
      </c>
      <c r="H6" s="3396"/>
      <c r="I6" s="3395" t="s">
        <v>1677</v>
      </c>
      <c r="J6" s="3396"/>
      <c r="K6" s="537" t="s">
        <v>1678</v>
      </c>
      <c r="L6" s="2486"/>
      <c r="M6" s="2487"/>
      <c r="N6" s="2487"/>
      <c r="O6" s="2487"/>
      <c r="P6" s="3409"/>
      <c r="Q6" s="3410"/>
      <c r="R6" s="3389"/>
      <c r="S6" s="3390"/>
      <c r="T6" s="3411"/>
      <c r="U6" s="3412"/>
      <c r="V6" s="3384"/>
      <c r="W6" s="3384"/>
      <c r="X6" s="1264"/>
      <c r="Y6" s="3411"/>
      <c r="Z6" s="3412"/>
      <c r="AA6" s="3383"/>
      <c r="AB6" s="3383"/>
      <c r="AC6" s="3383"/>
    </row>
    <row r="7" spans="1:29" s="102" customFormat="1" ht="15.75" thickBot="1">
      <c r="A7" s="352" t="s">
        <v>1679</v>
      </c>
      <c r="B7" s="353"/>
      <c r="C7" s="354">
        <f>'数据-取费表'!B2</f>
        <v>45768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5" t="s">
        <v>1680</v>
      </c>
      <c r="Q7" s="3413"/>
      <c r="R7" s="663" t="s">
        <v>14</v>
      </c>
      <c r="S7" s="664">
        <f t="shared" ref="S7:S14" si="0">F7</f>
        <v>0</v>
      </c>
      <c r="T7" s="663" t="s">
        <v>14</v>
      </c>
      <c r="U7" s="664">
        <f t="shared" ref="U7:U14" si="1">H7</f>
        <v>0</v>
      </c>
      <c r="V7" s="663" t="s">
        <v>14</v>
      </c>
      <c r="W7" s="664">
        <f t="shared" ref="W7:W14" si="2">J7</f>
        <v>0</v>
      </c>
      <c r="X7" s="665"/>
      <c r="Y7" s="3385" t="s">
        <v>1680</v>
      </c>
      <c r="Z7" s="338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5" t="s">
        <v>1683</v>
      </c>
      <c r="Q8" s="3386"/>
      <c r="R8" s="663" t="s">
        <v>14</v>
      </c>
      <c r="S8" s="664">
        <f t="shared" si="0"/>
        <v>100</v>
      </c>
      <c r="T8" s="663" t="s">
        <v>14</v>
      </c>
      <c r="U8" s="664">
        <f t="shared" si="1"/>
        <v>100</v>
      </c>
      <c r="V8" s="663" t="s">
        <v>14</v>
      </c>
      <c r="W8" s="664">
        <f t="shared" si="2"/>
        <v>100</v>
      </c>
      <c r="X8" s="665"/>
      <c r="Y8" s="3385" t="s">
        <v>1683</v>
      </c>
      <c r="Z8" s="3386"/>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3" t="s">
        <v>1686</v>
      </c>
      <c r="Q9" s="530" t="str">
        <f t="shared" ref="Q9:Q14" si="6">B9</f>
        <v>用途</v>
      </c>
      <c r="R9" s="663" t="s">
        <v>14</v>
      </c>
      <c r="S9" s="664">
        <f t="shared" si="0"/>
        <v>100</v>
      </c>
      <c r="T9" s="663" t="s">
        <v>14</v>
      </c>
      <c r="U9" s="664">
        <f t="shared" si="1"/>
        <v>100</v>
      </c>
      <c r="V9" s="663" t="s">
        <v>14</v>
      </c>
      <c r="W9" s="664">
        <f t="shared" si="2"/>
        <v>100</v>
      </c>
      <c r="X9" s="665"/>
      <c r="Y9" s="3330" t="s">
        <v>1687</v>
      </c>
      <c r="Z9" s="50" t="str">
        <f t="shared" ref="Z9:Z14" si="7">Q9</f>
        <v>用途</v>
      </c>
      <c r="AA9" s="50">
        <f t="shared" si="3"/>
        <v>1</v>
      </c>
      <c r="AB9" s="50">
        <f t="shared" si="4"/>
        <v>1</v>
      </c>
      <c r="AC9" s="50">
        <f t="shared" si="5"/>
        <v>1</v>
      </c>
    </row>
    <row r="10" spans="1:29" s="366" customFormat="1" ht="27">
      <c r="A10" s="564"/>
      <c r="B10" s="565"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3"/>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3"/>
      <c r="Q11" s="530">
        <f t="shared" si="6"/>
        <v>111</v>
      </c>
      <c r="R11" s="663" t="s">
        <v>14</v>
      </c>
      <c r="S11" s="664">
        <f t="shared" si="0"/>
        <v>100</v>
      </c>
      <c r="T11" s="663" t="s">
        <v>14</v>
      </c>
      <c r="U11" s="664">
        <f t="shared" si="1"/>
        <v>100</v>
      </c>
      <c r="V11" s="663" t="s">
        <v>14</v>
      </c>
      <c r="W11" s="664">
        <f t="shared" si="2"/>
        <v>100</v>
      </c>
      <c r="X11" s="665"/>
      <c r="Y11" s="3330"/>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3"/>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3"/>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
      <c r="A14" s="345" t="s">
        <v>1690</v>
      </c>
      <c r="B14" s="553"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6" t="s">
        <v>1691</v>
      </c>
      <c r="Q14" s="1262" t="str">
        <f t="shared" si="6"/>
        <v>交通便捷度</v>
      </c>
      <c r="R14" s="666" t="s">
        <v>14</v>
      </c>
      <c r="S14" s="667">
        <f t="shared" si="0"/>
        <v>100</v>
      </c>
      <c r="T14" s="666" t="s">
        <v>14</v>
      </c>
      <c r="U14" s="667">
        <f t="shared" si="1"/>
        <v>100</v>
      </c>
      <c r="V14" s="666" t="s">
        <v>14</v>
      </c>
      <c r="W14" s="667">
        <f t="shared" si="2"/>
        <v>100</v>
      </c>
      <c r="X14" s="1264"/>
      <c r="Y14" s="3416"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417"/>
      <c r="Q15" s="1262"/>
      <c r="R15" s="666"/>
      <c r="S15" s="667"/>
      <c r="T15" s="666"/>
      <c r="U15" s="667"/>
      <c r="V15" s="666"/>
      <c r="W15" s="667"/>
      <c r="X15" s="1264"/>
      <c r="Y15" s="3417"/>
      <c r="Z15" s="1263"/>
      <c r="AA15" s="1263">
        <v>1</v>
      </c>
      <c r="AB15" s="1263">
        <v>1</v>
      </c>
      <c r="AC15" s="1263">
        <v>1</v>
      </c>
    </row>
    <row r="16" spans="1:29" ht="15">
      <c r="A16" s="348"/>
      <c r="B16" s="555"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7"/>
      <c r="Q16" s="1262" t="str">
        <f>B16</f>
        <v>公共配套设施</v>
      </c>
      <c r="R16" s="666" t="s">
        <v>14</v>
      </c>
      <c r="S16" s="667">
        <f>F16</f>
        <v>100</v>
      </c>
      <c r="T16" s="666" t="s">
        <v>14</v>
      </c>
      <c r="U16" s="667">
        <f>H16</f>
        <v>100</v>
      </c>
      <c r="V16" s="666" t="s">
        <v>14</v>
      </c>
      <c r="W16" s="667">
        <f>J16</f>
        <v>100</v>
      </c>
      <c r="X16" s="1264"/>
      <c r="Y16" s="341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17"/>
      <c r="Q17" s="1262"/>
      <c r="R17" s="666"/>
      <c r="S17" s="667"/>
      <c r="T17" s="666"/>
      <c r="U17" s="667"/>
      <c r="V17" s="666"/>
      <c r="W17" s="667"/>
      <c r="X17" s="1264"/>
      <c r="Y17" s="3417"/>
      <c r="Z17" s="1263"/>
      <c r="AA17" s="1263">
        <v>1</v>
      </c>
      <c r="AB17" s="1263">
        <v>1</v>
      </c>
      <c r="AC17" s="1263">
        <v>1</v>
      </c>
    </row>
    <row r="18" spans="1:29" ht="15">
      <c r="A18" s="348"/>
      <c r="B18" s="556"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7"/>
      <c r="Q18" s="1262" t="str">
        <f>B18</f>
        <v>基础设施水平</v>
      </c>
      <c r="R18" s="666" t="s">
        <v>14</v>
      </c>
      <c r="S18" s="667">
        <f>F18</f>
        <v>100</v>
      </c>
      <c r="T18" s="666" t="s">
        <v>14</v>
      </c>
      <c r="U18" s="667">
        <f>H18</f>
        <v>100</v>
      </c>
      <c r="V18" s="666" t="s">
        <v>14</v>
      </c>
      <c r="W18" s="667">
        <f>J18</f>
        <v>100</v>
      </c>
      <c r="X18" s="1264"/>
      <c r="Y18" s="3417"/>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417"/>
      <c r="Q19" s="1262"/>
      <c r="R19" s="666"/>
      <c r="S19" s="667"/>
      <c r="T19" s="666"/>
      <c r="U19" s="667"/>
      <c r="V19" s="666"/>
      <c r="W19" s="667"/>
      <c r="X19" s="1264"/>
      <c r="Y19" s="3417"/>
      <c r="Z19" s="1263"/>
      <c r="AA19" s="1263">
        <v>1</v>
      </c>
      <c r="AB19" s="1263">
        <v>1</v>
      </c>
      <c r="AC19" s="1263">
        <v>1</v>
      </c>
    </row>
    <row r="20" spans="1:29" ht="15">
      <c r="A20" s="348"/>
      <c r="B20" s="555"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7"/>
      <c r="Q20" s="1262" t="str">
        <f>B20</f>
        <v>自然及人文环境</v>
      </c>
      <c r="R20" s="666" t="s">
        <v>14</v>
      </c>
      <c r="S20" s="667">
        <f>F20</f>
        <v>100</v>
      </c>
      <c r="T20" s="666" t="s">
        <v>14</v>
      </c>
      <c r="U20" s="667">
        <f>H20</f>
        <v>100</v>
      </c>
      <c r="V20" s="666" t="s">
        <v>14</v>
      </c>
      <c r="W20" s="667">
        <f>J20</f>
        <v>100</v>
      </c>
      <c r="X20" s="1264"/>
      <c r="Y20" s="341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17"/>
      <c r="Q21" s="1262"/>
      <c r="R21" s="666"/>
      <c r="S21" s="667"/>
      <c r="T21" s="666"/>
      <c r="U21" s="667"/>
      <c r="V21" s="666"/>
      <c r="W21" s="667"/>
      <c r="X21" s="1264"/>
      <c r="Y21" s="3417"/>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7"/>
      <c r="Q22" s="1262" t="str">
        <f>B22</f>
        <v>楼层</v>
      </c>
      <c r="R22" s="666" t="s">
        <v>14</v>
      </c>
      <c r="S22" s="667">
        <f>F22</f>
        <v>100</v>
      </c>
      <c r="T22" s="666" t="s">
        <v>14</v>
      </c>
      <c r="U22" s="667">
        <f>H22</f>
        <v>100</v>
      </c>
      <c r="V22" s="666" t="s">
        <v>14</v>
      </c>
      <c r="W22" s="667">
        <f>J22</f>
        <v>100</v>
      </c>
      <c r="X22" s="1264"/>
      <c r="Y22" s="341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7"/>
      <c r="Q23" s="1262">
        <f>B23</f>
        <v>111</v>
      </c>
      <c r="R23" s="666" t="s">
        <v>14</v>
      </c>
      <c r="S23" s="667">
        <f>F23</f>
        <v>100</v>
      </c>
      <c r="T23" s="666" t="s">
        <v>14</v>
      </c>
      <c r="U23" s="667">
        <f>H23</f>
        <v>100</v>
      </c>
      <c r="V23" s="666" t="s">
        <v>14</v>
      </c>
      <c r="W23" s="667">
        <f>J23</f>
        <v>100</v>
      </c>
      <c r="X23" s="1264"/>
      <c r="Y23" s="341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7"/>
      <c r="Q24" s="1262">
        <f t="shared" ref="Q24:Q36" si="11">B24</f>
        <v>111</v>
      </c>
      <c r="R24" s="666" t="s">
        <v>14</v>
      </c>
      <c r="S24" s="667">
        <f>F24</f>
        <v>100</v>
      </c>
      <c r="T24" s="666" t="s">
        <v>14</v>
      </c>
      <c r="U24" s="667">
        <f>H24</f>
        <v>100</v>
      </c>
      <c r="V24" s="666" t="s">
        <v>14</v>
      </c>
      <c r="W24" s="667">
        <f>J24</f>
        <v>100</v>
      </c>
      <c r="X24" s="1264"/>
      <c r="Y24" s="3417"/>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417"/>
      <c r="Q25" s="530">
        <f t="shared" si="11"/>
        <v>111</v>
      </c>
      <c r="R25" s="663" t="s">
        <v>14</v>
      </c>
      <c r="S25" s="664">
        <f>F25</f>
        <v>100</v>
      </c>
      <c r="T25" s="663" t="s">
        <v>14</v>
      </c>
      <c r="U25" s="664">
        <f>H25</f>
        <v>100</v>
      </c>
      <c r="V25" s="663" t="s">
        <v>14</v>
      </c>
      <c r="W25" s="664">
        <f>J25</f>
        <v>100</v>
      </c>
      <c r="X25" s="665"/>
      <c r="Y25" s="3417"/>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1"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21"/>
      <c r="Q27" s="531" t="str">
        <f t="shared" si="11"/>
        <v>项目停车位配比</v>
      </c>
      <c r="R27" s="668" t="s">
        <v>14</v>
      </c>
      <c r="S27" s="669">
        <f t="shared" si="12"/>
        <v>100</v>
      </c>
      <c r="T27" s="668" t="s">
        <v>14</v>
      </c>
      <c r="U27" s="669">
        <f t="shared" si="13"/>
        <v>100</v>
      </c>
      <c r="V27" s="668" t="s">
        <v>14</v>
      </c>
      <c r="W27" s="669">
        <f t="shared" si="14"/>
        <v>100</v>
      </c>
      <c r="X27" s="670"/>
      <c r="Y27" s="3421"/>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1"/>
      <c r="Q28" s="1262" t="str">
        <f t="shared" si="11"/>
        <v>公共部分装修</v>
      </c>
      <c r="R28" s="666" t="s">
        <v>14</v>
      </c>
      <c r="S28" s="667">
        <f t="shared" si="12"/>
        <v>100</v>
      </c>
      <c r="T28" s="666" t="s">
        <v>14</v>
      </c>
      <c r="U28" s="667">
        <f t="shared" si="13"/>
        <v>100</v>
      </c>
      <c r="V28" s="666" t="s">
        <v>14</v>
      </c>
      <c r="W28" s="667">
        <f t="shared" si="14"/>
        <v>100</v>
      </c>
      <c r="X28" s="1264"/>
      <c r="Y28" s="3421"/>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1"/>
      <c r="Q29" s="1262" t="str">
        <f t="shared" si="11"/>
        <v>成新率</v>
      </c>
      <c r="R29" s="666" t="s">
        <v>14</v>
      </c>
      <c r="S29" s="667" t="e">
        <f t="shared" si="12"/>
        <v>#N/A</v>
      </c>
      <c r="T29" s="666" t="s">
        <v>14</v>
      </c>
      <c r="U29" s="667" t="e">
        <f t="shared" si="13"/>
        <v>#N/A</v>
      </c>
      <c r="V29" s="666" t="s">
        <v>14</v>
      </c>
      <c r="W29" s="667" t="e">
        <f t="shared" si="14"/>
        <v>#N/A</v>
      </c>
      <c r="X29" s="1264"/>
      <c r="Y29" s="3421"/>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21"/>
      <c r="Q30" s="1262" t="str">
        <f t="shared" si="11"/>
        <v>物业等级</v>
      </c>
      <c r="R30" s="666" t="s">
        <v>14</v>
      </c>
      <c r="S30" s="667">
        <f t="shared" si="12"/>
        <v>100</v>
      </c>
      <c r="T30" s="666" t="s">
        <v>14</v>
      </c>
      <c r="U30" s="667">
        <f t="shared" si="13"/>
        <v>100</v>
      </c>
      <c r="V30" s="666" t="s">
        <v>14</v>
      </c>
      <c r="W30" s="667">
        <f t="shared" si="14"/>
        <v>100</v>
      </c>
      <c r="X30" s="1264"/>
      <c r="Y30" s="342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1"/>
      <c r="Q31" s="530" t="str">
        <f t="shared" si="11"/>
        <v>停车位面积</v>
      </c>
      <c r="R31" s="663" t="s">
        <v>14</v>
      </c>
      <c r="S31" s="664" t="e">
        <f t="shared" si="12"/>
        <v>#N/A</v>
      </c>
      <c r="T31" s="663" t="s">
        <v>14</v>
      </c>
      <c r="U31" s="664" t="e">
        <f t="shared" si="13"/>
        <v>#N/A</v>
      </c>
      <c r="V31" s="663" t="s">
        <v>14</v>
      </c>
      <c r="W31" s="664" t="e">
        <f t="shared" si="14"/>
        <v>#N/A</v>
      </c>
      <c r="X31" s="665"/>
      <c r="Y31" s="3421"/>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1" t="s">
        <v>1696</v>
      </c>
      <c r="Q32" s="1262" t="str">
        <f t="shared" si="11"/>
        <v>车位类型</v>
      </c>
      <c r="R32" s="666" t="s">
        <v>14</v>
      </c>
      <c r="S32" s="667">
        <f t="shared" si="12"/>
        <v>100</v>
      </c>
      <c r="T32" s="666" t="s">
        <v>14</v>
      </c>
      <c r="U32" s="667">
        <f t="shared" si="13"/>
        <v>100</v>
      </c>
      <c r="V32" s="666" t="s">
        <v>14</v>
      </c>
      <c r="W32" s="667">
        <f t="shared" si="14"/>
        <v>100</v>
      </c>
      <c r="X32" s="1264"/>
      <c r="Y32" s="3421"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1"/>
      <c r="Q33" s="1262" t="str">
        <f t="shared" si="11"/>
        <v>是否直接入户</v>
      </c>
      <c r="R33" s="666" t="s">
        <v>14</v>
      </c>
      <c r="S33" s="667">
        <f t="shared" si="12"/>
        <v>100</v>
      </c>
      <c r="T33" s="666" t="s">
        <v>14</v>
      </c>
      <c r="U33" s="667">
        <f t="shared" si="13"/>
        <v>100</v>
      </c>
      <c r="V33" s="666" t="s">
        <v>14</v>
      </c>
      <c r="W33" s="667">
        <f t="shared" si="14"/>
        <v>100</v>
      </c>
      <c r="X33" s="1264"/>
      <c r="Y33" s="342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1"/>
      <c r="Q34" s="1262">
        <f t="shared" si="11"/>
        <v>111</v>
      </c>
      <c r="R34" s="666" t="s">
        <v>14</v>
      </c>
      <c r="S34" s="667">
        <f t="shared" si="12"/>
        <v>100</v>
      </c>
      <c r="T34" s="666" t="s">
        <v>14</v>
      </c>
      <c r="U34" s="667">
        <f t="shared" si="13"/>
        <v>100</v>
      </c>
      <c r="V34" s="666" t="s">
        <v>14</v>
      </c>
      <c r="W34" s="667">
        <f t="shared" si="14"/>
        <v>100</v>
      </c>
      <c r="X34" s="1264"/>
      <c r="Y34" s="3421"/>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1"/>
      <c r="Q35" s="531">
        <f t="shared" si="11"/>
        <v>111</v>
      </c>
      <c r="R35" s="668" t="s">
        <v>14</v>
      </c>
      <c r="S35" s="669">
        <f t="shared" si="12"/>
        <v>100</v>
      </c>
      <c r="T35" s="668" t="s">
        <v>14</v>
      </c>
      <c r="U35" s="669">
        <f t="shared" si="13"/>
        <v>100</v>
      </c>
      <c r="V35" s="668" t="s">
        <v>14</v>
      </c>
      <c r="W35" s="669">
        <f t="shared" si="14"/>
        <v>100</v>
      </c>
      <c r="X35" s="670"/>
      <c r="Y35" s="3421"/>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1"/>
      <c r="Q36" s="1262">
        <f t="shared" si="11"/>
        <v>111</v>
      </c>
      <c r="R36" s="666" t="s">
        <v>14</v>
      </c>
      <c r="S36" s="667">
        <f t="shared" si="12"/>
        <v>100</v>
      </c>
      <c r="T36" s="666" t="s">
        <v>14</v>
      </c>
      <c r="U36" s="667">
        <f t="shared" si="13"/>
        <v>100</v>
      </c>
      <c r="V36" s="666" t="s">
        <v>14</v>
      </c>
      <c r="W36" s="667">
        <f t="shared" si="14"/>
        <v>100</v>
      </c>
      <c r="X36" s="1264"/>
      <c r="Y36" s="3421"/>
      <c r="Z36" s="1263">
        <f t="shared" si="15"/>
        <v>111</v>
      </c>
      <c r="AA36" s="1263">
        <f t="shared" si="3"/>
        <v>1</v>
      </c>
      <c r="AB36" s="1263">
        <f t="shared" si="4"/>
        <v>1</v>
      </c>
      <c r="AC36" s="1263">
        <f t="shared" si="5"/>
        <v>1</v>
      </c>
    </row>
    <row r="37" spans="1:29" ht="15">
      <c r="A37" s="416" t="s">
        <v>1844</v>
      </c>
      <c r="B37" s="1820" t="s">
        <v>3344</v>
      </c>
      <c r="C37" s="1080" t="s">
        <v>0</v>
      </c>
      <c r="D37" s="418"/>
      <c r="E37" s="419"/>
      <c r="F37" s="420"/>
      <c r="G37" s="421"/>
      <c r="H37" s="422"/>
      <c r="I37" s="419"/>
      <c r="J37" s="422"/>
      <c r="K37" s="544"/>
      <c r="L37" s="2494"/>
      <c r="M37" s="2487"/>
      <c r="N37" s="2487"/>
      <c r="O37" s="2487"/>
      <c r="P37" s="3423" t="str">
        <f>A37</f>
        <v>成交单价</v>
      </c>
      <c r="Q37" s="3423"/>
      <c r="R37" s="3384">
        <f>E37</f>
        <v>0</v>
      </c>
      <c r="S37" s="3384"/>
      <c r="T37" s="3384">
        <f>G37</f>
        <v>0</v>
      </c>
      <c r="U37" s="3384"/>
      <c r="V37" s="3384">
        <f>I37</f>
        <v>0</v>
      </c>
      <c r="W37" s="3384"/>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23" t="str">
        <f>A38</f>
        <v>比较价值（元/平方米）</v>
      </c>
      <c r="Q38" s="342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4"/>
      <c r="M39" s="2487"/>
      <c r="N39" s="2487"/>
      <c r="O39" s="2487"/>
      <c r="P39" s="3424" t="str">
        <f>A39</f>
        <v>估价对象XX用房的比较价值（楼面单价，元/平方米）</v>
      </c>
      <c r="Q39" s="3425"/>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7" t="s">
        <v>1771</v>
      </c>
      <c r="S4" s="3388"/>
      <c r="T4" s="3387" t="s">
        <v>1772</v>
      </c>
      <c r="U4" s="3388"/>
      <c r="V4" s="3384" t="s">
        <v>1773</v>
      </c>
      <c r="W4" s="3384"/>
      <c r="X4" s="1264"/>
      <c r="Y4" s="3387" t="s">
        <v>1775</v>
      </c>
      <c r="Z4" s="3388"/>
      <c r="AA4" s="3381" t="s">
        <v>1771</v>
      </c>
      <c r="AB4" s="3382" t="s">
        <v>1772</v>
      </c>
      <c r="AC4" s="3381" t="s">
        <v>1773</v>
      </c>
    </row>
    <row r="5" spans="1:29" ht="15">
      <c r="A5" s="348"/>
      <c r="B5" s="349"/>
      <c r="C5" s="3393" t="s">
        <v>1673</v>
      </c>
      <c r="D5" s="3394"/>
      <c r="E5" s="3448" t="s">
        <v>1674</v>
      </c>
      <c r="F5" s="3392"/>
      <c r="G5" s="3393" t="s">
        <v>1675</v>
      </c>
      <c r="H5" s="3394"/>
      <c r="I5" s="3393" t="s">
        <v>1676</v>
      </c>
      <c r="J5" s="3394"/>
      <c r="K5" s="537"/>
      <c r="L5" s="2486"/>
      <c r="M5" s="2487"/>
      <c r="N5" s="2487"/>
      <c r="O5" s="2487"/>
      <c r="P5" s="3407"/>
      <c r="Q5" s="3408"/>
      <c r="R5" s="3389"/>
      <c r="S5" s="3390"/>
      <c r="T5" s="3389"/>
      <c r="U5" s="3390"/>
      <c r="V5" s="3384"/>
      <c r="W5" s="3384"/>
      <c r="X5" s="1264"/>
      <c r="Y5" s="3389"/>
      <c r="Z5" s="3390"/>
      <c r="AA5" s="3382"/>
      <c r="AB5" s="3382"/>
      <c r="AC5" s="3382"/>
    </row>
    <row r="6" spans="1:29" ht="15.75" thickBot="1">
      <c r="A6" s="350"/>
      <c r="B6" s="351"/>
      <c r="C6" s="3395" t="s">
        <v>1677</v>
      </c>
      <c r="D6" s="3396"/>
      <c r="E6" s="3398" t="s">
        <v>1677</v>
      </c>
      <c r="F6" s="3399"/>
      <c r="G6" s="3395" t="s">
        <v>1677</v>
      </c>
      <c r="H6" s="3396"/>
      <c r="I6" s="3395" t="s">
        <v>1677</v>
      </c>
      <c r="J6" s="3396"/>
      <c r="K6" s="537" t="s">
        <v>1678</v>
      </c>
      <c r="L6" s="2486"/>
      <c r="M6" s="2487"/>
      <c r="N6" s="2487"/>
      <c r="O6" s="2487"/>
      <c r="P6" s="3409"/>
      <c r="Q6" s="3410"/>
      <c r="R6" s="3389"/>
      <c r="S6" s="3390"/>
      <c r="T6" s="3411"/>
      <c r="U6" s="3412"/>
      <c r="V6" s="3384"/>
      <c r="W6" s="3384"/>
      <c r="X6" s="1264"/>
      <c r="Y6" s="3411"/>
      <c r="Z6" s="3412"/>
      <c r="AA6" s="3383"/>
      <c r="AB6" s="3383"/>
      <c r="AC6" s="3383"/>
    </row>
    <row r="7" spans="1:29" s="102" customFormat="1" ht="15.75" thickBot="1">
      <c r="A7" s="352" t="s">
        <v>1679</v>
      </c>
      <c r="B7" s="353"/>
      <c r="C7" s="354">
        <f>'数据-取费表'!B2</f>
        <v>45768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5" t="s">
        <v>1680</v>
      </c>
      <c r="Q7" s="3413"/>
      <c r="R7" s="663" t="s">
        <v>14</v>
      </c>
      <c r="S7" s="664">
        <f t="shared" ref="S7:S14" si="0">F7</f>
        <v>0</v>
      </c>
      <c r="T7" s="663" t="s">
        <v>14</v>
      </c>
      <c r="U7" s="664">
        <f t="shared" ref="U7:U14" si="1">H7</f>
        <v>0</v>
      </c>
      <c r="V7" s="663" t="s">
        <v>14</v>
      </c>
      <c r="W7" s="664">
        <f t="shared" ref="W7:W14" si="2">J7</f>
        <v>0</v>
      </c>
      <c r="X7" s="665"/>
      <c r="Y7" s="3385" t="s">
        <v>1680</v>
      </c>
      <c r="Z7" s="338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5" t="s">
        <v>1683</v>
      </c>
      <c r="Q8" s="3386"/>
      <c r="R8" s="663" t="s">
        <v>14</v>
      </c>
      <c r="S8" s="664">
        <f t="shared" si="0"/>
        <v>100</v>
      </c>
      <c r="T8" s="663" t="s">
        <v>14</v>
      </c>
      <c r="U8" s="664">
        <f t="shared" si="1"/>
        <v>100</v>
      </c>
      <c r="V8" s="663" t="s">
        <v>14</v>
      </c>
      <c r="W8" s="664">
        <f t="shared" si="2"/>
        <v>100</v>
      </c>
      <c r="X8" s="665"/>
      <c r="Y8" s="3385" t="s">
        <v>1683</v>
      </c>
      <c r="Z8" s="338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3" t="s">
        <v>1686</v>
      </c>
      <c r="Q9" s="530" t="str">
        <f t="shared" ref="Q9:Q14" si="6">B9</f>
        <v>用途</v>
      </c>
      <c r="R9" s="663" t="s">
        <v>14</v>
      </c>
      <c r="S9" s="664">
        <f t="shared" si="0"/>
        <v>100</v>
      </c>
      <c r="T9" s="663" t="s">
        <v>14</v>
      </c>
      <c r="U9" s="664">
        <f t="shared" si="1"/>
        <v>100</v>
      </c>
      <c r="V9" s="663" t="s">
        <v>14</v>
      </c>
      <c r="W9" s="664">
        <f t="shared" si="2"/>
        <v>100</v>
      </c>
      <c r="X9" s="665"/>
      <c r="Y9" s="333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3"/>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3"/>
      <c r="Q11" s="530">
        <f t="shared" si="6"/>
        <v>111</v>
      </c>
      <c r="R11" s="663" t="s">
        <v>14</v>
      </c>
      <c r="S11" s="664">
        <f t="shared" si="0"/>
        <v>100</v>
      </c>
      <c r="T11" s="663" t="s">
        <v>14</v>
      </c>
      <c r="U11" s="664">
        <f t="shared" si="1"/>
        <v>100</v>
      </c>
      <c r="V11" s="663" t="s">
        <v>14</v>
      </c>
      <c r="W11" s="664">
        <f t="shared" si="2"/>
        <v>100</v>
      </c>
      <c r="X11" s="665"/>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3"/>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3"/>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6" t="s">
        <v>1691</v>
      </c>
      <c r="Q14" s="1262" t="str">
        <f t="shared" si="6"/>
        <v>交通便捷度</v>
      </c>
      <c r="R14" s="666" t="s">
        <v>14</v>
      </c>
      <c r="S14" s="667">
        <f t="shared" si="0"/>
        <v>100</v>
      </c>
      <c r="T14" s="666" t="s">
        <v>14</v>
      </c>
      <c r="U14" s="667">
        <f t="shared" si="1"/>
        <v>100</v>
      </c>
      <c r="V14" s="666" t="s">
        <v>14</v>
      </c>
      <c r="W14" s="667">
        <f t="shared" si="2"/>
        <v>100</v>
      </c>
      <c r="X14" s="1264"/>
      <c r="Y14" s="341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17"/>
      <c r="Q15" s="1262"/>
      <c r="R15" s="666"/>
      <c r="S15" s="667"/>
      <c r="T15" s="666"/>
      <c r="U15" s="667"/>
      <c r="V15" s="666"/>
      <c r="W15" s="667"/>
      <c r="X15" s="1264"/>
      <c r="Y15" s="3417"/>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7"/>
      <c r="Q16" s="1262" t="str">
        <f>B16</f>
        <v>公共配套设施</v>
      </c>
      <c r="R16" s="666" t="s">
        <v>14</v>
      </c>
      <c r="S16" s="667">
        <f>F16</f>
        <v>100</v>
      </c>
      <c r="T16" s="666" t="s">
        <v>14</v>
      </c>
      <c r="U16" s="667">
        <f>H16</f>
        <v>100</v>
      </c>
      <c r="V16" s="666" t="s">
        <v>14</v>
      </c>
      <c r="W16" s="667">
        <f>J16</f>
        <v>100</v>
      </c>
      <c r="X16" s="1264"/>
      <c r="Y16" s="341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17"/>
      <c r="Q17" s="1262"/>
      <c r="R17" s="666"/>
      <c r="S17" s="667"/>
      <c r="T17" s="666"/>
      <c r="U17" s="667"/>
      <c r="V17" s="666"/>
      <c r="W17" s="667"/>
      <c r="X17" s="1264"/>
      <c r="Y17" s="3417"/>
      <c r="Z17" s="1263"/>
      <c r="AA17" s="1263">
        <v>1</v>
      </c>
      <c r="AB17" s="1263">
        <v>1</v>
      </c>
      <c r="AC17" s="1263">
        <v>1</v>
      </c>
    </row>
    <row r="18" spans="1:29" ht="15">
      <c r="A18" s="367"/>
      <c r="B18" s="585"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7"/>
      <c r="Q18" s="1262" t="str">
        <f>B18</f>
        <v>基础设施水平</v>
      </c>
      <c r="R18" s="666" t="s">
        <v>14</v>
      </c>
      <c r="S18" s="667">
        <f>F18</f>
        <v>100</v>
      </c>
      <c r="T18" s="666" t="s">
        <v>14</v>
      </c>
      <c r="U18" s="667">
        <f>H18</f>
        <v>100</v>
      </c>
      <c r="V18" s="666" t="s">
        <v>14</v>
      </c>
      <c r="W18" s="667">
        <f>J18</f>
        <v>100</v>
      </c>
      <c r="X18" s="1264"/>
      <c r="Y18" s="3417"/>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17"/>
      <c r="Q19" s="1262"/>
      <c r="R19" s="666"/>
      <c r="S19" s="667"/>
      <c r="T19" s="666"/>
      <c r="U19" s="667"/>
      <c r="V19" s="666"/>
      <c r="W19" s="667"/>
      <c r="X19" s="1264"/>
      <c r="Y19" s="3417"/>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7"/>
      <c r="Q20" s="1262" t="str">
        <f>B20</f>
        <v>自然及人文环境</v>
      </c>
      <c r="R20" s="666" t="s">
        <v>14</v>
      </c>
      <c r="S20" s="667">
        <f>F20</f>
        <v>100</v>
      </c>
      <c r="T20" s="666" t="s">
        <v>14</v>
      </c>
      <c r="U20" s="667">
        <f>H20</f>
        <v>100</v>
      </c>
      <c r="V20" s="666" t="s">
        <v>14</v>
      </c>
      <c r="W20" s="667">
        <f>J20</f>
        <v>100</v>
      </c>
      <c r="X20" s="1264"/>
      <c r="Y20" s="341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17"/>
      <c r="Q21" s="1262"/>
      <c r="R21" s="666"/>
      <c r="S21" s="667"/>
      <c r="T21" s="666"/>
      <c r="U21" s="667"/>
      <c r="V21" s="666"/>
      <c r="W21" s="667"/>
      <c r="X21" s="1264"/>
      <c r="Y21" s="341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7"/>
      <c r="Q22" s="1262" t="str">
        <f>B22</f>
        <v>楼层</v>
      </c>
      <c r="R22" s="666" t="s">
        <v>14</v>
      </c>
      <c r="S22" s="667">
        <f>F22</f>
        <v>100</v>
      </c>
      <c r="T22" s="666" t="s">
        <v>14</v>
      </c>
      <c r="U22" s="667">
        <f>H22</f>
        <v>100</v>
      </c>
      <c r="V22" s="666" t="s">
        <v>14</v>
      </c>
      <c r="W22" s="667">
        <f>J22</f>
        <v>100</v>
      </c>
      <c r="X22" s="1264"/>
      <c r="Y22" s="341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7"/>
      <c r="Q23" s="1262">
        <f>B23</f>
        <v>111</v>
      </c>
      <c r="R23" s="666" t="s">
        <v>14</v>
      </c>
      <c r="S23" s="667">
        <f>F23</f>
        <v>100</v>
      </c>
      <c r="T23" s="666" t="s">
        <v>14</v>
      </c>
      <c r="U23" s="667">
        <f>H23</f>
        <v>100</v>
      </c>
      <c r="V23" s="666" t="s">
        <v>14</v>
      </c>
      <c r="W23" s="667">
        <f>J23</f>
        <v>100</v>
      </c>
      <c r="X23" s="1264"/>
      <c r="Y23" s="341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7"/>
      <c r="Q24" s="1262">
        <f t="shared" ref="Q24:Q34" si="11">B24</f>
        <v>111</v>
      </c>
      <c r="R24" s="666" t="s">
        <v>14</v>
      </c>
      <c r="S24" s="667">
        <f>F24</f>
        <v>100</v>
      </c>
      <c r="T24" s="666" t="s">
        <v>14</v>
      </c>
      <c r="U24" s="667">
        <f>H24</f>
        <v>100</v>
      </c>
      <c r="V24" s="666" t="s">
        <v>14</v>
      </c>
      <c r="W24" s="667">
        <f>J24</f>
        <v>100</v>
      </c>
      <c r="X24" s="1264"/>
      <c r="Y24" s="3417"/>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417"/>
      <c r="Q25" s="530">
        <f t="shared" si="11"/>
        <v>111</v>
      </c>
      <c r="R25" s="663" t="s">
        <v>14</v>
      </c>
      <c r="S25" s="664">
        <f>F25</f>
        <v>100</v>
      </c>
      <c r="T25" s="663" t="s">
        <v>14</v>
      </c>
      <c r="U25" s="664">
        <f>H25</f>
        <v>100</v>
      </c>
      <c r="V25" s="663" t="s">
        <v>14</v>
      </c>
      <c r="W25" s="664">
        <f>J25</f>
        <v>100</v>
      </c>
      <c r="X25" s="665"/>
      <c r="Y25" s="3417"/>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6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1"/>
      <c r="Q27" s="531" t="str">
        <f t="shared" si="11"/>
        <v>成新率</v>
      </c>
      <c r="R27" s="668" t="s">
        <v>14</v>
      </c>
      <c r="S27" s="669" t="e">
        <f t="shared" si="12"/>
        <v>#N/A</v>
      </c>
      <c r="T27" s="668" t="s">
        <v>14</v>
      </c>
      <c r="U27" s="669" t="e">
        <f t="shared" si="13"/>
        <v>#N/A</v>
      </c>
      <c r="V27" s="668" t="s">
        <v>14</v>
      </c>
      <c r="W27" s="669" t="e">
        <f t="shared" si="14"/>
        <v>#N/A</v>
      </c>
      <c r="X27" s="670"/>
      <c r="Y27" s="342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1"/>
      <c r="Q28" s="1262" t="str">
        <f t="shared" si="11"/>
        <v>物业等级</v>
      </c>
      <c r="R28" s="666" t="s">
        <v>14</v>
      </c>
      <c r="S28" s="667">
        <f t="shared" si="12"/>
        <v>100</v>
      </c>
      <c r="T28" s="666" t="s">
        <v>14</v>
      </c>
      <c r="U28" s="667">
        <f t="shared" si="13"/>
        <v>100</v>
      </c>
      <c r="V28" s="666" t="s">
        <v>14</v>
      </c>
      <c r="W28" s="667">
        <f t="shared" si="14"/>
        <v>100</v>
      </c>
      <c r="X28" s="1264"/>
      <c r="Y28" s="3421"/>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21"/>
      <c r="Q29" s="1262" t="str">
        <f t="shared" si="11"/>
        <v>有无电梯</v>
      </c>
      <c r="R29" s="666" t="s">
        <v>14</v>
      </c>
      <c r="S29" s="667">
        <f t="shared" si="12"/>
        <v>100</v>
      </c>
      <c r="T29" s="666" t="s">
        <v>14</v>
      </c>
      <c r="U29" s="667">
        <f t="shared" si="13"/>
        <v>100</v>
      </c>
      <c r="V29" s="666" t="s">
        <v>14</v>
      </c>
      <c r="W29" s="667">
        <f t="shared" si="14"/>
        <v>100</v>
      </c>
      <c r="X29" s="1264"/>
      <c r="Y29" s="342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1"/>
      <c r="Q30" s="1262" t="str">
        <f t="shared" si="11"/>
        <v>建筑面积</v>
      </c>
      <c r="R30" s="666" t="s">
        <v>14</v>
      </c>
      <c r="S30" s="667" t="e">
        <f t="shared" si="12"/>
        <v>#N/A</v>
      </c>
      <c r="T30" s="666" t="s">
        <v>14</v>
      </c>
      <c r="U30" s="667" t="e">
        <f t="shared" si="13"/>
        <v>#N/A</v>
      </c>
      <c r="V30" s="666" t="s">
        <v>14</v>
      </c>
      <c r="W30" s="667" t="e">
        <f t="shared" si="14"/>
        <v>#N/A</v>
      </c>
      <c r="X30" s="1264"/>
      <c r="Y30" s="3421"/>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21"/>
      <c r="Q31" s="530" t="str">
        <f t="shared" si="11"/>
        <v>是否封闭</v>
      </c>
      <c r="R31" s="663" t="s">
        <v>14</v>
      </c>
      <c r="S31" s="664">
        <f t="shared" si="12"/>
        <v>100</v>
      </c>
      <c r="T31" s="663" t="s">
        <v>14</v>
      </c>
      <c r="U31" s="664">
        <f t="shared" si="13"/>
        <v>100</v>
      </c>
      <c r="V31" s="663" t="s">
        <v>14</v>
      </c>
      <c r="W31" s="664">
        <f t="shared" si="14"/>
        <v>100</v>
      </c>
      <c r="X31" s="665"/>
      <c r="Y31" s="34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1" t="s">
        <v>1696</v>
      </c>
      <c r="Q32" s="1262">
        <f t="shared" si="11"/>
        <v>111</v>
      </c>
      <c r="R32" s="666" t="s">
        <v>14</v>
      </c>
      <c r="S32" s="667">
        <f t="shared" si="12"/>
        <v>100</v>
      </c>
      <c r="T32" s="666" t="s">
        <v>14</v>
      </c>
      <c r="U32" s="667">
        <f t="shared" si="13"/>
        <v>100</v>
      </c>
      <c r="V32" s="666" t="s">
        <v>14</v>
      </c>
      <c r="W32" s="667">
        <f t="shared" si="14"/>
        <v>100</v>
      </c>
      <c r="X32" s="1264"/>
      <c r="Y32" s="342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1"/>
      <c r="Q33" s="1262">
        <f t="shared" si="11"/>
        <v>111</v>
      </c>
      <c r="R33" s="666" t="s">
        <v>14</v>
      </c>
      <c r="S33" s="667">
        <f t="shared" si="12"/>
        <v>100</v>
      </c>
      <c r="T33" s="666" t="s">
        <v>14</v>
      </c>
      <c r="U33" s="667">
        <f t="shared" si="13"/>
        <v>100</v>
      </c>
      <c r="V33" s="666" t="s">
        <v>14</v>
      </c>
      <c r="W33" s="667">
        <f t="shared" si="14"/>
        <v>100</v>
      </c>
      <c r="X33" s="1264"/>
      <c r="Y33" s="342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1"/>
      <c r="Q34" s="1262">
        <f t="shared" si="11"/>
        <v>111</v>
      </c>
      <c r="R34" s="666" t="s">
        <v>14</v>
      </c>
      <c r="S34" s="667">
        <f t="shared" si="12"/>
        <v>100</v>
      </c>
      <c r="T34" s="666" t="s">
        <v>14</v>
      </c>
      <c r="U34" s="667">
        <f t="shared" si="13"/>
        <v>100</v>
      </c>
      <c r="V34" s="666" t="s">
        <v>14</v>
      </c>
      <c r="W34" s="667">
        <f t="shared" si="14"/>
        <v>100</v>
      </c>
      <c r="X34" s="1264"/>
      <c r="Y34" s="342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423" t="str">
        <f>A35</f>
        <v>成交单价（元/平方米）</v>
      </c>
      <c r="Q35" s="3423"/>
      <c r="R35" s="3384">
        <f>E35</f>
        <v>0</v>
      </c>
      <c r="S35" s="3384"/>
      <c r="T35" s="3384">
        <f>G35</f>
        <v>0</v>
      </c>
      <c r="U35" s="3384"/>
      <c r="V35" s="3384">
        <f>I35</f>
        <v>0</v>
      </c>
      <c r="W35" s="3384"/>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23" t="str">
        <f>A36</f>
        <v>比较价值（元/平方米）</v>
      </c>
      <c r="Q36" s="342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24" t="str">
        <f>A37</f>
        <v>估价对象XX用房的比较价值（楼面单价，元/平方米）</v>
      </c>
      <c r="Q37" s="3425"/>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7" t="s">
        <v>1771</v>
      </c>
      <c r="S4" s="3388"/>
      <c r="T4" s="3387" t="s">
        <v>1772</v>
      </c>
      <c r="U4" s="3388"/>
      <c r="V4" s="3384" t="s">
        <v>1773</v>
      </c>
      <c r="W4" s="3384"/>
      <c r="X4" s="1264"/>
      <c r="Y4" s="3387" t="s">
        <v>1775</v>
      </c>
      <c r="Z4" s="3388"/>
      <c r="AA4" s="3381" t="s">
        <v>1771</v>
      </c>
      <c r="AB4" s="3382" t="s">
        <v>1772</v>
      </c>
      <c r="AC4" s="3381" t="s">
        <v>1773</v>
      </c>
    </row>
    <row r="5" spans="1:29" ht="15">
      <c r="A5" s="348"/>
      <c r="B5" s="349"/>
      <c r="C5" s="3393" t="s">
        <v>1673</v>
      </c>
      <c r="D5" s="3394"/>
      <c r="E5" s="3448" t="s">
        <v>1674</v>
      </c>
      <c r="F5" s="3392"/>
      <c r="G5" s="3393" t="s">
        <v>1675</v>
      </c>
      <c r="H5" s="3394"/>
      <c r="I5" s="3393" t="s">
        <v>1676</v>
      </c>
      <c r="J5" s="3394"/>
      <c r="K5" s="537"/>
      <c r="L5" s="2486"/>
      <c r="M5" s="2487"/>
      <c r="N5" s="2487"/>
      <c r="O5" s="2487"/>
      <c r="P5" s="3407"/>
      <c r="Q5" s="3408"/>
      <c r="R5" s="3389"/>
      <c r="S5" s="3390"/>
      <c r="T5" s="3389"/>
      <c r="U5" s="3390"/>
      <c r="V5" s="3384"/>
      <c r="W5" s="3384"/>
      <c r="X5" s="1264"/>
      <c r="Y5" s="3389"/>
      <c r="Z5" s="3390"/>
      <c r="AA5" s="3382"/>
      <c r="AB5" s="3382"/>
      <c r="AC5" s="3382"/>
    </row>
    <row r="6" spans="1:29" ht="15.75" thickBot="1">
      <c r="A6" s="350"/>
      <c r="B6" s="351"/>
      <c r="C6" s="3395" t="s">
        <v>1677</v>
      </c>
      <c r="D6" s="3396"/>
      <c r="E6" s="3398" t="s">
        <v>1677</v>
      </c>
      <c r="F6" s="3399"/>
      <c r="G6" s="3395" t="s">
        <v>1677</v>
      </c>
      <c r="H6" s="3396"/>
      <c r="I6" s="3395" t="s">
        <v>1677</v>
      </c>
      <c r="J6" s="3396"/>
      <c r="K6" s="537" t="s">
        <v>1678</v>
      </c>
      <c r="L6" s="2486"/>
      <c r="M6" s="2487"/>
      <c r="N6" s="2487"/>
      <c r="O6" s="2487"/>
      <c r="P6" s="3409"/>
      <c r="Q6" s="3410"/>
      <c r="R6" s="3389"/>
      <c r="S6" s="3390"/>
      <c r="T6" s="3411"/>
      <c r="U6" s="3412"/>
      <c r="V6" s="3384"/>
      <c r="W6" s="3384"/>
      <c r="X6" s="1264"/>
      <c r="Y6" s="3411"/>
      <c r="Z6" s="3412"/>
      <c r="AA6" s="3383"/>
      <c r="AB6" s="3383"/>
      <c r="AC6" s="3383"/>
    </row>
    <row r="7" spans="1:29" s="102" customFormat="1" ht="15.75" thickBot="1">
      <c r="A7" s="352" t="s">
        <v>1679</v>
      </c>
      <c r="B7" s="353"/>
      <c r="C7" s="354">
        <f>'数据-取费表'!B2</f>
        <v>45768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5" t="s">
        <v>1680</v>
      </c>
      <c r="Q7" s="3413"/>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5" t="s">
        <v>1683</v>
      </c>
      <c r="Q8" s="3386"/>
      <c r="R8" s="663" t="s">
        <v>14</v>
      </c>
      <c r="S8" s="664">
        <f t="shared" si="0"/>
        <v>0</v>
      </c>
      <c r="T8" s="663" t="s">
        <v>14</v>
      </c>
      <c r="U8" s="664">
        <f t="shared" si="1"/>
        <v>0</v>
      </c>
      <c r="V8" s="663" t="s">
        <v>14</v>
      </c>
      <c r="W8" s="664">
        <f t="shared" si="2"/>
        <v>0</v>
      </c>
      <c r="X8" s="665"/>
      <c r="Y8" s="3385" t="s">
        <v>1683</v>
      </c>
      <c r="Z8" s="338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3"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423"/>
      <c r="Q10" s="530" t="str">
        <f t="shared" si="6"/>
        <v>土地使用年限（年）</v>
      </c>
      <c r="R10" s="663" t="s">
        <v>14</v>
      </c>
      <c r="S10" s="664">
        <f t="shared" si="0"/>
        <v>149</v>
      </c>
      <c r="T10" s="663" t="s">
        <v>14</v>
      </c>
      <c r="U10" s="664">
        <f t="shared" si="1"/>
        <v>149</v>
      </c>
      <c r="V10" s="663" t="s">
        <v>14</v>
      </c>
      <c r="W10" s="664">
        <f t="shared" si="2"/>
        <v>149</v>
      </c>
      <c r="X10" s="665"/>
      <c r="Y10" s="3330"/>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23"/>
      <c r="Q11" s="530" t="str">
        <f t="shared" si="6"/>
        <v>容积率</v>
      </c>
      <c r="R11" s="663" t="s">
        <v>14</v>
      </c>
      <c r="S11" s="664" t="e">
        <f t="shared" si="0"/>
        <v>#N/A</v>
      </c>
      <c r="T11" s="663" t="s">
        <v>14</v>
      </c>
      <c r="U11" s="664" t="e">
        <f t="shared" si="1"/>
        <v>#N/A</v>
      </c>
      <c r="V11" s="663" t="s">
        <v>14</v>
      </c>
      <c r="W11" s="664" t="e">
        <f t="shared" si="2"/>
        <v>#N/A</v>
      </c>
      <c r="X11" s="665"/>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23"/>
      <c r="Q12" s="530" t="str">
        <f t="shared" si="6"/>
        <v>配建</v>
      </c>
      <c r="R12" s="663" t="s">
        <v>14</v>
      </c>
      <c r="S12" s="664">
        <f t="shared" si="0"/>
        <v>100</v>
      </c>
      <c r="T12" s="663" t="s">
        <v>14</v>
      </c>
      <c r="U12" s="664">
        <f t="shared" si="1"/>
        <v>100</v>
      </c>
      <c r="V12" s="663" t="s">
        <v>14</v>
      </c>
      <c r="W12" s="664">
        <f t="shared" si="2"/>
        <v>100</v>
      </c>
      <c r="X12" s="665"/>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23"/>
      <c r="Q13" s="530">
        <f t="shared" si="6"/>
        <v>111</v>
      </c>
      <c r="R13" s="663" t="s">
        <v>14</v>
      </c>
      <c r="S13" s="664">
        <f t="shared" si="0"/>
        <v>100</v>
      </c>
      <c r="T13" s="663" t="s">
        <v>14</v>
      </c>
      <c r="U13" s="664">
        <f t="shared" si="1"/>
        <v>100</v>
      </c>
      <c r="V13" s="663" t="s">
        <v>14</v>
      </c>
      <c r="W13" s="664">
        <f t="shared" si="2"/>
        <v>100</v>
      </c>
      <c r="X13" s="665"/>
      <c r="Y13" s="333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23"/>
      <c r="Q14" s="530">
        <f t="shared" si="6"/>
        <v>111</v>
      </c>
      <c r="R14" s="663" t="s">
        <v>14</v>
      </c>
      <c r="S14" s="664">
        <f t="shared" si="0"/>
        <v>100</v>
      </c>
      <c r="T14" s="663" t="s">
        <v>14</v>
      </c>
      <c r="U14" s="664">
        <f t="shared" si="1"/>
        <v>100</v>
      </c>
      <c r="V14" s="663" t="s">
        <v>14</v>
      </c>
      <c r="W14" s="664">
        <f t="shared" si="2"/>
        <v>100</v>
      </c>
      <c r="X14" s="665"/>
      <c r="Y14" s="3330"/>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16" t="s">
        <v>1691</v>
      </c>
      <c r="Q15" s="1262" t="str">
        <f t="shared" si="6"/>
        <v>居住社区成熟度</v>
      </c>
      <c r="R15" s="666" t="s">
        <v>14</v>
      </c>
      <c r="S15" s="667">
        <f t="shared" si="0"/>
        <v>100</v>
      </c>
      <c r="T15" s="666" t="s">
        <v>14</v>
      </c>
      <c r="U15" s="667">
        <f t="shared" si="1"/>
        <v>100</v>
      </c>
      <c r="V15" s="666" t="s">
        <v>14</v>
      </c>
      <c r="W15" s="667">
        <f t="shared" si="2"/>
        <v>100</v>
      </c>
      <c r="X15" s="1264"/>
      <c r="Y15" s="341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17"/>
      <c r="Q16" s="1262"/>
      <c r="R16" s="666"/>
      <c r="S16" s="667"/>
      <c r="T16" s="666"/>
      <c r="U16" s="667"/>
      <c r="V16" s="666"/>
      <c r="W16" s="667"/>
      <c r="X16" s="1264"/>
      <c r="Y16" s="3417"/>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17"/>
      <c r="Q17" s="1262" t="str">
        <f>B17</f>
        <v>商业繁华度</v>
      </c>
      <c r="R17" s="666" t="s">
        <v>14</v>
      </c>
      <c r="S17" s="667">
        <f>F17</f>
        <v>100</v>
      </c>
      <c r="T17" s="666" t="s">
        <v>14</v>
      </c>
      <c r="U17" s="667">
        <f>H17</f>
        <v>100</v>
      </c>
      <c r="V17" s="666" t="s">
        <v>14</v>
      </c>
      <c r="W17" s="667">
        <f>J17</f>
        <v>100</v>
      </c>
      <c r="X17" s="1264"/>
      <c r="Y17" s="341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17"/>
      <c r="Q18" s="1262"/>
      <c r="R18" s="666"/>
      <c r="S18" s="667"/>
      <c r="T18" s="666"/>
      <c r="U18" s="667"/>
      <c r="V18" s="666"/>
      <c r="W18" s="667"/>
      <c r="X18" s="1264"/>
      <c r="Y18" s="3417"/>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17"/>
      <c r="Q19" s="1262" t="str">
        <f>B19</f>
        <v>办公集聚程度</v>
      </c>
      <c r="R19" s="666" t="s">
        <v>14</v>
      </c>
      <c r="S19" s="667">
        <f>F19</f>
        <v>100</v>
      </c>
      <c r="T19" s="666" t="s">
        <v>14</v>
      </c>
      <c r="U19" s="667">
        <f>H19</f>
        <v>100</v>
      </c>
      <c r="V19" s="666" t="s">
        <v>14</v>
      </c>
      <c r="W19" s="667">
        <f>J19</f>
        <v>100</v>
      </c>
      <c r="X19" s="1264"/>
      <c r="Y19" s="341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17"/>
      <c r="Q20" s="1262"/>
      <c r="R20" s="666"/>
      <c r="S20" s="667"/>
      <c r="T20" s="666"/>
      <c r="U20" s="667"/>
      <c r="V20" s="666"/>
      <c r="W20" s="667"/>
      <c r="X20" s="1264"/>
      <c r="Y20" s="3417"/>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17"/>
      <c r="Q21" s="1262" t="str">
        <f>B21</f>
        <v>交通便捷度</v>
      </c>
      <c r="R21" s="666" t="s">
        <v>14</v>
      </c>
      <c r="S21" s="667">
        <f>F21</f>
        <v>100</v>
      </c>
      <c r="T21" s="666" t="s">
        <v>14</v>
      </c>
      <c r="U21" s="667">
        <f>H21</f>
        <v>100</v>
      </c>
      <c r="V21" s="666" t="s">
        <v>14</v>
      </c>
      <c r="W21" s="667">
        <f>J21</f>
        <v>100</v>
      </c>
      <c r="X21" s="1264"/>
      <c r="Y21" s="3417"/>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17"/>
      <c r="Q22" s="1262"/>
      <c r="R22" s="666"/>
      <c r="S22" s="667"/>
      <c r="T22" s="666"/>
      <c r="U22" s="667"/>
      <c r="V22" s="666"/>
      <c r="W22" s="667"/>
      <c r="X22" s="1264"/>
      <c r="Y22" s="341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17"/>
      <c r="Q23" s="1262" t="str">
        <f t="shared" ref="Q23:Q37" si="8">B23</f>
        <v>区域土地利用方向</v>
      </c>
      <c r="R23" s="666" t="s">
        <v>14</v>
      </c>
      <c r="S23" s="667">
        <f>F23</f>
        <v>100</v>
      </c>
      <c r="T23" s="666" t="s">
        <v>14</v>
      </c>
      <c r="U23" s="667">
        <f>H23</f>
        <v>100</v>
      </c>
      <c r="V23" s="666" t="s">
        <v>14</v>
      </c>
      <c r="W23" s="667">
        <f>J23</f>
        <v>100</v>
      </c>
      <c r="X23" s="1264"/>
      <c r="Y23" s="341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17"/>
      <c r="Q24" s="1262"/>
      <c r="R24" s="666"/>
      <c r="S24" s="667"/>
      <c r="T24" s="666"/>
      <c r="U24" s="667"/>
      <c r="V24" s="666"/>
      <c r="W24" s="667"/>
      <c r="X24" s="1264"/>
      <c r="Y24" s="3417"/>
      <c r="Z24" s="1263"/>
      <c r="AA24" s="1263"/>
      <c r="AB24" s="1263"/>
      <c r="AC24" s="1263"/>
    </row>
    <row r="25" spans="1:29" ht="27">
      <c r="A25" s="348"/>
      <c r="B25" s="585"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17"/>
      <c r="Q25" s="1262" t="str">
        <f t="shared" si="8"/>
        <v>自然及人文环境状况</v>
      </c>
      <c r="R25" s="666" t="s">
        <v>14</v>
      </c>
      <c r="S25" s="667">
        <f>F25</f>
        <v>100</v>
      </c>
      <c r="T25" s="666" t="s">
        <v>14</v>
      </c>
      <c r="U25" s="667">
        <f>H25</f>
        <v>100</v>
      </c>
      <c r="V25" s="666" t="s">
        <v>14</v>
      </c>
      <c r="W25" s="667">
        <f>J25</f>
        <v>100</v>
      </c>
      <c r="X25" s="1264"/>
      <c r="Y25" s="341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17"/>
      <c r="Q26" s="1262"/>
      <c r="R26" s="666"/>
      <c r="S26" s="667"/>
      <c r="T26" s="666"/>
      <c r="U26" s="667"/>
      <c r="V26" s="666"/>
      <c r="W26" s="667"/>
      <c r="X26" s="1264"/>
      <c r="Y26" s="3417"/>
      <c r="Z26" s="1263"/>
      <c r="AA26" s="1263">
        <v>1</v>
      </c>
      <c r="AB26" s="1263">
        <v>1</v>
      </c>
      <c r="AC26" s="1263">
        <v>1</v>
      </c>
    </row>
    <row r="27" spans="1:29" s="102" customFormat="1" ht="15">
      <c r="A27" s="443"/>
      <c r="B27" s="585"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17"/>
      <c r="Q27" s="530" t="str">
        <f t="shared" si="8"/>
        <v>公共配套设施</v>
      </c>
      <c r="R27" s="663" t="s">
        <v>14</v>
      </c>
      <c r="S27" s="664">
        <f>F27</f>
        <v>100</v>
      </c>
      <c r="T27" s="663" t="s">
        <v>14</v>
      </c>
      <c r="U27" s="664">
        <f>H27</f>
        <v>100</v>
      </c>
      <c r="V27" s="663" t="s">
        <v>14</v>
      </c>
      <c r="W27" s="664">
        <f>J27</f>
        <v>100</v>
      </c>
      <c r="X27" s="665"/>
      <c r="Y27" s="341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17"/>
      <c r="Q28" s="530"/>
      <c r="R28" s="663"/>
      <c r="S28" s="664"/>
      <c r="T28" s="663"/>
      <c r="U28" s="664"/>
      <c r="V28" s="663"/>
      <c r="W28" s="664"/>
      <c r="X28" s="665"/>
      <c r="Y28" s="3417"/>
      <c r="Z28" s="50"/>
      <c r="AA28" s="1263">
        <v>1</v>
      </c>
      <c r="AB28" s="1263">
        <v>1</v>
      </c>
      <c r="AC28" s="1263">
        <v>1</v>
      </c>
    </row>
    <row r="29" spans="1:29" s="102" customFormat="1" ht="15">
      <c r="A29" s="443"/>
      <c r="B29" s="585"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17"/>
      <c r="Q29" s="530" t="str">
        <f t="shared" ref="Q29" si="9">B29</f>
        <v>基础设施水平</v>
      </c>
      <c r="R29" s="663" t="s">
        <v>14</v>
      </c>
      <c r="S29" s="664">
        <f>F29</f>
        <v>100</v>
      </c>
      <c r="T29" s="663" t="s">
        <v>14</v>
      </c>
      <c r="U29" s="664">
        <f>H29</f>
        <v>100</v>
      </c>
      <c r="V29" s="663" t="s">
        <v>14</v>
      </c>
      <c r="W29" s="664">
        <f>J29</f>
        <v>100</v>
      </c>
      <c r="X29" s="665"/>
      <c r="Y29" s="341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17"/>
      <c r="Q30" s="530"/>
      <c r="R30" s="663"/>
      <c r="S30" s="664"/>
      <c r="T30" s="663"/>
      <c r="U30" s="664"/>
      <c r="V30" s="663"/>
      <c r="W30" s="664"/>
      <c r="X30" s="665"/>
      <c r="Y30" s="3417"/>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41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7"/>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17"/>
      <c r="Q32" s="1262" t="str">
        <f t="shared" si="8"/>
        <v>毗邻道路的类型与等级</v>
      </c>
      <c r="R32" s="666" t="s">
        <v>14</v>
      </c>
      <c r="S32" s="667">
        <f t="shared" si="10"/>
        <v>100</v>
      </c>
      <c r="T32" s="666" t="s">
        <v>14</v>
      </c>
      <c r="U32" s="667">
        <f t="shared" si="11"/>
        <v>100</v>
      </c>
      <c r="V32" s="666" t="s">
        <v>14</v>
      </c>
      <c r="W32" s="667">
        <f t="shared" si="12"/>
        <v>100</v>
      </c>
      <c r="X32" s="1264"/>
      <c r="Y32" s="341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17"/>
      <c r="Q33" s="1262"/>
      <c r="R33" s="666"/>
      <c r="S33" s="667"/>
      <c r="T33" s="666"/>
      <c r="U33" s="667"/>
      <c r="V33" s="666"/>
      <c r="W33" s="667"/>
      <c r="X33" s="1264"/>
      <c r="Y33" s="3417"/>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417"/>
      <c r="Q34" s="1262" t="str">
        <f t="shared" si="8"/>
        <v>土地级别</v>
      </c>
      <c r="R34" s="666" t="s">
        <v>14</v>
      </c>
      <c r="S34" s="667">
        <f t="shared" si="10"/>
        <v>100</v>
      </c>
      <c r="T34" s="666" t="s">
        <v>14</v>
      </c>
      <c r="U34" s="667">
        <f t="shared" si="11"/>
        <v>100</v>
      </c>
      <c r="V34" s="666" t="s">
        <v>14</v>
      </c>
      <c r="W34" s="667">
        <f t="shared" si="12"/>
        <v>100</v>
      </c>
      <c r="X34" s="1264"/>
      <c r="Y34" s="3417"/>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17"/>
      <c r="Q35" s="1262">
        <f t="shared" si="8"/>
        <v>111</v>
      </c>
      <c r="R35" s="666" t="s">
        <v>14</v>
      </c>
      <c r="S35" s="667">
        <f t="shared" si="10"/>
        <v>100</v>
      </c>
      <c r="T35" s="666" t="s">
        <v>14</v>
      </c>
      <c r="U35" s="667">
        <f t="shared" si="11"/>
        <v>100</v>
      </c>
      <c r="V35" s="666" t="s">
        <v>14</v>
      </c>
      <c r="W35" s="667">
        <f t="shared" si="12"/>
        <v>100</v>
      </c>
      <c r="X35" s="1264"/>
      <c r="Y35" s="3417"/>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64" t="s">
        <v>1696</v>
      </c>
      <c r="Q36" s="1262">
        <f t="shared" si="8"/>
        <v>111</v>
      </c>
      <c r="R36" s="666" t="s">
        <v>14</v>
      </c>
      <c r="S36" s="667">
        <f t="shared" si="10"/>
        <v>100</v>
      </c>
      <c r="T36" s="666" t="s">
        <v>14</v>
      </c>
      <c r="U36" s="667">
        <f t="shared" si="11"/>
        <v>100</v>
      </c>
      <c r="V36" s="666" t="s">
        <v>14</v>
      </c>
      <c r="W36" s="667">
        <f t="shared" si="12"/>
        <v>100</v>
      </c>
      <c r="X36" s="1264"/>
      <c r="Y36" s="3421"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21"/>
      <c r="Q37" s="1262">
        <f t="shared" si="8"/>
        <v>111</v>
      </c>
      <c r="R37" s="668" t="s">
        <v>14</v>
      </c>
      <c r="S37" s="669">
        <f t="shared" si="10"/>
        <v>100</v>
      </c>
      <c r="T37" s="668" t="s">
        <v>14</v>
      </c>
      <c r="U37" s="669">
        <f t="shared" si="11"/>
        <v>100</v>
      </c>
      <c r="V37" s="668" t="s">
        <v>14</v>
      </c>
      <c r="W37" s="669">
        <f t="shared" si="12"/>
        <v>100</v>
      </c>
      <c r="X37" s="670"/>
      <c r="Y37" s="3421"/>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21"/>
      <c r="Q38" s="1262" t="str">
        <f>B38</f>
        <v>宗地面积</v>
      </c>
      <c r="R38" s="666" t="s">
        <v>14</v>
      </c>
      <c r="S38" s="667" t="e">
        <f t="shared" si="10"/>
        <v>#N/A</v>
      </c>
      <c r="T38" s="666" t="s">
        <v>14</v>
      </c>
      <c r="U38" s="667" t="e">
        <f t="shared" si="11"/>
        <v>#N/A</v>
      </c>
      <c r="V38" s="666" t="s">
        <v>14</v>
      </c>
      <c r="W38" s="667" t="e">
        <f t="shared" si="12"/>
        <v>#N/A</v>
      </c>
      <c r="X38" s="1264"/>
      <c r="Y38" s="342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21"/>
      <c r="Q39" s="1262" t="str">
        <f t="shared" ref="Q39:Q45" si="14">B39</f>
        <v>宗地形状</v>
      </c>
      <c r="R39" s="666" t="s">
        <v>14</v>
      </c>
      <c r="S39" s="667">
        <f t="shared" si="10"/>
        <v>100</v>
      </c>
      <c r="T39" s="666" t="s">
        <v>14</v>
      </c>
      <c r="U39" s="667">
        <f t="shared" si="11"/>
        <v>100</v>
      </c>
      <c r="V39" s="666" t="s">
        <v>14</v>
      </c>
      <c r="W39" s="667">
        <f t="shared" si="12"/>
        <v>100</v>
      </c>
      <c r="X39" s="1264"/>
      <c r="Y39" s="342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21"/>
      <c r="Q40" s="1262" t="str">
        <f t="shared" si="14"/>
        <v>临街宽度及深度</v>
      </c>
      <c r="R40" s="666" t="s">
        <v>14</v>
      </c>
      <c r="S40" s="667">
        <f t="shared" si="10"/>
        <v>100</v>
      </c>
      <c r="T40" s="666" t="s">
        <v>14</v>
      </c>
      <c r="U40" s="667">
        <f t="shared" si="11"/>
        <v>100</v>
      </c>
      <c r="V40" s="666" t="s">
        <v>14</v>
      </c>
      <c r="W40" s="667">
        <f t="shared" si="12"/>
        <v>100</v>
      </c>
      <c r="X40" s="1264"/>
      <c r="Y40" s="342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1"/>
      <c r="Q41" s="1262" t="str">
        <f t="shared" si="14"/>
        <v>宗地开发程度</v>
      </c>
      <c r="R41" s="663" t="s">
        <v>14</v>
      </c>
      <c r="S41" s="664">
        <f t="shared" si="10"/>
        <v>100</v>
      </c>
      <c r="T41" s="663" t="s">
        <v>14</v>
      </c>
      <c r="U41" s="664">
        <f t="shared" si="11"/>
        <v>100</v>
      </c>
      <c r="V41" s="663" t="s">
        <v>14</v>
      </c>
      <c r="W41" s="664">
        <f t="shared" si="12"/>
        <v>100</v>
      </c>
      <c r="X41" s="665"/>
      <c r="Y41" s="342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21" t="s">
        <v>1696</v>
      </c>
      <c r="Q42" s="1262" t="str">
        <f t="shared" si="14"/>
        <v>工程地质条件</v>
      </c>
      <c r="R42" s="666" t="s">
        <v>14</v>
      </c>
      <c r="S42" s="667">
        <f t="shared" si="10"/>
        <v>100</v>
      </c>
      <c r="T42" s="666" t="s">
        <v>14</v>
      </c>
      <c r="U42" s="667">
        <f t="shared" si="11"/>
        <v>100</v>
      </c>
      <c r="V42" s="666" t="s">
        <v>14</v>
      </c>
      <c r="W42" s="667">
        <f t="shared" si="12"/>
        <v>100</v>
      </c>
      <c r="X42" s="1264"/>
      <c r="Y42" s="3421"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21"/>
      <c r="Q43" s="1262">
        <f t="shared" si="14"/>
        <v>111</v>
      </c>
      <c r="R43" s="666" t="s">
        <v>14</v>
      </c>
      <c r="S43" s="667">
        <f t="shared" si="10"/>
        <v>100</v>
      </c>
      <c r="T43" s="666" t="s">
        <v>14</v>
      </c>
      <c r="U43" s="667">
        <f t="shared" si="11"/>
        <v>100</v>
      </c>
      <c r="V43" s="666" t="s">
        <v>14</v>
      </c>
      <c r="W43" s="667">
        <f t="shared" si="12"/>
        <v>100</v>
      </c>
      <c r="X43" s="1264"/>
      <c r="Y43" s="3421"/>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21"/>
      <c r="Q44" s="1262">
        <f t="shared" si="14"/>
        <v>111</v>
      </c>
      <c r="R44" s="666" t="s">
        <v>14</v>
      </c>
      <c r="S44" s="667">
        <f t="shared" si="10"/>
        <v>100</v>
      </c>
      <c r="T44" s="666" t="s">
        <v>14</v>
      </c>
      <c r="U44" s="667">
        <f t="shared" si="11"/>
        <v>100</v>
      </c>
      <c r="V44" s="666" t="s">
        <v>14</v>
      </c>
      <c r="W44" s="667">
        <f t="shared" si="12"/>
        <v>100</v>
      </c>
      <c r="X44" s="1264"/>
      <c r="Y44" s="3421"/>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21"/>
      <c r="Q45" s="1262">
        <f t="shared" si="14"/>
        <v>111</v>
      </c>
      <c r="R45" s="668" t="s">
        <v>14</v>
      </c>
      <c r="S45" s="669">
        <f t="shared" si="10"/>
        <v>100</v>
      </c>
      <c r="T45" s="668" t="s">
        <v>14</v>
      </c>
      <c r="U45" s="669">
        <f t="shared" si="11"/>
        <v>100</v>
      </c>
      <c r="V45" s="668" t="s">
        <v>14</v>
      </c>
      <c r="W45" s="669">
        <f t="shared" si="12"/>
        <v>100</v>
      </c>
      <c r="X45" s="670"/>
      <c r="Y45" s="3421"/>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423" t="str">
        <f>A46</f>
        <v>成交单价</v>
      </c>
      <c r="Q46" s="3423"/>
      <c r="R46" s="3384">
        <f>E46</f>
        <v>0</v>
      </c>
      <c r="S46" s="3384"/>
      <c r="T46" s="3384">
        <f>G46</f>
        <v>0</v>
      </c>
      <c r="U46" s="3384"/>
      <c r="V46" s="3384">
        <f>I46</f>
        <v>0</v>
      </c>
      <c r="W46" s="3384"/>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423" t="str">
        <f>A47</f>
        <v>比较价值（元/平方米）</v>
      </c>
      <c r="Q47" s="3423"/>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24" t="str">
        <f>A48</f>
        <v>估价对象XX用房的比较价值（楼面单价，元/平方米）</v>
      </c>
      <c r="Q48" s="3425"/>
      <c r="R48" s="3467" t="e">
        <f>ROUND(IF(D47="简单平均",AVERAGE(R47:W47),R47*F47+T47*H47+V47*J47),0)</f>
        <v>#DIV/0!</v>
      </c>
      <c r="S48" s="3467"/>
      <c r="T48" s="3467"/>
      <c r="U48" s="3467"/>
      <c r="V48" s="3467"/>
      <c r="W48" s="346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01" t="s">
        <v>1887</v>
      </c>
      <c r="H55" s="3468"/>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596.42000000000007</v>
      </c>
      <c r="F56" s="832" t="e">
        <f t="shared" ref="F56:F64" si="15">ROUND(B56*E56/10000,0)</f>
        <v>#DIV/0!</v>
      </c>
      <c r="G56" s="3400"/>
      <c r="H56" s="3423"/>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0.7</v>
      </c>
      <c r="D57" s="890">
        <v>0.25</v>
      </c>
      <c r="E57" s="613"/>
      <c r="F57" s="832" t="e">
        <f t="shared" si="15"/>
        <v>#DIV/0!</v>
      </c>
      <c r="G57" s="2750" t="s">
        <v>1892</v>
      </c>
      <c r="H57" s="833" t="str">
        <f>项目基本情况!B37</f>
        <v>二级</v>
      </c>
      <c r="I57" s="837">
        <f>SUMIF(修正!A57:A68,H57,修正!B57:B68)</f>
        <v>0.7</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0.4</v>
      </c>
      <c r="D58" s="890">
        <v>0.25</v>
      </c>
      <c r="E58" s="613"/>
      <c r="F58" s="832" t="e">
        <f t="shared" si="15"/>
        <v>#DIV/0!</v>
      </c>
      <c r="G58" s="2751"/>
      <c r="H58" s="833" t="str">
        <f>项目基本情况!B37</f>
        <v>二级</v>
      </c>
      <c r="I58" s="837">
        <f>SUMIF(修正!A57:A68,H58,修正!C57:C68)</f>
        <v>0.4</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0.3</v>
      </c>
      <c r="D59" s="890">
        <v>0.25</v>
      </c>
      <c r="E59" s="613"/>
      <c r="F59" s="832" t="e">
        <f t="shared" si="15"/>
        <v>#DIV/0!</v>
      </c>
      <c r="G59" s="2751"/>
      <c r="H59" s="833" t="str">
        <f>项目基本情况!B37</f>
        <v>二级</v>
      </c>
      <c r="I59" s="837">
        <f>SUMIF(修正!A57:A68,H59,修正!D57:D68)</f>
        <v>0.3</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0.2</v>
      </c>
      <c r="D63" s="890">
        <v>0.25</v>
      </c>
      <c r="E63" s="209">
        <f>'数据-汇总表'!E14</f>
        <v>0</v>
      </c>
      <c r="F63" s="832" t="e">
        <f t="shared" si="15"/>
        <v>#DIV/0!</v>
      </c>
      <c r="G63" s="1834" t="s">
        <v>1892</v>
      </c>
      <c r="H63" s="833" t="str">
        <f>项目基本情况!B37</f>
        <v>二级</v>
      </c>
      <c r="I63" s="837">
        <f>SUMIF(修正!A57:A68,H63,修正!G57:G68)</f>
        <v>0.2</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596.42000000000007</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7" t="s">
        <v>1771</v>
      </c>
      <c r="S4" s="3388"/>
      <c r="T4" s="3387" t="s">
        <v>1772</v>
      </c>
      <c r="U4" s="3388"/>
      <c r="V4" s="3384" t="s">
        <v>1773</v>
      </c>
      <c r="W4" s="3384"/>
      <c r="X4" s="1264"/>
      <c r="Y4" s="3387" t="s">
        <v>1775</v>
      </c>
      <c r="Z4" s="3388"/>
      <c r="AA4" s="3381" t="s">
        <v>1771</v>
      </c>
      <c r="AB4" s="3382" t="s">
        <v>1772</v>
      </c>
      <c r="AC4" s="3381" t="s">
        <v>1773</v>
      </c>
    </row>
    <row r="5" spans="1:29" ht="15">
      <c r="A5" s="348"/>
      <c r="B5" s="349"/>
      <c r="C5" s="3393" t="s">
        <v>1673</v>
      </c>
      <c r="D5" s="3394"/>
      <c r="E5" s="3448" t="s">
        <v>1674</v>
      </c>
      <c r="F5" s="3392"/>
      <c r="G5" s="3393" t="s">
        <v>1675</v>
      </c>
      <c r="H5" s="3394"/>
      <c r="I5" s="3393" t="s">
        <v>1676</v>
      </c>
      <c r="J5" s="3394"/>
      <c r="K5" s="537"/>
      <c r="L5" s="2486"/>
      <c r="M5" s="2487"/>
      <c r="N5" s="2487"/>
      <c r="O5" s="2487"/>
      <c r="P5" s="3407"/>
      <c r="Q5" s="3408"/>
      <c r="R5" s="3389"/>
      <c r="S5" s="3390"/>
      <c r="T5" s="3389"/>
      <c r="U5" s="3390"/>
      <c r="V5" s="3384"/>
      <c r="W5" s="3384"/>
      <c r="X5" s="1264"/>
      <c r="Y5" s="3389"/>
      <c r="Z5" s="3390"/>
      <c r="AA5" s="3382"/>
      <c r="AB5" s="3382"/>
      <c r="AC5" s="3382"/>
    </row>
    <row r="6" spans="1:29" ht="15.75" thickBot="1">
      <c r="A6" s="350"/>
      <c r="B6" s="351"/>
      <c r="C6" s="3469" t="s">
        <v>1919</v>
      </c>
      <c r="D6" s="3470"/>
      <c r="E6" s="3471" t="s">
        <v>1919</v>
      </c>
      <c r="F6" s="3472"/>
      <c r="G6" s="3469" t="s">
        <v>1919</v>
      </c>
      <c r="H6" s="3470"/>
      <c r="I6" s="3469" t="s">
        <v>1919</v>
      </c>
      <c r="J6" s="3470"/>
      <c r="K6" s="537" t="s">
        <v>1678</v>
      </c>
      <c r="L6" s="2486"/>
      <c r="M6" s="2487"/>
      <c r="N6" s="2487"/>
      <c r="O6" s="2487"/>
      <c r="P6" s="3409"/>
      <c r="Q6" s="3410"/>
      <c r="R6" s="3389"/>
      <c r="S6" s="3390"/>
      <c r="T6" s="3411"/>
      <c r="U6" s="3412"/>
      <c r="V6" s="3384"/>
      <c r="W6" s="3384"/>
      <c r="X6" s="1264"/>
      <c r="Y6" s="3411"/>
      <c r="Z6" s="3412"/>
      <c r="AA6" s="3383"/>
      <c r="AB6" s="3383"/>
      <c r="AC6" s="3383"/>
    </row>
    <row r="7" spans="1:29" s="102" customFormat="1" ht="15.75" thickBot="1">
      <c r="A7" s="352" t="s">
        <v>1679</v>
      </c>
      <c r="B7" s="353"/>
      <c r="C7" s="354">
        <f>'数据-取费表'!B2</f>
        <v>45768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5" t="s">
        <v>1680</v>
      </c>
      <c r="Q7" s="3413"/>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5" t="s">
        <v>1683</v>
      </c>
      <c r="Q8" s="3386"/>
      <c r="R8" s="663" t="s">
        <v>14</v>
      </c>
      <c r="S8" s="664">
        <f t="shared" si="0"/>
        <v>0</v>
      </c>
      <c r="T8" s="663" t="s">
        <v>14</v>
      </c>
      <c r="U8" s="664">
        <f t="shared" si="1"/>
        <v>0</v>
      </c>
      <c r="V8" s="663" t="s">
        <v>14</v>
      </c>
      <c r="W8" s="664">
        <f t="shared" si="2"/>
        <v>0</v>
      </c>
      <c r="X8" s="665"/>
      <c r="Y8" s="3385" t="s">
        <v>1683</v>
      </c>
      <c r="Z8" s="338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3"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423"/>
      <c r="Q10" s="530" t="str">
        <f t="shared" si="6"/>
        <v>土地使用年限（年）</v>
      </c>
      <c r="R10" s="663" t="s">
        <v>14</v>
      </c>
      <c r="S10" s="664">
        <f t="shared" si="0"/>
        <v>149</v>
      </c>
      <c r="T10" s="663" t="s">
        <v>14</v>
      </c>
      <c r="U10" s="664">
        <f t="shared" si="1"/>
        <v>149</v>
      </c>
      <c r="V10" s="663" t="s">
        <v>14</v>
      </c>
      <c r="W10" s="664">
        <f t="shared" si="2"/>
        <v>149</v>
      </c>
      <c r="X10" s="665"/>
      <c r="Y10" s="3330"/>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23"/>
      <c r="Q11" s="530" t="str">
        <f t="shared" si="6"/>
        <v>容积率</v>
      </c>
      <c r="R11" s="663" t="s">
        <v>14</v>
      </c>
      <c r="S11" s="664" t="e">
        <f t="shared" si="0"/>
        <v>#N/A</v>
      </c>
      <c r="T11" s="663" t="s">
        <v>14</v>
      </c>
      <c r="U11" s="664" t="e">
        <f t="shared" si="1"/>
        <v>#N/A</v>
      </c>
      <c r="V11" s="663" t="s">
        <v>14</v>
      </c>
      <c r="W11" s="664" t="e">
        <f t="shared" si="2"/>
        <v>#N/A</v>
      </c>
      <c r="X11" s="665"/>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23"/>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23"/>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23"/>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15">
      <c r="A15" s="379" t="s">
        <v>1690</v>
      </c>
      <c r="B15" s="553"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16" t="s">
        <v>1691</v>
      </c>
      <c r="Q15" s="1262" t="str">
        <f t="shared" si="6"/>
        <v>产业集聚程度</v>
      </c>
      <c r="R15" s="666" t="s">
        <v>14</v>
      </c>
      <c r="S15" s="667">
        <f t="shared" si="0"/>
        <v>100</v>
      </c>
      <c r="T15" s="666" t="s">
        <v>14</v>
      </c>
      <c r="U15" s="667">
        <f t="shared" si="1"/>
        <v>100</v>
      </c>
      <c r="V15" s="666" t="s">
        <v>14</v>
      </c>
      <c r="W15" s="667">
        <f t="shared" si="2"/>
        <v>100</v>
      </c>
      <c r="X15" s="1264"/>
      <c r="Y15" s="3416"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417"/>
      <c r="Q16" s="1262"/>
      <c r="R16" s="666"/>
      <c r="S16" s="667"/>
      <c r="T16" s="666"/>
      <c r="U16" s="667"/>
      <c r="V16" s="666"/>
      <c r="W16" s="667"/>
      <c r="X16" s="1264"/>
      <c r="Y16" s="3417"/>
      <c r="Z16" s="1263"/>
      <c r="AA16" s="1263">
        <v>1</v>
      </c>
      <c r="AB16" s="1263">
        <v>1</v>
      </c>
      <c r="AC16" s="1263">
        <v>1</v>
      </c>
    </row>
    <row r="17" spans="1:29" ht="15">
      <c r="A17" s="367"/>
      <c r="B17" s="555"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17"/>
      <c r="Q17" s="1262" t="str">
        <f>B17</f>
        <v>交通便捷度</v>
      </c>
      <c r="R17" s="666" t="s">
        <v>14</v>
      </c>
      <c r="S17" s="667">
        <f>F17</f>
        <v>100</v>
      </c>
      <c r="T17" s="666" t="s">
        <v>14</v>
      </c>
      <c r="U17" s="667">
        <f>H17</f>
        <v>100</v>
      </c>
      <c r="V17" s="666" t="s">
        <v>14</v>
      </c>
      <c r="W17" s="667">
        <f>J17</f>
        <v>100</v>
      </c>
      <c r="X17" s="1264"/>
      <c r="Y17" s="341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17"/>
      <c r="Q18" s="1262"/>
      <c r="R18" s="666"/>
      <c r="S18" s="667"/>
      <c r="T18" s="666"/>
      <c r="U18" s="667"/>
      <c r="V18" s="666"/>
      <c r="W18" s="667"/>
      <c r="X18" s="1264"/>
      <c r="Y18" s="3417"/>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17"/>
      <c r="Q19" s="1262" t="str">
        <f t="shared" ref="Q19:Q33" si="8">B19</f>
        <v>区域土地利用方向</v>
      </c>
      <c r="R19" s="666" t="s">
        <v>14</v>
      </c>
      <c r="S19" s="667">
        <f>F19</f>
        <v>100</v>
      </c>
      <c r="T19" s="666" t="s">
        <v>14</v>
      </c>
      <c r="U19" s="667">
        <f>H19</f>
        <v>100</v>
      </c>
      <c r="V19" s="666" t="s">
        <v>14</v>
      </c>
      <c r="W19" s="667">
        <f>J19</f>
        <v>100</v>
      </c>
      <c r="X19" s="1264"/>
      <c r="Y19" s="341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17"/>
      <c r="Q20" s="1262"/>
      <c r="R20" s="666"/>
      <c r="S20" s="667"/>
      <c r="T20" s="666"/>
      <c r="U20" s="667"/>
      <c r="V20" s="666"/>
      <c r="W20" s="667"/>
      <c r="X20" s="1264"/>
      <c r="Y20" s="3417"/>
      <c r="Z20" s="1263"/>
      <c r="AA20" s="1263"/>
      <c r="AB20" s="1263"/>
      <c r="AC20" s="1263"/>
    </row>
    <row r="21" spans="1:29" ht="15">
      <c r="A21" s="348"/>
      <c r="B21" s="555"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17"/>
      <c r="Q21" s="1262" t="str">
        <f t="shared" si="8"/>
        <v>环境状况</v>
      </c>
      <c r="R21" s="666" t="s">
        <v>14</v>
      </c>
      <c r="S21" s="667">
        <f>F21</f>
        <v>100</v>
      </c>
      <c r="T21" s="666" t="s">
        <v>14</v>
      </c>
      <c r="U21" s="667">
        <f>H21</f>
        <v>100</v>
      </c>
      <c r="V21" s="666" t="s">
        <v>14</v>
      </c>
      <c r="W21" s="667">
        <f>J21</f>
        <v>100</v>
      </c>
      <c r="X21" s="1264"/>
      <c r="Y21" s="341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17"/>
      <c r="Q22" s="1262"/>
      <c r="R22" s="666"/>
      <c r="S22" s="667"/>
      <c r="T22" s="666"/>
      <c r="U22" s="667"/>
      <c r="V22" s="666"/>
      <c r="W22" s="667"/>
      <c r="X22" s="1264"/>
      <c r="Y22" s="3417"/>
      <c r="Z22" s="1263"/>
      <c r="AA22" s="1263">
        <v>1</v>
      </c>
      <c r="AB22" s="1263">
        <v>1</v>
      </c>
      <c r="AC22" s="1263">
        <v>1</v>
      </c>
    </row>
    <row r="23" spans="1:29" s="102" customFormat="1" ht="15">
      <c r="A23" s="443"/>
      <c r="B23" s="556"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17"/>
      <c r="Q23" s="530" t="str">
        <f t="shared" si="8"/>
        <v>公共配套设施</v>
      </c>
      <c r="R23" s="663" t="s">
        <v>14</v>
      </c>
      <c r="S23" s="664">
        <f>F23</f>
        <v>100</v>
      </c>
      <c r="T23" s="663" t="s">
        <v>14</v>
      </c>
      <c r="U23" s="664">
        <f>H23</f>
        <v>100</v>
      </c>
      <c r="V23" s="663" t="s">
        <v>14</v>
      </c>
      <c r="W23" s="664">
        <f>J23</f>
        <v>100</v>
      </c>
      <c r="X23" s="665"/>
      <c r="Y23" s="341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17"/>
      <c r="Q24" s="530"/>
      <c r="R24" s="663"/>
      <c r="S24" s="664"/>
      <c r="T24" s="663"/>
      <c r="U24" s="664"/>
      <c r="V24" s="663"/>
      <c r="W24" s="664"/>
      <c r="X24" s="665"/>
      <c r="Y24" s="3417"/>
      <c r="Z24" s="50"/>
      <c r="AA24" s="50">
        <v>1</v>
      </c>
      <c r="AB24" s="50">
        <v>1</v>
      </c>
      <c r="AC24" s="50">
        <v>1</v>
      </c>
    </row>
    <row r="25" spans="1:29" s="102" customFormat="1" ht="15">
      <c r="A25" s="443"/>
      <c r="B25" s="556"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17"/>
      <c r="Q25" s="530" t="str">
        <f t="shared" ref="Q25" si="9">B25</f>
        <v>基础设施水平</v>
      </c>
      <c r="R25" s="663" t="s">
        <v>14</v>
      </c>
      <c r="S25" s="664">
        <f>F25</f>
        <v>100</v>
      </c>
      <c r="T25" s="663" t="s">
        <v>14</v>
      </c>
      <c r="U25" s="664">
        <f>H25</f>
        <v>100</v>
      </c>
      <c r="V25" s="663" t="s">
        <v>14</v>
      </c>
      <c r="W25" s="664">
        <f>J25</f>
        <v>100</v>
      </c>
      <c r="X25" s="665"/>
      <c r="Y25" s="341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17"/>
      <c r="Q26" s="530"/>
      <c r="R26" s="663"/>
      <c r="S26" s="664"/>
      <c r="T26" s="663"/>
      <c r="U26" s="664"/>
      <c r="V26" s="663"/>
      <c r="W26" s="664"/>
      <c r="X26" s="665"/>
      <c r="Y26" s="3417"/>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41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7"/>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17"/>
      <c r="Q28" s="1262" t="str">
        <f t="shared" si="8"/>
        <v>毗邻道路的类型与等级</v>
      </c>
      <c r="R28" s="666" t="s">
        <v>14</v>
      </c>
      <c r="S28" s="667">
        <f t="shared" si="10"/>
        <v>100</v>
      </c>
      <c r="T28" s="666" t="s">
        <v>14</v>
      </c>
      <c r="U28" s="667">
        <f t="shared" si="11"/>
        <v>100</v>
      </c>
      <c r="V28" s="666" t="s">
        <v>14</v>
      </c>
      <c r="W28" s="667">
        <f t="shared" si="12"/>
        <v>100</v>
      </c>
      <c r="X28" s="1264"/>
      <c r="Y28" s="341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17"/>
      <c r="Q29" s="1262"/>
      <c r="R29" s="666"/>
      <c r="S29" s="667"/>
      <c r="T29" s="666"/>
      <c r="U29" s="667"/>
      <c r="V29" s="666"/>
      <c r="W29" s="667"/>
      <c r="X29" s="1264"/>
      <c r="Y29" s="3417"/>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417"/>
      <c r="Q30" s="1262" t="str">
        <f t="shared" si="8"/>
        <v>土地级别</v>
      </c>
      <c r="R30" s="666" t="s">
        <v>14</v>
      </c>
      <c r="S30" s="667">
        <f t="shared" si="10"/>
        <v>100</v>
      </c>
      <c r="T30" s="666" t="s">
        <v>14</v>
      </c>
      <c r="U30" s="667">
        <f t="shared" si="11"/>
        <v>100</v>
      </c>
      <c r="V30" s="666" t="s">
        <v>14</v>
      </c>
      <c r="W30" s="667">
        <f t="shared" si="12"/>
        <v>100</v>
      </c>
      <c r="X30" s="1264"/>
      <c r="Y30" s="3417"/>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7"/>
      <c r="Q31" s="1262">
        <f t="shared" si="8"/>
        <v>111</v>
      </c>
      <c r="R31" s="666" t="s">
        <v>14</v>
      </c>
      <c r="S31" s="667">
        <f t="shared" si="10"/>
        <v>100</v>
      </c>
      <c r="T31" s="666" t="s">
        <v>14</v>
      </c>
      <c r="U31" s="667">
        <f t="shared" si="11"/>
        <v>100</v>
      </c>
      <c r="V31" s="666" t="s">
        <v>14</v>
      </c>
      <c r="W31" s="667">
        <f t="shared" si="12"/>
        <v>100</v>
      </c>
      <c r="X31" s="1264"/>
      <c r="Y31" s="3417"/>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64" t="s">
        <v>1696</v>
      </c>
      <c r="Q32" s="1262">
        <f t="shared" si="8"/>
        <v>111</v>
      </c>
      <c r="R32" s="666" t="s">
        <v>14</v>
      </c>
      <c r="S32" s="667">
        <f t="shared" si="10"/>
        <v>100</v>
      </c>
      <c r="T32" s="666" t="s">
        <v>14</v>
      </c>
      <c r="U32" s="667">
        <f t="shared" si="11"/>
        <v>100</v>
      </c>
      <c r="V32" s="666" t="s">
        <v>14</v>
      </c>
      <c r="W32" s="667">
        <f t="shared" si="12"/>
        <v>100</v>
      </c>
      <c r="X32" s="1264"/>
      <c r="Y32" s="3421"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21"/>
      <c r="Q33" s="1262">
        <f t="shared" si="8"/>
        <v>111</v>
      </c>
      <c r="R33" s="668" t="s">
        <v>14</v>
      </c>
      <c r="S33" s="669">
        <f t="shared" si="10"/>
        <v>100</v>
      </c>
      <c r="T33" s="668" t="s">
        <v>14</v>
      </c>
      <c r="U33" s="669">
        <f t="shared" si="11"/>
        <v>100</v>
      </c>
      <c r="V33" s="668" t="s">
        <v>14</v>
      </c>
      <c r="W33" s="669">
        <f t="shared" si="12"/>
        <v>100</v>
      </c>
      <c r="X33" s="670"/>
      <c r="Y33" s="3421"/>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21"/>
      <c r="Q34" s="1262" t="str">
        <f>B34</f>
        <v>宗地面积</v>
      </c>
      <c r="R34" s="666" t="s">
        <v>14</v>
      </c>
      <c r="S34" s="667" t="e">
        <f t="shared" si="10"/>
        <v>#N/A</v>
      </c>
      <c r="T34" s="666" t="s">
        <v>14</v>
      </c>
      <c r="U34" s="667" t="e">
        <f t="shared" si="11"/>
        <v>#N/A</v>
      </c>
      <c r="V34" s="666" t="s">
        <v>14</v>
      </c>
      <c r="W34" s="667" t="e">
        <f t="shared" si="12"/>
        <v>#N/A</v>
      </c>
      <c r="X34" s="1264"/>
      <c r="Y34" s="342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21"/>
      <c r="Q35" s="1262" t="str">
        <f t="shared" ref="Q35:Q40" si="14">B35</f>
        <v>宗地形状</v>
      </c>
      <c r="R35" s="666" t="s">
        <v>14</v>
      </c>
      <c r="S35" s="667">
        <f t="shared" si="10"/>
        <v>100</v>
      </c>
      <c r="T35" s="666" t="s">
        <v>14</v>
      </c>
      <c r="U35" s="667">
        <f t="shared" si="11"/>
        <v>100</v>
      </c>
      <c r="V35" s="666" t="s">
        <v>14</v>
      </c>
      <c r="W35" s="667">
        <f t="shared" si="12"/>
        <v>100</v>
      </c>
      <c r="X35" s="1264"/>
      <c r="Y35" s="342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1"/>
      <c r="Q36" s="1262" t="str">
        <f t="shared" si="14"/>
        <v>宗地开发程度</v>
      </c>
      <c r="R36" s="663" t="s">
        <v>14</v>
      </c>
      <c r="S36" s="664">
        <f t="shared" si="10"/>
        <v>100</v>
      </c>
      <c r="T36" s="663" t="s">
        <v>14</v>
      </c>
      <c r="U36" s="664">
        <f t="shared" si="11"/>
        <v>100</v>
      </c>
      <c r="V36" s="663" t="s">
        <v>14</v>
      </c>
      <c r="W36" s="664">
        <f t="shared" si="12"/>
        <v>100</v>
      </c>
      <c r="X36" s="665"/>
      <c r="Y36" s="342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21" t="s">
        <v>1696</v>
      </c>
      <c r="Q37" s="1262" t="str">
        <f t="shared" si="14"/>
        <v>工程地质条件</v>
      </c>
      <c r="R37" s="666" t="s">
        <v>14</v>
      </c>
      <c r="S37" s="667">
        <f t="shared" si="10"/>
        <v>100</v>
      </c>
      <c r="T37" s="666" t="s">
        <v>14</v>
      </c>
      <c r="U37" s="667">
        <f t="shared" si="11"/>
        <v>100</v>
      </c>
      <c r="V37" s="666" t="s">
        <v>14</v>
      </c>
      <c r="W37" s="667">
        <f t="shared" si="12"/>
        <v>100</v>
      </c>
      <c r="X37" s="1264"/>
      <c r="Y37" s="3421"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21"/>
      <c r="Q38" s="1262">
        <f t="shared" si="14"/>
        <v>111</v>
      </c>
      <c r="R38" s="666" t="s">
        <v>14</v>
      </c>
      <c r="S38" s="667">
        <f t="shared" si="10"/>
        <v>100</v>
      </c>
      <c r="T38" s="666" t="s">
        <v>14</v>
      </c>
      <c r="U38" s="667">
        <f t="shared" si="11"/>
        <v>100</v>
      </c>
      <c r="V38" s="666" t="s">
        <v>14</v>
      </c>
      <c r="W38" s="667">
        <f t="shared" si="12"/>
        <v>100</v>
      </c>
      <c r="X38" s="1264"/>
      <c r="Y38" s="3421"/>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21"/>
      <c r="Q39" s="1262">
        <f t="shared" si="14"/>
        <v>111</v>
      </c>
      <c r="R39" s="666" t="s">
        <v>14</v>
      </c>
      <c r="S39" s="667">
        <f t="shared" si="10"/>
        <v>100</v>
      </c>
      <c r="T39" s="666" t="s">
        <v>14</v>
      </c>
      <c r="U39" s="667">
        <f t="shared" si="11"/>
        <v>100</v>
      </c>
      <c r="V39" s="666" t="s">
        <v>14</v>
      </c>
      <c r="W39" s="667">
        <f t="shared" si="12"/>
        <v>100</v>
      </c>
      <c r="X39" s="1264"/>
      <c r="Y39" s="3421"/>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21"/>
      <c r="Q40" s="1262">
        <f t="shared" si="14"/>
        <v>111</v>
      </c>
      <c r="R40" s="668" t="s">
        <v>14</v>
      </c>
      <c r="S40" s="669">
        <f t="shared" si="10"/>
        <v>100</v>
      </c>
      <c r="T40" s="668" t="s">
        <v>14</v>
      </c>
      <c r="U40" s="669">
        <f t="shared" si="11"/>
        <v>100</v>
      </c>
      <c r="V40" s="668" t="s">
        <v>14</v>
      </c>
      <c r="W40" s="669">
        <f t="shared" si="12"/>
        <v>100</v>
      </c>
      <c r="X40" s="670"/>
      <c r="Y40" s="3421"/>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423" t="str">
        <f>A41</f>
        <v>成交单价</v>
      </c>
      <c r="Q41" s="3423"/>
      <c r="R41" s="3384">
        <f>E41</f>
        <v>0</v>
      </c>
      <c r="S41" s="3384"/>
      <c r="T41" s="3384">
        <f>G41</f>
        <v>0</v>
      </c>
      <c r="U41" s="3384"/>
      <c r="V41" s="3384">
        <f>I41</f>
        <v>0</v>
      </c>
      <c r="W41" s="3384"/>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423" t="str">
        <f>A42</f>
        <v>比较价值（元/平方米）</v>
      </c>
      <c r="Q42" s="3423"/>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24" t="str">
        <f>A43</f>
        <v>估价对象XX用房的比较价值（楼面单价，元/平方米）</v>
      </c>
      <c r="Q43" s="3425"/>
      <c r="R43" s="3467" t="e">
        <f>ROUND(IF(D42="简单平均",AVERAGE(R42:W42),R42*F42+T42*H42+V42*J42),0)</f>
        <v>#DIV/0!</v>
      </c>
      <c r="S43" s="3467"/>
      <c r="T43" s="3467"/>
      <c r="U43" s="3467"/>
      <c r="V43" s="3467"/>
      <c r="W43" s="346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01" t="s">
        <v>1887</v>
      </c>
      <c r="H50" s="3468"/>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596.42000000000007</v>
      </c>
      <c r="F51" s="610" t="e">
        <f t="shared" ref="F51:F60" si="15">ROUND(B51*E51/10000,0)</f>
        <v>#DIV/0!</v>
      </c>
      <c r="G51" s="3400"/>
      <c r="H51" s="3423"/>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0.7</v>
      </c>
      <c r="D52" s="890">
        <v>0.25</v>
      </c>
      <c r="E52" s="613"/>
      <c r="F52" s="610" t="e">
        <f t="shared" si="15"/>
        <v>#DIV/0!</v>
      </c>
      <c r="G52" s="2750" t="s">
        <v>1892</v>
      </c>
      <c r="H52" s="833" t="str">
        <f>项目基本情况!B37</f>
        <v>二级</v>
      </c>
      <c r="I52" s="726">
        <f>SUMIF(修正!A57:A68,H52,修正!B57:B68)</f>
        <v>0.7</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0.4</v>
      </c>
      <c r="D53" s="890">
        <v>0.25</v>
      </c>
      <c r="E53" s="613"/>
      <c r="F53" s="610" t="e">
        <f t="shared" si="15"/>
        <v>#DIV/0!</v>
      </c>
      <c r="G53" s="2751"/>
      <c r="H53" s="833" t="str">
        <f>项目基本情况!B37</f>
        <v>二级</v>
      </c>
      <c r="I53" s="726">
        <f>SUMIF(修正!A57:A68,H53,修正!C57:C68)</f>
        <v>0.4</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0.3</v>
      </c>
      <c r="D54" s="890">
        <v>0.25</v>
      </c>
      <c r="E54" s="613"/>
      <c r="F54" s="610" t="e">
        <f t="shared" si="15"/>
        <v>#DIV/0!</v>
      </c>
      <c r="G54" s="2751"/>
      <c r="H54" s="833" t="str">
        <f>项目基本情况!B37</f>
        <v>二级</v>
      </c>
      <c r="I54" s="726">
        <f>SUMIF(修正!A57:A68,H54,修正!D57:D68)</f>
        <v>0.3</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0.2</v>
      </c>
      <c r="D59" s="890">
        <v>0.25</v>
      </c>
      <c r="E59" s="209">
        <f>'数据-汇总表'!E14</f>
        <v>0</v>
      </c>
      <c r="F59" s="610" t="e">
        <f t="shared" si="15"/>
        <v>#DIV/0!</v>
      </c>
      <c r="G59" s="1834" t="s">
        <v>1892</v>
      </c>
      <c r="H59" s="833" t="str">
        <f>项目基本情况!B37</f>
        <v>二级</v>
      </c>
      <c r="I59" s="726">
        <f>SUMIF(修正!A57:A68,H59,修正!G57:G68)</f>
        <v>0.2</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76" t="s">
        <v>2084</v>
      </c>
      <c r="D1" s="3477"/>
      <c r="E1" s="3477"/>
      <c r="F1" s="3477"/>
      <c r="G1" s="3477"/>
      <c r="H1" s="3477"/>
      <c r="I1" s="3477"/>
      <c r="J1" s="3477"/>
      <c r="K1" s="3477"/>
      <c r="L1" s="3477"/>
      <c r="M1" s="3477"/>
      <c r="N1" s="3477"/>
      <c r="O1" s="3477"/>
      <c r="P1" s="3477"/>
      <c r="Q1" s="3477"/>
      <c r="R1" s="3477"/>
      <c r="S1" s="347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1308</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1308</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8ED6B-61B9-46F7-9703-6CB3C811BC6B}">
  <dimension ref="A1"/>
  <sheetViews>
    <sheetView topLeftCell="A22" workbookViewId="0">
      <selection activeCell="G65" sqref="A63:G65"/>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K21" sqref="K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2276.0311000000002</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38162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13607714.970000001</v>
      </c>
      <c r="D5" s="203" t="s">
        <v>1469</v>
      </c>
      <c r="E5" s="204" t="s">
        <v>1470</v>
      </c>
      <c r="F5" s="204" t="s">
        <v>1471</v>
      </c>
      <c r="G5" s="205"/>
    </row>
    <row r="6" spans="1:8" s="206" customFormat="1" ht="13.5" customHeight="1">
      <c r="A6" s="731" t="s">
        <v>1472</v>
      </c>
      <c r="B6" s="207" t="s">
        <v>1473</v>
      </c>
      <c r="C6" s="208">
        <f>基准地价修正!T2*基准地价修正!U2+基准地价修正!T3*基准地价修正!U3</f>
        <v>13089209.970000001</v>
      </c>
      <c r="D6" s="209"/>
      <c r="E6" s="210"/>
      <c r="F6" s="210"/>
      <c r="G6" s="211"/>
    </row>
    <row r="7" spans="1:8" s="206" customFormat="1" ht="13.5" customHeight="1">
      <c r="A7" s="731" t="s">
        <v>1474</v>
      </c>
      <c r="B7" s="207" t="s">
        <v>1475</v>
      </c>
      <c r="C7" s="212">
        <f>ROUND(C6*F7,0)</f>
        <v>399221</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119284</v>
      </c>
      <c r="D8" s="214"/>
      <c r="E8" s="212"/>
      <c r="F8" s="213"/>
      <c r="G8" s="1713" t="s">
        <v>3415</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119284</v>
      </c>
      <c r="D10" s="794">
        <f ca="1">IF(B1="",'数据-汇总表'!E6,IF(INDIRECT("'数据-取费表'!c"&amp;$G$1)="住宅",INDIRECT("'数据-取费表'!s"&amp;$G$1),INDIRECT("'数据-取费表'!k"&amp;$G$1)+INDIRECT("'数据-取费表'!s"&amp;$G$1)))</f>
        <v>596.42000000000007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596.42000000000007</v>
      </c>
      <c r="E19" s="203">
        <f>'数据-取费表'!B31</f>
        <v>200</v>
      </c>
      <c r="F19" s="223"/>
      <c r="G19" s="1713" t="s">
        <v>3416</v>
      </c>
    </row>
    <row r="20" spans="1:7" s="206" customFormat="1" ht="13.5" customHeight="1">
      <c r="A20" s="247" t="s">
        <v>1574</v>
      </c>
      <c r="B20" s="202" t="s">
        <v>1575</v>
      </c>
      <c r="C20" s="224">
        <f ca="1">ROUND((C5+C19)*F20,0)</f>
        <v>408231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1095124</v>
      </c>
      <c r="D22" s="227">
        <f ca="1">C26</f>
        <v>1.1999999999999999E-3</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1079244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15880</v>
      </c>
      <c r="D25" s="230"/>
      <c r="E25" s="233"/>
      <c r="F25" s="231"/>
      <c r="G25" s="234" t="s">
        <v>1588</v>
      </c>
    </row>
    <row r="26" spans="1:7" s="206" customFormat="1">
      <c r="A26" s="733" t="s">
        <v>350</v>
      </c>
      <c r="B26" s="207" t="s">
        <v>1511</v>
      </c>
      <c r="C26" s="230">
        <f ca="1">ROUND(IF('数据-取费表'!B22&lt;=1,F21*F22*'数据-取费表'!B22/2,F21*(POWER((1+F22),'数据-取费表'!B22/2)-1)),4)</f>
        <v>1.1999999999999999E-3</v>
      </c>
      <c r="D26" s="230"/>
      <c r="E26" s="233"/>
      <c r="F26" s="231"/>
      <c r="G26" s="235"/>
    </row>
    <row r="27" spans="1:7" s="206" customFormat="1" ht="24.75">
      <c r="A27" s="247" t="s">
        <v>1512</v>
      </c>
      <c r="B27" s="236" t="s">
        <v>1513</v>
      </c>
      <c r="C27" s="237">
        <f ca="1">C28</f>
        <v>2803189</v>
      </c>
      <c r="D27" s="227">
        <f ca="1">C29</f>
        <v>6.0000000000000001E-3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2803189</v>
      </c>
      <c r="D28" s="227"/>
      <c r="E28" s="228"/>
      <c r="F28" s="238"/>
      <c r="G28" s="239"/>
    </row>
    <row r="29" spans="1:7" s="206" customFormat="1" ht="13.5" customHeight="1">
      <c r="A29" s="733"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19696821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2991047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2683890</v>
      </c>
      <c r="D34" s="209"/>
      <c r="E34" s="212"/>
      <c r="F34" s="249"/>
      <c r="G34" s="211"/>
    </row>
    <row r="35" spans="1:7" ht="13.5" customHeight="1">
      <c r="A35" s="733" t="s">
        <v>351</v>
      </c>
      <c r="B35" s="207" t="s">
        <v>1527</v>
      </c>
      <c r="C35" s="212">
        <f ca="1">ROUND(C34*F35,0)</f>
        <v>134195</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119284</v>
      </c>
      <c r="D37" s="209">
        <f ca="1">D19</f>
        <v>596.42000000000007</v>
      </c>
      <c r="E37" s="241">
        <f>'数据-取费表'!B35</f>
        <v>200</v>
      </c>
      <c r="F37" s="251"/>
      <c r="G37" s="253"/>
    </row>
    <row r="38" spans="1:7" ht="13.5" customHeight="1">
      <c r="A38" s="733" t="s">
        <v>354</v>
      </c>
      <c r="B38" s="207" t="s">
        <v>1533</v>
      </c>
      <c r="C38" s="212">
        <f ca="1">ROUND(C34*F38,0)</f>
        <v>53678</v>
      </c>
      <c r="D38" s="212"/>
      <c r="E38" s="212"/>
      <c r="F38" s="251">
        <f>'数据-取费表'!B36</f>
        <v>0.02</v>
      </c>
      <c r="G38" s="211" t="s">
        <v>1528</v>
      </c>
    </row>
    <row r="39" spans="1:7" s="206" customFormat="1" ht="13.5" customHeight="1">
      <c r="A39" s="247" t="s">
        <v>1534</v>
      </c>
      <c r="B39" s="202" t="s">
        <v>1535</v>
      </c>
      <c r="C39" s="224">
        <f ca="1">ROUND(C33*F20,0)</f>
        <v>89731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119839</v>
      </c>
      <c r="D41" s="227">
        <f ca="1">C44</f>
        <v>1.1999999999999999E-3</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116349</v>
      </c>
      <c r="D42" s="230"/>
      <c r="E42" s="230"/>
      <c r="F42" s="231"/>
      <c r="G42" s="3354" t="s">
        <v>1591</v>
      </c>
    </row>
    <row r="43" spans="1:7" ht="13.5" customHeight="1">
      <c r="A43" s="733" t="s">
        <v>347</v>
      </c>
      <c r="B43" s="207" t="s">
        <v>1545</v>
      </c>
      <c r="C43" s="230">
        <f ca="1">ROUND(IF('数据-取费表'!B22&lt;=1,C39*F22*'数据-取费表'!B20/2,C39*(POWER((1+F22),'数据-取费表'!B20/2)-1)),0)</f>
        <v>3490</v>
      </c>
      <c r="D43" s="230"/>
      <c r="E43" s="230"/>
      <c r="F43" s="231"/>
      <c r="G43" s="3355"/>
    </row>
    <row r="44" spans="1:7" ht="13.5" customHeight="1">
      <c r="A44" s="733" t="s">
        <v>348</v>
      </c>
      <c r="B44" s="207" t="s">
        <v>1546</v>
      </c>
      <c r="C44" s="230">
        <f ca="1">ROUND(IF('数据-取费表'!B22&lt;=1,C40*F22*'数据-取费表'!B20/2,C40*(POWER((1+F22),'数据-取费表'!B20/2)-1)),4)</f>
        <v>1.1999999999999999E-3</v>
      </c>
      <c r="D44" s="230"/>
      <c r="E44" s="230"/>
      <c r="F44" s="231"/>
      <c r="G44" s="3356"/>
    </row>
    <row r="45" spans="1:7" s="206" customFormat="1" ht="13.5" customHeight="1">
      <c r="A45" s="247" t="s">
        <v>1547</v>
      </c>
      <c r="B45" s="236" t="s">
        <v>1513</v>
      </c>
      <c r="C45" s="237">
        <f ca="1">C46</f>
        <v>616156</v>
      </c>
      <c r="D45" s="227">
        <f ca="1">C47</f>
        <v>6.0000000000000001E-3</v>
      </c>
      <c r="E45" s="228" t="s">
        <v>1539</v>
      </c>
      <c r="F45" s="238">
        <f ca="1">F27</f>
        <v>0.2</v>
      </c>
      <c r="G45" s="239" t="s">
        <v>1548</v>
      </c>
    </row>
    <row r="46" spans="1:7" s="206" customFormat="1" ht="13.5" customHeight="1">
      <c r="A46" s="733" t="s">
        <v>346</v>
      </c>
      <c r="B46" s="240" t="s">
        <v>1549</v>
      </c>
      <c r="C46" s="241">
        <f ca="1">ROUND((C33+C39)*F27,0)</f>
        <v>616156</v>
      </c>
      <c r="D46" s="255"/>
      <c r="E46" s="228"/>
      <c r="F46" s="238"/>
      <c r="G46" s="239"/>
    </row>
    <row r="47" spans="1:7" s="206" customFormat="1" ht="13.5" customHeight="1">
      <c r="A47" s="733"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4196562</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3063490</v>
      </c>
      <c r="D51" s="224"/>
      <c r="E51" s="224"/>
      <c r="F51" s="256"/>
      <c r="G51" s="226" t="s">
        <v>1560</v>
      </c>
    </row>
    <row r="52" spans="1:7" s="200" customFormat="1" ht="16.5" thickBot="1">
      <c r="A52" s="257" t="s">
        <v>1561</v>
      </c>
      <c r="B52" s="258"/>
      <c r="C52" s="259">
        <f ca="1">C31+C51</f>
        <v>22760311</v>
      </c>
      <c r="D52" s="258"/>
      <c r="E52" s="258"/>
      <c r="F52" s="258"/>
      <c r="G52" s="260"/>
    </row>
    <row r="55" spans="1:7" ht="15">
      <c r="B55" s="262" t="s">
        <v>1562</v>
      </c>
      <c r="C55" s="263"/>
    </row>
    <row r="56" spans="1:7">
      <c r="B56" s="265" t="s">
        <v>802</v>
      </c>
      <c r="C56" s="267">
        <f ca="1">1-C57</f>
        <v>0.86499999999999999</v>
      </c>
    </row>
    <row r="57" spans="1:7">
      <c r="B57" s="265" t="s">
        <v>803</v>
      </c>
      <c r="C57" s="266">
        <f ca="1">ROUND(C51/C52,3)</f>
        <v>0.13500000000000001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1308</v>
      </c>
      <c r="C2" s="1845" t="s">
        <v>1935</v>
      </c>
      <c r="D2" s="162" t="s">
        <v>1936</v>
      </c>
      <c r="E2" s="3120"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Ⅱ—15</v>
      </c>
      <c r="J2" s="1841"/>
      <c r="K2" s="1055"/>
      <c r="L2" s="1846" t="s">
        <v>1939</v>
      </c>
      <c r="M2" s="810">
        <f>SUMPRODUCT((区片价!B10:B29=I2)*(区片价!C3:G3=E2)*(区片价!C10:G29))</f>
        <v>27930</v>
      </c>
      <c r="N2" s="812">
        <f>SUMPRODUCT((因素修正幅度!B10:B29=I2)*(因素修正幅度!C3:G3=E2)*(因素修正幅度!C10:G29))</f>
        <v>9.5000000000000001E-2</v>
      </c>
      <c r="O2" s="1055"/>
      <c r="P2" s="1055"/>
      <c r="Q2" s="1055"/>
      <c r="R2" s="1128">
        <v>1</v>
      </c>
      <c r="S2" s="3063">
        <f>ROUND(SUMPRODUCT((B106:B110=R2)*(C105:N105=G2)*(C106:N110)),4)</f>
        <v>1.5206</v>
      </c>
      <c r="T2" s="3063">
        <f t="shared" ref="T2:T16" si="0">ROUND($C$5*$C$22*$C$23*$C$24*S2*$C$28,0)</f>
        <v>25174</v>
      </c>
      <c r="U2" s="1129">
        <f>面积位置!C31</f>
        <v>225.43</v>
      </c>
      <c r="V2" s="3063">
        <f>ROUND(T2*U2/10000,0)</f>
        <v>567</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t="s">
        <v>2440</v>
      </c>
      <c r="F3" s="1847" t="s">
        <v>3412</v>
      </c>
      <c r="G3" s="707">
        <f>IF(F3="宗地容积率",'数据-汇总表'!I4,IF(F3="估价对象容积率",'数据-汇总表'!I6,'数据-汇总表'!I7))</f>
        <v>3.5</v>
      </c>
      <c r="H3" s="162" t="s">
        <v>1943</v>
      </c>
      <c r="I3" s="728">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1.2072000000000001</v>
      </c>
      <c r="T3" s="3063">
        <f t="shared" si="0"/>
        <v>19985</v>
      </c>
      <c r="U3" s="1129">
        <f>面积位置!C32</f>
        <v>370.99</v>
      </c>
      <c r="V3" s="3063">
        <f t="shared" ref="V3:V16" si="1">ROUND(T3*U3/10000,0)</f>
        <v>741</v>
      </c>
      <c r="W3" s="1132"/>
      <c r="X3" s="1132"/>
      <c r="Y3" s="1132"/>
      <c r="Z3" s="1132"/>
      <c r="AA3" s="1132"/>
      <c r="AB3" s="1132"/>
      <c r="AC3" s="1133"/>
      <c r="AD3" s="1134"/>
      <c r="AE3" s="1134"/>
      <c r="AF3" s="1134"/>
      <c r="AG3" s="1134"/>
      <c r="AH3" s="1134"/>
      <c r="AI3" s="1134"/>
      <c r="AJ3" s="1135"/>
    </row>
    <row r="4" spans="1:36" ht="15.75">
      <c r="A4" s="3369"/>
      <c r="B4" s="3370"/>
      <c r="C4" s="3370"/>
      <c r="D4" s="3371"/>
      <c r="E4" s="3371"/>
      <c r="F4" s="3371"/>
      <c r="G4" s="3371"/>
      <c r="H4" s="3371"/>
      <c r="I4" s="3371"/>
      <c r="J4" s="337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1.0430999999999999</v>
      </c>
      <c r="T4" s="3063">
        <f t="shared" si="0"/>
        <v>17269</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27930</v>
      </c>
      <c r="D5" s="1251">
        <f>ROUND(C6*C17+C20,0)</f>
        <v>27930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0.94389999999999996</v>
      </c>
      <c r="T5" s="3063">
        <f t="shared" si="0"/>
        <v>15626</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27930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0.89959999999999996</v>
      </c>
      <c r="T6" s="3063">
        <f t="shared" si="0"/>
        <v>14893</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二级</v>
      </c>
      <c r="Y7" s="1130" t="s">
        <v>1956</v>
      </c>
      <c r="Z7" s="1131">
        <f>G3</f>
        <v>3.5</v>
      </c>
      <c r="AA7" s="1132"/>
      <c r="AB7" s="1132"/>
      <c r="AC7" s="1133"/>
      <c r="AD7" s="1134"/>
      <c r="AE7" s="1134"/>
      <c r="AF7" s="1134"/>
      <c r="AG7" s="1134"/>
      <c r="AH7" s="1134"/>
      <c r="AI7" s="1134"/>
      <c r="AJ7" s="1135"/>
    </row>
    <row r="8" spans="1:36" ht="25.5">
      <c r="A8" s="3009"/>
      <c r="B8" s="162" t="s">
        <v>1957</v>
      </c>
      <c r="C8" s="1869" t="s">
        <v>3417</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366" t="s">
        <v>1960</v>
      </c>
      <c r="X8" s="336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368"/>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36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373" t="s">
        <v>3245</v>
      </c>
      <c r="B20" s="159" t="s">
        <v>1994</v>
      </c>
      <c r="C20" s="3031">
        <f>ROUND(IF(F21="与级别开发程度一致",0,(G21-E21)/C21),0)</f>
        <v>0</v>
      </c>
      <c r="D20" s="3046" t="s">
        <v>1998</v>
      </c>
      <c r="E20" s="3047"/>
      <c r="F20" s="3379" t="s">
        <v>1995</v>
      </c>
      <c r="G20" s="338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374"/>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3418</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5" t="s">
        <v>2002</v>
      </c>
      <c r="E23" s="716">
        <v>44197</v>
      </c>
      <c r="F23" s="1895" t="s">
        <v>2003</v>
      </c>
      <c r="G23" s="717">
        <f>'数据-取费表'!B2</f>
        <v>45768</v>
      </c>
      <c r="H23" s="3048" t="s">
        <v>3247</v>
      </c>
      <c r="I23" s="3049" t="str">
        <f>IF(H23="季度增幅（自定义）",SUMIF(N25:N28,E2,O25:O28),"")</f>
        <v/>
      </c>
      <c r="J23" s="3141" t="s">
        <v>3246</v>
      </c>
      <c r="K23" s="1060"/>
      <c r="L23" s="1896" t="s">
        <v>2004</v>
      </c>
      <c r="M23" s="1240">
        <f>ROUND(SUMIF(地价!B2:G2,E2,地价!B16:G16),0)</f>
        <v>350</v>
      </c>
      <c r="N23" s="1897" t="s">
        <v>2005</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0.68840000000000001</v>
      </c>
      <c r="D24" s="1901" t="s">
        <v>2007</v>
      </c>
      <c r="E24" s="1247">
        <f>存贷款利率!E27/100</f>
        <v>4.3499999999999997E-2</v>
      </c>
      <c r="F24" s="1901" t="s">
        <v>1999</v>
      </c>
      <c r="G24" s="723">
        <f>SUMIF(M30:Q30,E2,M33:Q33)</f>
        <v>5.5E-2</v>
      </c>
      <c r="H24" s="1901" t="s">
        <v>2008</v>
      </c>
      <c r="I24" s="724">
        <f>SUMIF('数据-取费表'!C6:C15,E2,'数据-取费表'!F6:F15)/COUNTIF('数据-取费表'!C6:C15,E2)</f>
        <v>17.47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3419</v>
      </c>
      <c r="C25" s="461">
        <f>IF(B25="容积率修正",IF(G3&lt;10,D26,J26),C27)</f>
        <v>1.5206</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3248</v>
      </c>
      <c r="D26" s="1262">
        <f>IF(E26=G26,F26,IF(G3&lt;10,ROUND(F26+(H26-F26)*(G3-E26)/(G26-E26),4),"——"))</f>
        <v>1</v>
      </c>
      <c r="E26" s="707">
        <f>ROUNDDOWN(G3,1)</f>
        <v>3.5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3249</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1.5206</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1.0409999999999999</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1308</v>
      </c>
      <c r="D30" s="1924"/>
      <c r="E30" s="1841"/>
      <c r="F30" s="1925"/>
      <c r="G30" s="1841"/>
      <c r="H30" s="1841"/>
      <c r="I30" s="1841"/>
      <c r="J30" s="1926"/>
      <c r="K30" s="1055"/>
      <c r="L30" s="3055" t="s">
        <v>1936</v>
      </c>
      <c r="M30" s="3056" t="s">
        <v>1990</v>
      </c>
      <c r="N30" s="3056" t="s">
        <v>1991</v>
      </c>
      <c r="O30" s="3056" t="s">
        <v>1992</v>
      </c>
      <c r="P30" s="3056" t="s">
        <v>1993</v>
      </c>
      <c r="Q30" s="3059"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25174</v>
      </c>
      <c r="D33" s="1939"/>
      <c r="E33" s="726">
        <f>ROUND(C33*D33/10000,0)</f>
        <v>0</v>
      </c>
      <c r="F33" s="3050" t="s">
        <v>3251</v>
      </c>
      <c r="G33" s="1940"/>
      <c r="H33" s="1940"/>
      <c r="I33" s="1940"/>
      <c r="J33" s="1941"/>
      <c r="K33" s="1055"/>
      <c r="L33" s="3053" t="s">
        <v>3254</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f>ROUND(IF(B25="楼层修正",SUM(V2:V16)*M40,C34*D34/10000),0)</f>
        <v>0</v>
      </c>
      <c r="F34" s="1945" t="s">
        <v>2032</v>
      </c>
      <c r="G34" s="1946"/>
      <c r="H34" s="1946"/>
      <c r="I34" s="1946"/>
      <c r="J34" s="1947"/>
      <c r="K34" s="1055"/>
      <c r="L34" s="3053" t="s">
        <v>3255</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3252</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3256</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77"/>
      <c r="B37" s="1954" t="s">
        <v>2036</v>
      </c>
      <c r="C37" s="167">
        <f>ROUND(D5*C22*C23*C24*C28*F37,0)</f>
        <v>11589</v>
      </c>
      <c r="D37" s="1939"/>
      <c r="E37" s="163">
        <f>ROUND(C37*D37/10000,0)</f>
        <v>0</v>
      </c>
      <c r="F37" s="163">
        <f>SUMIF(修正!A57:A68,G2,修正!B57:B68)</f>
        <v>0.7</v>
      </c>
      <c r="G37" s="163">
        <f>ROUND(IF(E2="工业",C37*$M$42,C37*$M$41),0)</f>
        <v>2897</v>
      </c>
      <c r="H37" s="163">
        <f>D37</f>
        <v>0</v>
      </c>
      <c r="I37" s="163">
        <f>ROUND(G37*H37/10000,0)</f>
        <v>0</v>
      </c>
      <c r="J37" s="2754"/>
      <c r="K37" s="3061" t="s">
        <v>3257</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8"/>
      <c r="B38" s="1883" t="s">
        <v>2037</v>
      </c>
      <c r="C38" s="167">
        <f>ROUND(D5*C22*C23*C24*C28*F38,0)</f>
        <v>6622</v>
      </c>
      <c r="D38" s="1939"/>
      <c r="E38" s="163">
        <f t="shared" ref="E38:E42" si="4">ROUND(C38*D38/10000,0)</f>
        <v>0</v>
      </c>
      <c r="F38" s="163">
        <f>SUMIF(修正!A57:A68,G2,修正!C57:C68)</f>
        <v>0.4</v>
      </c>
      <c r="G38" s="163">
        <f>ROUND(IF(E2="工业",C38*$M$42,C38*$M$41),0)</f>
        <v>1656</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78"/>
      <c r="B39" s="1883" t="s">
        <v>3250</v>
      </c>
      <c r="C39" s="167">
        <f>ROUND(D5*C22*C23*C24*C28*F39,0)</f>
        <v>4967</v>
      </c>
      <c r="D39" s="1939"/>
      <c r="E39" s="163">
        <f t="shared" si="4"/>
        <v>0</v>
      </c>
      <c r="F39" s="163">
        <f>SUMIF(修正!A57:A68,G2,修正!D57:D68)</f>
        <v>0.3</v>
      </c>
      <c r="G39" s="163">
        <f>ROUND(IF(E2="工业",C39*$M$42,C39*$M$41),0)</f>
        <v>1242</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4967</v>
      </c>
      <c r="D40" s="1939"/>
      <c r="E40" s="163">
        <f t="shared" si="4"/>
        <v>0</v>
      </c>
      <c r="F40" s="167">
        <f>SUMIF(修正!A57:A68,G2,修正!E57:E68)</f>
        <v>0.3</v>
      </c>
      <c r="G40" s="163">
        <f>ROUND(IF(E2="工业",C40*$M$42,C40*$M$41),0)</f>
        <v>1242</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0.3</v>
      </c>
      <c r="G41" s="163">
        <f>ROUND(IF(E2="工业",C41*$M$42,C41*$M$41),0)</f>
        <v>0</v>
      </c>
      <c r="H41" s="163">
        <f t="shared" si="5"/>
        <v>0</v>
      </c>
      <c r="I41" s="163">
        <f t="shared" si="6"/>
        <v>0</v>
      </c>
      <c r="J41" s="938"/>
      <c r="L41" s="3062" t="s">
        <v>3258</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2">
        <f>SUMIF(修正!A57:A68,G2,修正!G57:G68)</f>
        <v>0.2</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1.0409999999999999</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t="s">
        <v>3421</v>
      </c>
      <c r="D50" s="1001">
        <f t="shared" ref="D50:D58" si="7">SUMIF($J$49:$N$49,C50,J50:N50)</f>
        <v>1.4200000000000001E-2</v>
      </c>
      <c r="E50" s="701">
        <f>ROUND(SUM(D50:D58),4)</f>
        <v>4.1000000000000002E-2</v>
      </c>
      <c r="F50" s="1674">
        <f>IF(E2="商业",SUMIF(L1:L12,G2,N1:N12),"——")</f>
        <v>9.5000000000000001E-2</v>
      </c>
      <c r="G50" s="999">
        <f>H50</f>
        <v>1.4200000000000001E-2</v>
      </c>
      <c r="H50" s="1002">
        <f t="shared" ref="H50:H58" si="8">IFERROR(ROUNDDOWN($F$50*I50/2,4),"——")</f>
        <v>1.4200000000000001E-2</v>
      </c>
      <c r="I50" s="3068">
        <v>0.3</v>
      </c>
      <c r="J50" s="1000">
        <f t="shared" ref="J50:J58" si="9">K50+$G50</f>
        <v>2.8400000000000002E-2</v>
      </c>
      <c r="K50" s="1000">
        <f t="shared" ref="K50:K58" si="10">$L50+$G50</f>
        <v>1.4200000000000001E-2</v>
      </c>
      <c r="L50" s="1000">
        <v>0</v>
      </c>
      <c r="M50" s="1000">
        <f t="shared" ref="M50:N58" si="11">L50-$G50</f>
        <v>-1.4200000000000001E-2</v>
      </c>
      <c r="N50" s="1000">
        <f t="shared" si="11"/>
        <v>-2.8400000000000002E-2</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t="s">
        <v>3421</v>
      </c>
      <c r="D51" s="1001">
        <f t="shared" si="7"/>
        <v>1.04E-2</v>
      </c>
      <c r="E51" s="702"/>
      <c r="F51" s="1674"/>
      <c r="G51" s="999">
        <f t="shared" ref="G51:G58" si="12">H51</f>
        <v>1.04E-2</v>
      </c>
      <c r="H51" s="1002">
        <f t="shared" si="8"/>
        <v>1.04E-2</v>
      </c>
      <c r="I51" s="3068">
        <v>0.22</v>
      </c>
      <c r="J51" s="1000">
        <f t="shared" si="9"/>
        <v>2.0799999999999999E-2</v>
      </c>
      <c r="K51" s="1000">
        <f t="shared" si="10"/>
        <v>1.04E-2</v>
      </c>
      <c r="L51" s="1000">
        <v>0</v>
      </c>
      <c r="M51" s="1000">
        <f t="shared" si="11"/>
        <v>-1.04E-2</v>
      </c>
      <c r="N51" s="1000">
        <f t="shared" si="11"/>
        <v>-2.0799999999999999E-2</v>
      </c>
      <c r="AA51" s="1056"/>
      <c r="AB51" s="1056"/>
      <c r="AC51" s="1056"/>
      <c r="AD51" s="1056"/>
      <c r="AE51" s="1056"/>
      <c r="AF51" s="1056"/>
      <c r="AG51" s="1056"/>
      <c r="AH51" s="1056"/>
      <c r="AI51" s="1056"/>
      <c r="AJ51" s="1056"/>
      <c r="AK51" s="1056"/>
    </row>
    <row r="52" spans="1:37" s="1055" customFormat="1" ht="36">
      <c r="A52" s="3070" t="s">
        <v>3260</v>
      </c>
      <c r="B52" s="1261">
        <f>估价对象房地状况!C19</f>
        <v>0</v>
      </c>
      <c r="C52" s="1886" t="s">
        <v>3421</v>
      </c>
      <c r="D52" s="1001">
        <f t="shared" si="7"/>
        <v>5.7000000000000002E-3</v>
      </c>
      <c r="E52" s="702"/>
      <c r="F52" s="1674"/>
      <c r="G52" s="999">
        <f t="shared" si="12"/>
        <v>5.7000000000000002E-3</v>
      </c>
      <c r="H52" s="1002">
        <f t="shared" si="8"/>
        <v>5.7000000000000002E-3</v>
      </c>
      <c r="I52" s="3068">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9" t="s">
        <v>2054</v>
      </c>
      <c r="B53" s="1973" t="s">
        <v>2055</v>
      </c>
      <c r="C53" s="1886" t="s">
        <v>3421</v>
      </c>
      <c r="D53" s="1001">
        <f t="shared" si="7"/>
        <v>2.3E-3</v>
      </c>
      <c r="E53" s="702"/>
      <c r="F53" s="1674"/>
      <c r="G53" s="999">
        <f t="shared" si="12"/>
        <v>2.3E-3</v>
      </c>
      <c r="H53" s="1002">
        <f t="shared" si="8"/>
        <v>2.3E-3</v>
      </c>
      <c r="I53" s="3068">
        <v>0.05</v>
      </c>
      <c r="J53" s="1000">
        <f t="shared" si="9"/>
        <v>4.5999999999999999E-3</v>
      </c>
      <c r="K53" s="1000">
        <f t="shared" si="10"/>
        <v>2.3E-3</v>
      </c>
      <c r="L53" s="1000">
        <v>0</v>
      </c>
      <c r="M53" s="1000">
        <f t="shared" si="11"/>
        <v>-2.3E-3</v>
      </c>
      <c r="N53" s="1000">
        <f t="shared" si="11"/>
        <v>-4.5999999999999999E-3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3420</v>
      </c>
      <c r="D54" s="1001">
        <f t="shared" si="7"/>
        <v>0</v>
      </c>
      <c r="E54" s="702"/>
      <c r="F54" s="1674"/>
      <c r="G54" s="999">
        <f t="shared" si="12"/>
        <v>3.8E-3</v>
      </c>
      <c r="H54" s="1002">
        <f t="shared" si="8"/>
        <v>3.8E-3</v>
      </c>
      <c r="I54" s="3068">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9" t="s">
        <v>2057</v>
      </c>
      <c r="B55" s="1974" t="s">
        <v>2058</v>
      </c>
      <c r="C55" s="1886" t="s">
        <v>3421</v>
      </c>
      <c r="D55" s="1001">
        <f t="shared" si="7"/>
        <v>2.3E-3</v>
      </c>
      <c r="E55" s="702"/>
      <c r="F55" s="1674"/>
      <c r="G55" s="999">
        <f t="shared" si="12"/>
        <v>2.3E-3</v>
      </c>
      <c r="H55" s="1002">
        <f t="shared" si="8"/>
        <v>2.3E-3</v>
      </c>
      <c r="I55" s="3068">
        <v>0.05</v>
      </c>
      <c r="J55" s="1000">
        <f t="shared" si="9"/>
        <v>4.5999999999999999E-3</v>
      </c>
      <c r="K55" s="1000">
        <f t="shared" si="10"/>
        <v>2.3E-3</v>
      </c>
      <c r="L55" s="1000">
        <v>0</v>
      </c>
      <c r="M55" s="1000">
        <f t="shared" si="11"/>
        <v>-2.3E-3</v>
      </c>
      <c r="N55" s="1000">
        <f t="shared" si="11"/>
        <v>-4.5999999999999999E-3</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t="s">
        <v>3421</v>
      </c>
      <c r="D56" s="1001">
        <f t="shared" si="7"/>
        <v>2.3E-3</v>
      </c>
      <c r="E56" s="702"/>
      <c r="F56" s="1674"/>
      <c r="G56" s="999">
        <f t="shared" si="12"/>
        <v>2.3E-3</v>
      </c>
      <c r="H56" s="1002">
        <f t="shared" si="8"/>
        <v>2.3E-3</v>
      </c>
      <c r="I56" s="3068">
        <v>0.05</v>
      </c>
      <c r="J56" s="1000">
        <f t="shared" si="9"/>
        <v>4.5999999999999999E-3</v>
      </c>
      <c r="K56" s="1000">
        <f t="shared" si="10"/>
        <v>2.3E-3</v>
      </c>
      <c r="L56" s="1000">
        <v>0</v>
      </c>
      <c r="M56" s="1000">
        <f t="shared" si="11"/>
        <v>-2.3E-3</v>
      </c>
      <c r="N56" s="1000">
        <f t="shared" si="11"/>
        <v>-4.5999999999999999E-3</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t="s">
        <v>3421</v>
      </c>
      <c r="D57" s="1001">
        <f t="shared" si="7"/>
        <v>3.8E-3</v>
      </c>
      <c r="E57" s="702"/>
      <c r="F57" s="1674"/>
      <c r="G57" s="999">
        <f t="shared" si="12"/>
        <v>3.8E-3</v>
      </c>
      <c r="H57" s="1002">
        <f t="shared" si="8"/>
        <v>3.8E-3</v>
      </c>
      <c r="I57" s="3068">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t="s">
        <v>3420</v>
      </c>
      <c r="D58" s="1001">
        <f t="shared" si="7"/>
        <v>0</v>
      </c>
      <c r="E58" s="703"/>
      <c r="F58" s="1674"/>
      <c r="G58" s="999">
        <f t="shared" si="12"/>
        <v>2.3E-3</v>
      </c>
      <c r="H58" s="1002">
        <f t="shared" si="8"/>
        <v>2.3E-3</v>
      </c>
      <c r="I58" s="3069">
        <v>0.05</v>
      </c>
      <c r="J58" s="1000">
        <f t="shared" si="9"/>
        <v>4.5999999999999999E-3</v>
      </c>
      <c r="K58" s="1000">
        <f t="shared" si="10"/>
        <v>2.3E-3</v>
      </c>
      <c r="L58" s="1000">
        <v>0</v>
      </c>
      <c r="M58" s="1000">
        <f t="shared" si="11"/>
        <v>-2.3E-3</v>
      </c>
      <c r="N58" s="1000">
        <f t="shared" si="11"/>
        <v>-4.5999999999999999E-3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8">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3"/>
        <v>0</v>
      </c>
      <c r="E62" s="702"/>
      <c r="F62" s="1674"/>
      <c r="G62" s="999"/>
      <c r="H62" s="1002" t="str">
        <f t="shared" si="14"/>
        <v>——</v>
      </c>
      <c r="I62" s="3068">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70" t="s">
        <v>3260</v>
      </c>
      <c r="B63" s="1261">
        <f>估价对象房地状况!C19</f>
        <v>0</v>
      </c>
      <c r="C63" s="1886"/>
      <c r="D63" s="1001">
        <f t="shared" si="13"/>
        <v>0</v>
      </c>
      <c r="E63" s="702"/>
      <c r="F63" s="1674"/>
      <c r="G63" s="999"/>
      <c r="H63" s="1002" t="str">
        <f t="shared" si="14"/>
        <v>——</v>
      </c>
      <c r="I63" s="3068">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3"/>
        <v>0</v>
      </c>
      <c r="E64" s="702"/>
      <c r="F64" s="1674"/>
      <c r="G64" s="999"/>
      <c r="H64" s="1002" t="str">
        <f t="shared" si="14"/>
        <v>——</v>
      </c>
      <c r="I64" s="3068">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2"/>
      <c r="F65" s="1674"/>
      <c r="G65" s="999"/>
      <c r="H65" s="1002" t="str">
        <f t="shared" si="14"/>
        <v>——</v>
      </c>
      <c r="I65" s="3068">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3"/>
        <v>0</v>
      </c>
      <c r="E66" s="702"/>
      <c r="F66" s="1674"/>
      <c r="G66" s="999"/>
      <c r="H66" s="1002" t="str">
        <f t="shared" si="14"/>
        <v>——</v>
      </c>
      <c r="I66" s="3068">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3"/>
        <v>0</v>
      </c>
      <c r="E67" s="702"/>
      <c r="F67" s="1674"/>
      <c r="G67" s="999"/>
      <c r="H67" s="1002" t="str">
        <f t="shared" si="14"/>
        <v>——</v>
      </c>
      <c r="I67" s="3068">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3"/>
        <v>0</v>
      </c>
      <c r="E68" s="702"/>
      <c r="F68" s="1674"/>
      <c r="G68" s="999"/>
      <c r="H68" s="1002" t="str">
        <f t="shared" si="14"/>
        <v>——</v>
      </c>
      <c r="I68" s="3068">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3"/>
        <v>0</v>
      </c>
      <c r="E69" s="703"/>
      <c r="F69" s="1674"/>
      <c r="G69" s="999"/>
      <c r="H69" s="1002" t="str">
        <f t="shared" si="14"/>
        <v>——</v>
      </c>
      <c r="I69" s="3069">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4"/>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3260</v>
      </c>
      <c r="B74" s="1261">
        <f>估价对象房地状况!C19</f>
        <v>0</v>
      </c>
      <c r="C74" s="1886"/>
      <c r="D74" s="1001">
        <f t="shared" si="18"/>
        <v>0</v>
      </c>
      <c r="E74" s="704"/>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4"/>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4"/>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4"/>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4"/>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4"/>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5"/>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4"/>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3261</v>
      </c>
      <c r="B85" s="1261">
        <f>估价对象房地状况!G17</f>
        <v>0</v>
      </c>
      <c r="C85" s="1886"/>
      <c r="D85" s="1001">
        <f t="shared" si="23"/>
        <v>0</v>
      </c>
      <c r="E85" s="704"/>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4"/>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4"/>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4"/>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4"/>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5"/>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3262</v>
      </c>
      <c r="B92" s="2309"/>
      <c r="C92" s="2309" t="s">
        <v>3271</v>
      </c>
      <c r="D92" s="2309" t="s">
        <v>3272</v>
      </c>
      <c r="E92" s="3052" t="s">
        <v>3273</v>
      </c>
      <c r="F92" s="3082" t="s">
        <v>3274</v>
      </c>
      <c r="G92" s="2309" t="s">
        <v>3275</v>
      </c>
      <c r="H92" s="3089" t="s">
        <v>3278</v>
      </c>
      <c r="I92" s="2309" t="s">
        <v>3279</v>
      </c>
      <c r="J92" s="2149" t="s">
        <v>3280</v>
      </c>
      <c r="K92" s="2149" t="s">
        <v>3281</v>
      </c>
      <c r="L92" s="2149" t="s">
        <v>3282</v>
      </c>
      <c r="M92" s="2149" t="s">
        <v>3283</v>
      </c>
      <c r="N92" s="2149" t="s">
        <v>3284</v>
      </c>
    </row>
    <row r="93" spans="1:37" ht="24">
      <c r="A93" s="3070" t="s">
        <v>3263</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3264</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3260</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3265</v>
      </c>
      <c r="B96" s="3086" t="s">
        <v>3276</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3266</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3267</v>
      </c>
      <c r="B98" s="3087" t="s">
        <v>3277</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3268</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3269</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3270</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75" t="s">
        <v>3285</v>
      </c>
      <c r="B103" s="3375"/>
      <c r="C103" s="3375"/>
      <c r="D103" s="3375"/>
      <c r="E103" s="3375"/>
      <c r="F103" s="3375"/>
      <c r="G103" s="3375"/>
      <c r="H103" s="3375"/>
      <c r="I103" s="3375"/>
      <c r="J103" s="3375"/>
      <c r="K103" s="1666"/>
      <c r="L103" s="1666"/>
      <c r="M103" s="1666"/>
      <c r="N103" s="1666"/>
    </row>
    <row r="104" spans="1:14">
      <c r="A104" s="3376" t="s">
        <v>3286</v>
      </c>
      <c r="B104" s="3376" t="s">
        <v>3287</v>
      </c>
      <c r="C104" s="3090" t="s">
        <v>3288</v>
      </c>
      <c r="D104" s="3091"/>
      <c r="E104" s="3091"/>
      <c r="F104" s="3091"/>
      <c r="G104" s="3091"/>
      <c r="H104" s="3091"/>
      <c r="I104" s="3091"/>
      <c r="J104" s="3092"/>
      <c r="K104" s="3093"/>
      <c r="L104" s="3093"/>
      <c r="M104" s="3093"/>
      <c r="N104" s="3093"/>
    </row>
    <row r="105" spans="1:14">
      <c r="A105" s="3376"/>
      <c r="B105" s="3376"/>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362"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6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6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6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6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63"/>
      <c r="B111" s="3094" t="s">
        <v>3259</v>
      </c>
      <c r="C111" s="3095">
        <f>$I$3</f>
        <v>1</v>
      </c>
      <c r="D111" s="3095">
        <f t="shared" ref="D111:M111" si="33">$I$3</f>
        <v>1</v>
      </c>
      <c r="E111" s="3095">
        <f t="shared" si="33"/>
        <v>1</v>
      </c>
      <c r="F111" s="3095">
        <f t="shared" si="33"/>
        <v>1</v>
      </c>
      <c r="G111" s="3095">
        <f t="shared" si="33"/>
        <v>1</v>
      </c>
      <c r="H111" s="3095">
        <f t="shared" si="33"/>
        <v>1</v>
      </c>
      <c r="I111" s="3095">
        <f t="shared" si="33"/>
        <v>1</v>
      </c>
      <c r="J111" s="3095">
        <f t="shared" si="33"/>
        <v>1</v>
      </c>
      <c r="K111" s="3095">
        <f t="shared" si="33"/>
        <v>1</v>
      </c>
      <c r="L111" s="3095">
        <f t="shared" si="33"/>
        <v>1</v>
      </c>
      <c r="M111" s="3095">
        <f t="shared" si="33"/>
        <v>1</v>
      </c>
      <c r="N111" s="3095">
        <f>$I$3</f>
        <v>1</v>
      </c>
    </row>
    <row r="112" spans="1:14">
      <c r="A112" s="3364"/>
      <c r="B112" s="3094">
        <v>6</v>
      </c>
      <c r="C112" s="3089">
        <f>(-0.5556*(C111^2)-0.2719*C111+8944)*(10^(-4))</f>
        <v>0.89431725000000006</v>
      </c>
      <c r="D112" s="3089">
        <f>(-0.5556*(D111^2)-0.2719*D111+8944)*(10^(-4))</f>
        <v>0.89431725000000006</v>
      </c>
      <c r="E112" s="3089">
        <f>(-0.7912*(E111^2)-11.3794*E111+8482)*(10^(-4))</f>
        <v>0.84698294000000007</v>
      </c>
      <c r="F112" s="3089">
        <f t="shared" ref="F112:I112" si="34">(-0.7912*(F111^2)-11.3794*F111+8482)*(10^(-4))</f>
        <v>0.84698294000000007</v>
      </c>
      <c r="G112" s="3089">
        <f t="shared" si="34"/>
        <v>0.84698294000000007</v>
      </c>
      <c r="H112" s="3089">
        <f t="shared" si="34"/>
        <v>0.84698294000000007</v>
      </c>
      <c r="I112" s="3089">
        <f t="shared" si="34"/>
        <v>0.84698294000000007</v>
      </c>
      <c r="J112" s="3089">
        <f>(-0.989*(J111^2)-63.78*J111+7771)*(10^(-4))</f>
        <v>0.77062310000000001</v>
      </c>
      <c r="K112" s="3089">
        <f t="shared" ref="K112:N112" si="35">(-0.989*(K111^2)-63.78*K111+7771)*(10^(-4))</f>
        <v>0.77062310000000001</v>
      </c>
      <c r="L112" s="3089">
        <f t="shared" si="35"/>
        <v>0.77062310000000001</v>
      </c>
      <c r="M112" s="3089">
        <f t="shared" si="35"/>
        <v>0.77062310000000001</v>
      </c>
      <c r="N112" s="3089">
        <f t="shared" si="35"/>
        <v>0.77062310000000001</v>
      </c>
    </row>
    <row r="113" spans="1:14">
      <c r="A113" s="3365" t="s">
        <v>3302</v>
      </c>
      <c r="B113" s="3365"/>
      <c r="C113" s="3365"/>
      <c r="D113" s="3365"/>
      <c r="E113" s="3365"/>
      <c r="F113" s="3365"/>
      <c r="G113" s="3365"/>
      <c r="H113" s="3365"/>
      <c r="I113" s="3365"/>
      <c r="J113" s="336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3303</v>
      </c>
      <c r="B116" s="3114">
        <f>G3</f>
        <v>3.5</v>
      </c>
      <c r="C116" s="3099" t="s">
        <v>3304</v>
      </c>
      <c r="D116" s="3100">
        <f>SUMPRODUCT((A118:A122=F116)*(B117:M117=H116)*B118:M122)</f>
        <v>0.95830000000000004</v>
      </c>
      <c r="E116" s="162" t="s">
        <v>3305</v>
      </c>
      <c r="F116" s="3101" t="str">
        <f>E2</f>
        <v>商业</v>
      </c>
      <c r="G116" s="162" t="s">
        <v>3306</v>
      </c>
      <c r="H116" s="3101" t="str">
        <f>G2</f>
        <v>二级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0.95830000000000004</v>
      </c>
      <c r="C118" s="3089">
        <f>B118</f>
        <v>0.95830000000000004</v>
      </c>
      <c r="D118" s="3089">
        <f>ROUND(0.949-0.014*B116,4)</f>
        <v>0.9</v>
      </c>
      <c r="E118" s="3089">
        <f>D118</f>
        <v>0.9</v>
      </c>
      <c r="F118" s="3089">
        <f>E118</f>
        <v>0.9</v>
      </c>
      <c r="G118" s="3089">
        <f>F118</f>
        <v>0.9</v>
      </c>
      <c r="H118" s="3089">
        <f>G118</f>
        <v>0.9</v>
      </c>
      <c r="I118" s="3089">
        <f>ROUND(0.8486-0.018*B116,4)</f>
        <v>0.78559999999999997</v>
      </c>
      <c r="J118" s="3089">
        <f t="shared" ref="J118:M122" si="36">I118</f>
        <v>0.78559999999999997</v>
      </c>
      <c r="K118" s="3089">
        <f t="shared" si="36"/>
        <v>0.78559999999999997</v>
      </c>
      <c r="L118" s="3089">
        <f t="shared" si="36"/>
        <v>0.78559999999999997</v>
      </c>
      <c r="M118" s="3109">
        <f t="shared" si="36"/>
        <v>0.78559999999999997</v>
      </c>
      <c r="N118" s="3097"/>
    </row>
    <row r="119" spans="1:14">
      <c r="A119" s="3057" t="s">
        <v>3320</v>
      </c>
      <c r="B119" s="3089">
        <f>ROUND(0.993-0.0112*B116,4)</f>
        <v>0.95379999999999998</v>
      </c>
      <c r="C119" s="3089">
        <f>B119</f>
        <v>0.95379999999999998</v>
      </c>
      <c r="D119" s="3089">
        <f>ROUND(0.9415-0.0142*B116,4)</f>
        <v>0.89180000000000004</v>
      </c>
      <c r="E119" s="3089">
        <f t="shared" ref="E119:H120" si="37">D119</f>
        <v>0.89180000000000004</v>
      </c>
      <c r="F119" s="3089">
        <f t="shared" si="37"/>
        <v>0.89180000000000004</v>
      </c>
      <c r="G119" s="3089">
        <f t="shared" si="37"/>
        <v>0.89180000000000004</v>
      </c>
      <c r="H119" s="3089">
        <f t="shared" si="37"/>
        <v>0.89180000000000004</v>
      </c>
      <c r="I119" s="3089">
        <f>ROUND(0.838-0.0182*B116,4)</f>
        <v>0.77429999999999999</v>
      </c>
      <c r="J119" s="3089">
        <f t="shared" si="36"/>
        <v>0.77429999999999999</v>
      </c>
      <c r="K119" s="3089">
        <f t="shared" si="36"/>
        <v>0.77429999999999999</v>
      </c>
      <c r="L119" s="3089">
        <f t="shared" si="36"/>
        <v>0.77429999999999999</v>
      </c>
      <c r="M119" s="3109">
        <f t="shared" si="36"/>
        <v>0.77429999999999999</v>
      </c>
      <c r="N119" s="3097"/>
    </row>
    <row r="120" spans="1:14">
      <c r="A120" s="3057" t="s">
        <v>3321</v>
      </c>
      <c r="B120" s="3089">
        <f>ROUND(0.9448-0.0115*B116,4)</f>
        <v>0.90459999999999996</v>
      </c>
      <c r="C120" s="3089">
        <f>B120</f>
        <v>0.90459999999999996</v>
      </c>
      <c r="D120" s="3089">
        <f>ROUND(0.937-0.0145*B116,4)</f>
        <v>0.88629999999999998</v>
      </c>
      <c r="E120" s="3089">
        <f t="shared" si="37"/>
        <v>0.88629999999999998</v>
      </c>
      <c r="F120" s="3089">
        <f t="shared" si="37"/>
        <v>0.88629999999999998</v>
      </c>
      <c r="G120" s="3089">
        <f t="shared" si="37"/>
        <v>0.88629999999999998</v>
      </c>
      <c r="H120" s="3089">
        <f t="shared" si="37"/>
        <v>0.88629999999999998</v>
      </c>
      <c r="I120" s="3089">
        <f>ROUND(0.7965-0.0185*B116,4)</f>
        <v>0.73180000000000001</v>
      </c>
      <c r="J120" s="3089">
        <f t="shared" si="36"/>
        <v>0.73180000000000001</v>
      </c>
      <c r="K120" s="3089">
        <f t="shared" si="36"/>
        <v>0.73180000000000001</v>
      </c>
      <c r="L120" s="3089">
        <f t="shared" si="36"/>
        <v>0.73180000000000001</v>
      </c>
      <c r="M120" s="3109">
        <f t="shared" si="36"/>
        <v>0.73180000000000001</v>
      </c>
      <c r="N120" s="3097"/>
    </row>
    <row r="121" spans="1:14" ht="13.5" thickBot="1">
      <c r="A121" s="3110" t="s">
        <v>3322</v>
      </c>
      <c r="B121" s="3111">
        <f>ROUND(0.7836-0.012*B116,4)</f>
        <v>0.74160000000000004</v>
      </c>
      <c r="C121" s="3111">
        <f>B121</f>
        <v>0.74160000000000004</v>
      </c>
      <c r="D121" s="3111">
        <f>ROUND(0.753-0.015*B116,4)</f>
        <v>0.70050000000000001</v>
      </c>
      <c r="E121" s="3111">
        <f>D121</f>
        <v>0.70050000000000001</v>
      </c>
      <c r="F121" s="3111">
        <f>E121</f>
        <v>0.70050000000000001</v>
      </c>
      <c r="G121" s="3111">
        <f>ROUND(0.6612-0.018*B116,4)</f>
        <v>0.59819999999999995</v>
      </c>
      <c r="H121" s="3111">
        <f>G121</f>
        <v>0.59819999999999995</v>
      </c>
      <c r="I121" s="3111">
        <f>ROUND(0.5905-0.019*B116,4)</f>
        <v>0.52400000000000002</v>
      </c>
      <c r="J121" s="3111">
        <f t="shared" si="36"/>
        <v>0.52400000000000002</v>
      </c>
      <c r="K121" s="3111">
        <f t="shared" si="36"/>
        <v>0.52400000000000002</v>
      </c>
      <c r="L121" s="3111">
        <f t="shared" si="36"/>
        <v>0.52400000000000002</v>
      </c>
      <c r="M121" s="3112">
        <f t="shared" si="36"/>
        <v>0.52400000000000002</v>
      </c>
      <c r="N121" s="3097"/>
    </row>
    <row r="122" spans="1:14">
      <c r="A122" s="3113" t="s">
        <v>2603</v>
      </c>
      <c r="B122" s="3089">
        <f>ROUND(0.9404-0.0106*B116,4)</f>
        <v>0.90329999999999999</v>
      </c>
      <c r="C122" s="3089">
        <f>B122</f>
        <v>0.90329999999999999</v>
      </c>
      <c r="D122" s="3089">
        <f>ROUND(0.8955-0.0135*B116,4)</f>
        <v>0.84830000000000005</v>
      </c>
      <c r="E122" s="3089">
        <f t="shared" ref="E122:H122" si="38">D122</f>
        <v>0.84830000000000005</v>
      </c>
      <c r="F122" s="3089">
        <f t="shared" si="38"/>
        <v>0.84830000000000005</v>
      </c>
      <c r="G122" s="3089">
        <f t="shared" si="38"/>
        <v>0.84830000000000005</v>
      </c>
      <c r="H122" s="3089">
        <f t="shared" si="38"/>
        <v>0.84830000000000005</v>
      </c>
      <c r="I122" s="3089">
        <f>ROUND(0.7632-0.0166*B116,4)</f>
        <v>0.70509999999999995</v>
      </c>
      <c r="J122" s="3089">
        <f t="shared" si="36"/>
        <v>0.70509999999999995</v>
      </c>
      <c r="K122" s="3089">
        <f t="shared" si="36"/>
        <v>0.70509999999999995</v>
      </c>
      <c r="L122" s="3089">
        <f t="shared" si="36"/>
        <v>0.70509999999999995</v>
      </c>
      <c r="M122" s="3109">
        <f t="shared" si="36"/>
        <v>0.70509999999999995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486" t="s">
        <v>2598</v>
      </c>
      <c r="B20" s="3479" t="s">
        <v>2619</v>
      </c>
      <c r="C20" s="2842" t="s">
        <v>2430</v>
      </c>
      <c r="D20" s="2843"/>
      <c r="E20" s="2844">
        <v>1</v>
      </c>
      <c r="F20" s="2845" t="s">
        <v>2431</v>
      </c>
      <c r="G20" s="2845"/>
    </row>
    <row r="21" spans="1:13" ht="19.5" customHeight="1">
      <c r="A21" s="3487"/>
      <c r="B21" s="3480"/>
      <c r="C21" s="2846" t="s">
        <v>2432</v>
      </c>
      <c r="D21" s="2847"/>
      <c r="E21" s="2848">
        <v>1</v>
      </c>
      <c r="F21" s="2845" t="s">
        <v>2433</v>
      </c>
      <c r="G21" s="2845"/>
    </row>
    <row r="22" spans="1:13" ht="19.5" customHeight="1">
      <c r="A22" s="3487"/>
      <c r="B22" s="3480"/>
      <c r="C22" s="2846" t="s">
        <v>2434</v>
      </c>
      <c r="D22" s="2847"/>
      <c r="E22" s="2848">
        <v>0.9</v>
      </c>
      <c r="F22" s="2845" t="s">
        <v>2435</v>
      </c>
      <c r="G22" s="2845"/>
    </row>
    <row r="23" spans="1:13" ht="19.5" customHeight="1">
      <c r="A23" s="3487"/>
      <c r="B23" s="3480"/>
      <c r="C23" s="2846" t="s">
        <v>2436</v>
      </c>
      <c r="D23" s="2847"/>
      <c r="E23" s="2848">
        <v>0.9</v>
      </c>
      <c r="F23" s="2845" t="s">
        <v>2437</v>
      </c>
      <c r="G23" s="2845"/>
    </row>
    <row r="24" spans="1:13" ht="19.5" customHeight="1">
      <c r="A24" s="3487"/>
      <c r="B24" s="3480"/>
      <c r="C24" s="2846" t="s">
        <v>2438</v>
      </c>
      <c r="D24" s="2847"/>
      <c r="E24" s="2848">
        <v>0.8</v>
      </c>
      <c r="F24" s="2845" t="s">
        <v>2439</v>
      </c>
      <c r="G24" s="2845"/>
    </row>
    <row r="25" spans="1:13" ht="19.5" customHeight="1" thickBot="1">
      <c r="A25" s="3488"/>
      <c r="B25" s="3481"/>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482" t="s">
        <v>2622</v>
      </c>
      <c r="B27" s="3479" t="s">
        <v>2603</v>
      </c>
      <c r="C27" s="2842" t="s">
        <v>2443</v>
      </c>
      <c r="D27" s="2843"/>
      <c r="E27" s="2844">
        <v>1</v>
      </c>
      <c r="F27" s="2845" t="s">
        <v>2444</v>
      </c>
      <c r="G27" s="2845"/>
    </row>
    <row r="28" spans="1:13" ht="19.5" customHeight="1">
      <c r="A28" s="3483"/>
      <c r="B28" s="3480"/>
      <c r="C28" s="2846" t="s">
        <v>2445</v>
      </c>
      <c r="D28" s="2847"/>
      <c r="E28" s="2848">
        <v>1</v>
      </c>
      <c r="F28" s="2845" t="s">
        <v>2446</v>
      </c>
      <c r="G28" s="2845"/>
    </row>
    <row r="29" spans="1:13" ht="19.5" customHeight="1">
      <c r="A29" s="3483"/>
      <c r="B29" s="3480"/>
      <c r="C29" s="2846" t="s">
        <v>2447</v>
      </c>
      <c r="D29" s="2847"/>
      <c r="E29" s="2848">
        <v>0.8</v>
      </c>
      <c r="F29" s="2845" t="s">
        <v>2448</v>
      </c>
      <c r="G29" s="2845"/>
    </row>
    <row r="30" spans="1:13" ht="19.5" customHeight="1">
      <c r="A30" s="3483"/>
      <c r="B30" s="3480"/>
      <c r="C30" s="2846" t="s">
        <v>2449</v>
      </c>
      <c r="D30" s="2847"/>
      <c r="E30" s="2848">
        <v>0.8</v>
      </c>
      <c r="F30" s="2845" t="s">
        <v>2450</v>
      </c>
      <c r="G30" s="2845"/>
    </row>
    <row r="31" spans="1:13" ht="19.5" customHeight="1">
      <c r="A31" s="3483"/>
      <c r="B31" s="3480"/>
      <c r="C31" s="2846" t="s">
        <v>2451</v>
      </c>
      <c r="D31" s="2847"/>
      <c r="E31" s="2848">
        <v>0.8</v>
      </c>
      <c r="F31" s="2845" t="s">
        <v>2452</v>
      </c>
      <c r="G31" s="2845"/>
    </row>
    <row r="32" spans="1:13" ht="19.5" customHeight="1">
      <c r="A32" s="3483"/>
      <c r="B32" s="3480"/>
      <c r="C32" s="2846" t="s">
        <v>2453</v>
      </c>
      <c r="D32" s="2847"/>
      <c r="E32" s="2848">
        <v>0.7</v>
      </c>
      <c r="F32" s="2845" t="s">
        <v>2454</v>
      </c>
      <c r="G32" s="2845"/>
    </row>
    <row r="33" spans="1:7" ht="19.5" customHeight="1">
      <c r="A33" s="3483"/>
      <c r="B33" s="3480"/>
      <c r="C33" s="2846" t="s">
        <v>2455</v>
      </c>
      <c r="D33" s="2847"/>
      <c r="E33" s="2848">
        <v>0.8</v>
      </c>
      <c r="F33" s="2845" t="s">
        <v>2456</v>
      </c>
      <c r="G33" s="2845"/>
    </row>
    <row r="34" spans="1:7" ht="19.5" customHeight="1">
      <c r="A34" s="3483"/>
      <c r="B34" s="3480"/>
      <c r="C34" s="2846" t="s">
        <v>2457</v>
      </c>
      <c r="D34" s="2847"/>
      <c r="E34" s="2848">
        <v>0.6</v>
      </c>
      <c r="F34" s="2845" t="s">
        <v>2458</v>
      </c>
      <c r="G34" s="2845"/>
    </row>
    <row r="35" spans="1:7" ht="19.5" customHeight="1">
      <c r="A35" s="3483"/>
      <c r="B35" s="3480"/>
      <c r="C35" s="2846" t="s">
        <v>2459</v>
      </c>
      <c r="D35" s="2847"/>
      <c r="E35" s="2848">
        <v>0.2</v>
      </c>
      <c r="F35" s="2845" t="s">
        <v>2460</v>
      </c>
      <c r="G35" s="2845"/>
    </row>
    <row r="36" spans="1:7" ht="19.5" customHeight="1">
      <c r="A36" s="3483"/>
      <c r="B36" s="3480"/>
      <c r="C36" s="2846" t="s">
        <v>2461</v>
      </c>
      <c r="D36" s="2847"/>
      <c r="E36" s="2848">
        <v>0.2</v>
      </c>
      <c r="F36" s="2845" t="s">
        <v>2462</v>
      </c>
      <c r="G36" s="2845"/>
    </row>
    <row r="37" spans="1:7" ht="19.5" customHeight="1">
      <c r="A37" s="3483"/>
      <c r="B37" s="3485" t="s">
        <v>2623</v>
      </c>
      <c r="C37" s="2846" t="s">
        <v>2463</v>
      </c>
      <c r="D37" s="2847"/>
      <c r="E37" s="2848">
        <v>0.6</v>
      </c>
      <c r="F37" s="2845" t="s">
        <v>2464</v>
      </c>
      <c r="G37" s="2845"/>
    </row>
    <row r="38" spans="1:7" ht="19.5" customHeight="1">
      <c r="A38" s="3483"/>
      <c r="B38" s="3480"/>
      <c r="C38" s="2846" t="s">
        <v>2465</v>
      </c>
      <c r="D38" s="2847"/>
      <c r="E38" s="2848">
        <v>0.6</v>
      </c>
      <c r="F38" s="2845" t="s">
        <v>2466</v>
      </c>
      <c r="G38" s="2845"/>
    </row>
    <row r="39" spans="1:7" ht="19.5" customHeight="1" thickBot="1">
      <c r="A39" s="3484"/>
      <c r="B39" s="3481"/>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486" t="s">
        <v>2601</v>
      </c>
      <c r="B41" s="3479" t="s">
        <v>2625</v>
      </c>
      <c r="C41" s="2842" t="s">
        <v>2470</v>
      </c>
      <c r="D41" s="2843"/>
      <c r="E41" s="2844">
        <v>1</v>
      </c>
      <c r="F41" s="2845" t="s">
        <v>2471</v>
      </c>
      <c r="G41" s="2845"/>
    </row>
    <row r="42" spans="1:7" ht="19.5" customHeight="1">
      <c r="A42" s="3487"/>
      <c r="B42" s="3480"/>
      <c r="C42" s="2846" t="s">
        <v>2472</v>
      </c>
      <c r="D42" s="2847"/>
      <c r="E42" s="2848">
        <v>1</v>
      </c>
      <c r="F42" s="2845" t="s">
        <v>2473</v>
      </c>
      <c r="G42" s="2845"/>
    </row>
    <row r="43" spans="1:7" ht="19.5" customHeight="1">
      <c r="A43" s="3487"/>
      <c r="B43" s="3489"/>
      <c r="C43" s="2846" t="s">
        <v>2474</v>
      </c>
      <c r="D43" s="2847"/>
      <c r="E43" s="2848">
        <v>1.5</v>
      </c>
      <c r="F43" s="2845" t="s">
        <v>2475</v>
      </c>
      <c r="G43" s="2845"/>
    </row>
    <row r="44" spans="1:7" ht="19.5" customHeight="1">
      <c r="A44" s="3487"/>
      <c r="B44" s="2857" t="s">
        <v>2626</v>
      </c>
      <c r="C44" s="2846" t="s">
        <v>2627</v>
      </c>
      <c r="D44" s="2847"/>
      <c r="E44" s="2848">
        <v>2</v>
      </c>
      <c r="F44" s="2845" t="s">
        <v>2476</v>
      </c>
      <c r="G44" s="2845"/>
    </row>
    <row r="45" spans="1:7" ht="19.5" customHeight="1">
      <c r="A45" s="3487"/>
      <c r="B45" s="3485" t="s">
        <v>2628</v>
      </c>
      <c r="C45" s="2846" t="s">
        <v>2477</v>
      </c>
      <c r="D45" s="2847"/>
      <c r="E45" s="2848">
        <v>1</v>
      </c>
      <c r="F45" s="2845" t="s">
        <v>2478</v>
      </c>
      <c r="G45" s="2845"/>
    </row>
    <row r="46" spans="1:7" ht="19.5" customHeight="1">
      <c r="A46" s="3487"/>
      <c r="B46" s="3480"/>
      <c r="C46" s="2846" t="s">
        <v>2479</v>
      </c>
      <c r="D46" s="2847"/>
      <c r="E46" s="2848">
        <v>1</v>
      </c>
      <c r="F46" s="2845" t="s">
        <v>2480</v>
      </c>
      <c r="G46" s="2845"/>
    </row>
    <row r="47" spans="1:7" ht="19.5" customHeight="1">
      <c r="A47" s="3487"/>
      <c r="B47" s="3480"/>
      <c r="C47" s="2846" t="s">
        <v>2481</v>
      </c>
      <c r="D47" s="2847"/>
      <c r="E47" s="2848">
        <v>1</v>
      </c>
      <c r="F47" s="2845" t="s">
        <v>2482</v>
      </c>
      <c r="G47" s="2845"/>
    </row>
    <row r="48" spans="1:7" ht="19.5" customHeight="1">
      <c r="A48" s="3487"/>
      <c r="B48" s="3480"/>
      <c r="C48" s="2846" t="s">
        <v>2483</v>
      </c>
      <c r="D48" s="2847"/>
      <c r="E48" s="2848">
        <v>1</v>
      </c>
      <c r="F48" s="2845" t="s">
        <v>2484</v>
      </c>
      <c r="G48" s="2845"/>
    </row>
    <row r="49" spans="1:7" ht="19.5" customHeight="1">
      <c r="A49" s="3487"/>
      <c r="B49" s="3480"/>
      <c r="C49" s="2846" t="s">
        <v>2485</v>
      </c>
      <c r="D49" s="2847"/>
      <c r="E49" s="2848">
        <v>1</v>
      </c>
      <c r="F49" s="2845" t="s">
        <v>2486</v>
      </c>
      <c r="G49" s="2845"/>
    </row>
    <row r="50" spans="1:7" ht="19.5" customHeight="1">
      <c r="A50" s="3487"/>
      <c r="B50" s="3480"/>
      <c r="C50" s="2846" t="s">
        <v>2487</v>
      </c>
      <c r="D50" s="2847"/>
      <c r="E50" s="2848">
        <v>1</v>
      </c>
      <c r="F50" s="2845" t="s">
        <v>2488</v>
      </c>
      <c r="G50" s="2845"/>
    </row>
    <row r="51" spans="1:7" ht="19.5" customHeight="1" thickBot="1">
      <c r="A51" s="3488"/>
      <c r="B51" s="3481"/>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485" t="s">
        <v>2642</v>
      </c>
      <c r="C73" s="2831" t="s">
        <v>2643</v>
      </c>
      <c r="D73" s="2831" t="s">
        <v>2644</v>
      </c>
      <c r="E73" s="2857">
        <v>0.2</v>
      </c>
      <c r="F73" s="2857">
        <v>25</v>
      </c>
    </row>
    <row r="74" spans="1:7" ht="24">
      <c r="A74" s="2857">
        <v>2</v>
      </c>
      <c r="B74" s="3480"/>
      <c r="C74" s="2831" t="s">
        <v>2645</v>
      </c>
      <c r="D74" s="2831" t="s">
        <v>2646</v>
      </c>
      <c r="E74" s="2857">
        <v>0.2</v>
      </c>
      <c r="F74" s="2857">
        <v>25</v>
      </c>
    </row>
    <row r="75" spans="1:7" ht="24">
      <c r="A75" s="2857">
        <v>3</v>
      </c>
      <c r="B75" s="3480"/>
      <c r="C75" s="2831" t="s">
        <v>2647</v>
      </c>
      <c r="D75" s="2831" t="s">
        <v>2648</v>
      </c>
      <c r="E75" s="2857">
        <v>0.2</v>
      </c>
      <c r="F75" s="2857">
        <v>25</v>
      </c>
    </row>
    <row r="76" spans="1:7" ht="13.5">
      <c r="A76" s="2857">
        <v>4</v>
      </c>
      <c r="B76" s="3480"/>
      <c r="C76" s="2831" t="s">
        <v>2649</v>
      </c>
      <c r="D76" s="2831" t="s">
        <v>2650</v>
      </c>
      <c r="E76" s="2857">
        <v>0.15</v>
      </c>
      <c r="F76" s="2857">
        <v>20</v>
      </c>
    </row>
    <row r="77" spans="1:7" ht="24">
      <c r="A77" s="2857">
        <v>5</v>
      </c>
      <c r="B77" s="3480"/>
      <c r="C77" s="2831" t="s">
        <v>2651</v>
      </c>
      <c r="D77" s="2831" t="s">
        <v>2652</v>
      </c>
      <c r="E77" s="2857">
        <v>0.15</v>
      </c>
      <c r="F77" s="2857">
        <v>20</v>
      </c>
    </row>
    <row r="78" spans="1:7" ht="24">
      <c r="A78" s="2857">
        <v>6</v>
      </c>
      <c r="B78" s="3480"/>
      <c r="C78" s="2831" t="s">
        <v>2653</v>
      </c>
      <c r="D78" s="2831" t="s">
        <v>2654</v>
      </c>
      <c r="E78" s="2857">
        <v>0.15</v>
      </c>
      <c r="F78" s="2857">
        <v>20</v>
      </c>
    </row>
    <row r="79" spans="1:7" ht="24">
      <c r="A79" s="2857">
        <v>7</v>
      </c>
      <c r="B79" s="3480"/>
      <c r="C79" s="2831" t="s">
        <v>2655</v>
      </c>
      <c r="D79" s="2831" t="s">
        <v>2656</v>
      </c>
      <c r="E79" s="2857">
        <v>0.15</v>
      </c>
      <c r="F79" s="2857">
        <v>20</v>
      </c>
    </row>
    <row r="80" spans="1:7" ht="24">
      <c r="A80" s="2857">
        <v>8</v>
      </c>
      <c r="B80" s="3480"/>
      <c r="C80" s="2831" t="s">
        <v>2657</v>
      </c>
      <c r="D80" s="2831" t="s">
        <v>2658</v>
      </c>
      <c r="E80" s="2857">
        <v>0.1</v>
      </c>
      <c r="F80" s="2857">
        <v>15</v>
      </c>
    </row>
    <row r="81" spans="1:6" ht="24">
      <c r="A81" s="2857">
        <v>9</v>
      </c>
      <c r="B81" s="3480"/>
      <c r="C81" s="2831" t="s">
        <v>2659</v>
      </c>
      <c r="D81" s="2831" t="s">
        <v>2660</v>
      </c>
      <c r="E81" s="2857">
        <v>0.1</v>
      </c>
      <c r="F81" s="2857">
        <v>15</v>
      </c>
    </row>
    <row r="82" spans="1:6" ht="24">
      <c r="A82" s="2857">
        <v>10</v>
      </c>
      <c r="B82" s="3480"/>
      <c r="C82" s="2831" t="s">
        <v>2661</v>
      </c>
      <c r="D82" s="2831" t="s">
        <v>2662</v>
      </c>
      <c r="E82" s="2857">
        <v>0.1</v>
      </c>
      <c r="F82" s="2857">
        <v>15</v>
      </c>
    </row>
    <row r="83" spans="1:6" ht="24">
      <c r="A83" s="2857">
        <v>11</v>
      </c>
      <c r="B83" s="3480"/>
      <c r="C83" s="2831" t="s">
        <v>2663</v>
      </c>
      <c r="D83" s="2831" t="s">
        <v>2664</v>
      </c>
      <c r="E83" s="2857">
        <v>0.1</v>
      </c>
      <c r="F83" s="2857">
        <v>15</v>
      </c>
    </row>
    <row r="84" spans="1:6" ht="24">
      <c r="A84" s="2857">
        <v>12</v>
      </c>
      <c r="B84" s="3480"/>
      <c r="C84" s="2831" t="s">
        <v>2665</v>
      </c>
      <c r="D84" s="2831" t="s">
        <v>2666</v>
      </c>
      <c r="E84" s="2857">
        <v>0.1</v>
      </c>
      <c r="F84" s="2857">
        <v>15</v>
      </c>
    </row>
    <row r="85" spans="1:6" ht="13.5">
      <c r="A85" s="2857">
        <v>13</v>
      </c>
      <c r="B85" s="3480"/>
      <c r="C85" s="2831" t="s">
        <v>2667</v>
      </c>
      <c r="D85" s="2831" t="s">
        <v>2668</v>
      </c>
      <c r="E85" s="2857">
        <v>0.1</v>
      </c>
      <c r="F85" s="2857">
        <v>15</v>
      </c>
    </row>
    <row r="86" spans="1:6" ht="13.5">
      <c r="A86" s="2857">
        <v>14</v>
      </c>
      <c r="B86" s="3480"/>
      <c r="C86" s="2831" t="s">
        <v>2669</v>
      </c>
      <c r="D86" s="2831" t="s">
        <v>2670</v>
      </c>
      <c r="E86" s="2857">
        <v>0.1</v>
      </c>
      <c r="F86" s="2857">
        <v>15</v>
      </c>
    </row>
    <row r="87" spans="1:6" ht="13.5">
      <c r="A87" s="2857">
        <v>15</v>
      </c>
      <c r="B87" s="3480"/>
      <c r="C87" s="2831" t="s">
        <v>2671</v>
      </c>
      <c r="D87" s="2831" t="s">
        <v>2672</v>
      </c>
      <c r="E87" s="2857">
        <v>0.1</v>
      </c>
      <c r="F87" s="2857">
        <v>15</v>
      </c>
    </row>
    <row r="88" spans="1:6" ht="24">
      <c r="A88" s="2857">
        <v>16</v>
      </c>
      <c r="B88" s="3480"/>
      <c r="C88" s="2831" t="s">
        <v>2673</v>
      </c>
      <c r="D88" s="2831" t="s">
        <v>2674</v>
      </c>
      <c r="E88" s="2857">
        <v>0.1</v>
      </c>
      <c r="F88" s="2857">
        <v>15</v>
      </c>
    </row>
    <row r="89" spans="1:6" ht="24">
      <c r="A89" s="2857">
        <v>17</v>
      </c>
      <c r="B89" s="3489"/>
      <c r="C89" s="2831" t="s">
        <v>2675</v>
      </c>
      <c r="D89" s="2831" t="s">
        <v>2676</v>
      </c>
      <c r="E89" s="2857">
        <v>0.1</v>
      </c>
      <c r="F89" s="2857">
        <v>15</v>
      </c>
    </row>
    <row r="90" spans="1:6" ht="13.5">
      <c r="A90" s="2857">
        <v>18</v>
      </c>
      <c r="B90" s="3485" t="s">
        <v>2677</v>
      </c>
      <c r="C90" s="2831" t="s">
        <v>2678</v>
      </c>
      <c r="D90" s="2831" t="s">
        <v>2679</v>
      </c>
      <c r="E90" s="2857">
        <v>0.2</v>
      </c>
      <c r="F90" s="2857">
        <v>25</v>
      </c>
    </row>
    <row r="91" spans="1:6" ht="24">
      <c r="A91" s="2857">
        <v>19</v>
      </c>
      <c r="B91" s="3480"/>
      <c r="C91" s="2831" t="s">
        <v>2680</v>
      </c>
      <c r="D91" s="2831" t="s">
        <v>2681</v>
      </c>
      <c r="E91" s="2857">
        <v>0.2</v>
      </c>
      <c r="F91" s="2857">
        <v>25</v>
      </c>
    </row>
    <row r="92" spans="1:6" ht="13.5">
      <c r="A92" s="2857">
        <v>20</v>
      </c>
      <c r="B92" s="3480"/>
      <c r="C92" s="2831" t="s">
        <v>2682</v>
      </c>
      <c r="D92" s="2831" t="s">
        <v>2683</v>
      </c>
      <c r="E92" s="2857">
        <v>0.15</v>
      </c>
      <c r="F92" s="2857">
        <v>20</v>
      </c>
    </row>
    <row r="93" spans="1:6" ht="13.5">
      <c r="A93" s="2857">
        <v>21</v>
      </c>
      <c r="B93" s="3480"/>
      <c r="C93" s="2831" t="s">
        <v>2684</v>
      </c>
      <c r="D93" s="2831" t="s">
        <v>2685</v>
      </c>
      <c r="E93" s="2857">
        <v>0.15</v>
      </c>
      <c r="F93" s="2857">
        <v>20</v>
      </c>
    </row>
    <row r="94" spans="1:6" ht="13.5">
      <c r="A94" s="2857">
        <v>22</v>
      </c>
      <c r="B94" s="3480"/>
      <c r="C94" s="2831" t="s">
        <v>2686</v>
      </c>
      <c r="D94" s="2831" t="s">
        <v>2687</v>
      </c>
      <c r="E94" s="2857">
        <v>0.15</v>
      </c>
      <c r="F94" s="2857">
        <v>20</v>
      </c>
    </row>
    <row r="95" spans="1:6" ht="36">
      <c r="A95" s="2857">
        <v>23</v>
      </c>
      <c r="B95" s="3480"/>
      <c r="C95" s="2831" t="s">
        <v>2688</v>
      </c>
      <c r="D95" s="2831" t="s">
        <v>2689</v>
      </c>
      <c r="E95" s="2857">
        <v>0.15</v>
      </c>
      <c r="F95" s="2857">
        <v>20</v>
      </c>
    </row>
    <row r="96" spans="1:6" ht="13.5">
      <c r="A96" s="2857">
        <v>24</v>
      </c>
      <c r="B96" s="3480"/>
      <c r="C96" s="2831" t="s">
        <v>2690</v>
      </c>
      <c r="D96" s="2831" t="s">
        <v>2691</v>
      </c>
      <c r="E96" s="2857">
        <v>0.1</v>
      </c>
      <c r="F96" s="2857">
        <v>15</v>
      </c>
    </row>
    <row r="97" spans="1:6" ht="13.5">
      <c r="A97" s="2857">
        <v>25</v>
      </c>
      <c r="B97" s="3480"/>
      <c r="C97" s="2831" t="s">
        <v>2692</v>
      </c>
      <c r="D97" s="2831" t="s">
        <v>2693</v>
      </c>
      <c r="E97" s="2857">
        <v>0.1</v>
      </c>
      <c r="F97" s="2857">
        <v>15</v>
      </c>
    </row>
    <row r="98" spans="1:6" ht="24">
      <c r="A98" s="2857">
        <v>26</v>
      </c>
      <c r="B98" s="3480"/>
      <c r="C98" s="2831" t="s">
        <v>2694</v>
      </c>
      <c r="D98" s="2831" t="s">
        <v>2695</v>
      </c>
      <c r="E98" s="2857">
        <v>0.1</v>
      </c>
      <c r="F98" s="2857">
        <v>15</v>
      </c>
    </row>
    <row r="99" spans="1:6" ht="24">
      <c r="A99" s="2857">
        <v>27</v>
      </c>
      <c r="B99" s="3480"/>
      <c r="C99" s="2831" t="s">
        <v>2696</v>
      </c>
      <c r="D99" s="2831" t="s">
        <v>2697</v>
      </c>
      <c r="E99" s="2857">
        <v>0.1</v>
      </c>
      <c r="F99" s="2857">
        <v>15</v>
      </c>
    </row>
    <row r="100" spans="1:6" ht="13.5">
      <c r="A100" s="2857">
        <v>28</v>
      </c>
      <c r="B100" s="3480"/>
      <c r="C100" s="2831" t="s">
        <v>2698</v>
      </c>
      <c r="D100" s="2831" t="s">
        <v>2699</v>
      </c>
      <c r="E100" s="2857">
        <v>0.1</v>
      </c>
      <c r="F100" s="2857">
        <v>15</v>
      </c>
    </row>
    <row r="101" spans="1:6" ht="13.5">
      <c r="A101" s="2857">
        <v>29</v>
      </c>
      <c r="B101" s="3480"/>
      <c r="C101" s="2831" t="s">
        <v>2700</v>
      </c>
      <c r="D101" s="2831" t="s">
        <v>2701</v>
      </c>
      <c r="E101" s="2857">
        <v>0.1</v>
      </c>
      <c r="F101" s="2857">
        <v>15</v>
      </c>
    </row>
    <row r="102" spans="1:6" ht="13.5">
      <c r="A102" s="2857">
        <v>30</v>
      </c>
      <c r="B102" s="3480"/>
      <c r="C102" s="2831" t="s">
        <v>2702</v>
      </c>
      <c r="D102" s="2831" t="s">
        <v>2703</v>
      </c>
      <c r="E102" s="2857">
        <v>0.1</v>
      </c>
      <c r="F102" s="2857">
        <v>15</v>
      </c>
    </row>
    <row r="103" spans="1:6" ht="24">
      <c r="A103" s="2857">
        <v>31</v>
      </c>
      <c r="B103" s="3480"/>
      <c r="C103" s="2831" t="s">
        <v>2704</v>
      </c>
      <c r="D103" s="2831" t="s">
        <v>2705</v>
      </c>
      <c r="E103" s="2857">
        <v>0.1</v>
      </c>
      <c r="F103" s="2857">
        <v>15</v>
      </c>
    </row>
    <row r="104" spans="1:6" ht="24">
      <c r="A104" s="2857">
        <v>32</v>
      </c>
      <c r="B104" s="3480"/>
      <c r="C104" s="2831" t="s">
        <v>2706</v>
      </c>
      <c r="D104" s="2831" t="s">
        <v>2707</v>
      </c>
      <c r="E104" s="2857">
        <v>0.1</v>
      </c>
      <c r="F104" s="2857">
        <v>15</v>
      </c>
    </row>
    <row r="105" spans="1:6" ht="24">
      <c r="A105" s="2857">
        <v>33</v>
      </c>
      <c r="B105" s="3480"/>
      <c r="C105" s="2831" t="s">
        <v>2708</v>
      </c>
      <c r="D105" s="2831" t="s">
        <v>2709</v>
      </c>
      <c r="E105" s="2857">
        <v>0.1</v>
      </c>
      <c r="F105" s="2857">
        <v>15</v>
      </c>
    </row>
    <row r="106" spans="1:6" ht="24">
      <c r="A106" s="2857">
        <v>34</v>
      </c>
      <c r="B106" s="3489"/>
      <c r="C106" s="2831" t="s">
        <v>2710</v>
      </c>
      <c r="D106" s="2831" t="s">
        <v>2711</v>
      </c>
      <c r="E106" s="2857">
        <v>0.1</v>
      </c>
      <c r="F106" s="2857">
        <v>15</v>
      </c>
    </row>
    <row r="107" spans="1:6" ht="24">
      <c r="A107" s="2857">
        <v>35</v>
      </c>
      <c r="B107" s="3485" t="s">
        <v>2712</v>
      </c>
      <c r="C107" s="2857" t="s">
        <v>2713</v>
      </c>
      <c r="D107" s="2831" t="s">
        <v>2714</v>
      </c>
      <c r="E107" s="2857">
        <v>0.15</v>
      </c>
      <c r="F107" s="2857">
        <v>20</v>
      </c>
    </row>
    <row r="108" spans="1:6" ht="13.5">
      <c r="A108" s="2857">
        <v>36</v>
      </c>
      <c r="B108" s="3480"/>
      <c r="C108" s="2857" t="s">
        <v>2715</v>
      </c>
      <c r="D108" s="2831" t="s">
        <v>2716</v>
      </c>
      <c r="E108" s="2857">
        <v>0.15</v>
      </c>
      <c r="F108" s="2857">
        <v>20</v>
      </c>
    </row>
    <row r="109" spans="1:6" ht="13.5">
      <c r="A109" s="2857">
        <v>37</v>
      </c>
      <c r="B109" s="3480"/>
      <c r="C109" s="2857" t="s">
        <v>2717</v>
      </c>
      <c r="D109" s="2831" t="s">
        <v>2718</v>
      </c>
      <c r="E109" s="2857">
        <v>0.15</v>
      </c>
      <c r="F109" s="2857">
        <v>20</v>
      </c>
    </row>
    <row r="110" spans="1:6" ht="13.5">
      <c r="A110" s="2857">
        <v>38</v>
      </c>
      <c r="B110" s="3480"/>
      <c r="C110" s="2857" t="s">
        <v>2719</v>
      </c>
      <c r="D110" s="2831" t="s">
        <v>2720</v>
      </c>
      <c r="E110" s="2857">
        <v>0.1</v>
      </c>
      <c r="F110" s="2857">
        <v>15</v>
      </c>
    </row>
    <row r="111" spans="1:6" ht="24">
      <c r="A111" s="2857">
        <v>39</v>
      </c>
      <c r="B111" s="3480"/>
      <c r="C111" s="2857" t="s">
        <v>2721</v>
      </c>
      <c r="D111" s="2831" t="s">
        <v>2722</v>
      </c>
      <c r="E111" s="2857">
        <v>0.1</v>
      </c>
      <c r="F111" s="2857">
        <v>15</v>
      </c>
    </row>
    <row r="112" spans="1:6" ht="24">
      <c r="A112" s="2857">
        <v>40</v>
      </c>
      <c r="B112" s="3489"/>
      <c r="C112" s="2857" t="s">
        <v>2723</v>
      </c>
      <c r="D112" s="2831" t="s">
        <v>2724</v>
      </c>
      <c r="E112" s="2857">
        <v>0.1</v>
      </c>
      <c r="F112" s="2857">
        <v>15</v>
      </c>
    </row>
    <row r="113" spans="1:6" ht="13.5">
      <c r="A113" s="2857">
        <v>41</v>
      </c>
      <c r="B113" s="3490" t="s">
        <v>2725</v>
      </c>
      <c r="C113" s="2857" t="s">
        <v>2726</v>
      </c>
      <c r="D113" s="2831" t="s">
        <v>2727</v>
      </c>
      <c r="E113" s="2857">
        <v>0.1</v>
      </c>
      <c r="F113" s="2857">
        <v>15</v>
      </c>
    </row>
    <row r="114" spans="1:6" ht="13.5">
      <c r="A114" s="2857">
        <v>42</v>
      </c>
      <c r="B114" s="3490"/>
      <c r="C114" s="2857" t="s">
        <v>2728</v>
      </c>
      <c r="D114" s="2831" t="s">
        <v>2729</v>
      </c>
      <c r="E114" s="2857">
        <v>0.1</v>
      </c>
      <c r="F114" s="2857">
        <v>15</v>
      </c>
    </row>
    <row r="115" spans="1:6" ht="24">
      <c r="A115" s="2857">
        <v>43</v>
      </c>
      <c r="B115" s="3490"/>
      <c r="C115" s="2857" t="s">
        <v>2730</v>
      </c>
      <c r="D115" s="2831" t="s">
        <v>2731</v>
      </c>
      <c r="E115" s="2857">
        <v>0.1</v>
      </c>
      <c r="F115" s="2857">
        <v>15</v>
      </c>
    </row>
    <row r="116" spans="1:6" ht="13.5">
      <c r="A116" s="2857">
        <v>44</v>
      </c>
      <c r="B116" s="3485" t="s">
        <v>2732</v>
      </c>
      <c r="C116" s="2857" t="s">
        <v>2733</v>
      </c>
      <c r="D116" s="2831" t="s">
        <v>2734</v>
      </c>
      <c r="E116" s="2857">
        <v>0.1</v>
      </c>
      <c r="F116" s="2857">
        <v>15</v>
      </c>
    </row>
    <row r="117" spans="1:6" ht="24">
      <c r="A117" s="2857">
        <v>45</v>
      </c>
      <c r="B117" s="3489"/>
      <c r="C117" s="2831" t="s">
        <v>2735</v>
      </c>
      <c r="D117" s="2831" t="s">
        <v>2736</v>
      </c>
      <c r="E117" s="2857">
        <v>0.1</v>
      </c>
      <c r="F117" s="2857">
        <v>15</v>
      </c>
    </row>
    <row r="118" spans="1:6" ht="24">
      <c r="A118" s="2857">
        <v>46</v>
      </c>
      <c r="B118" s="3485" t="s">
        <v>2737</v>
      </c>
      <c r="C118" s="2857" t="s">
        <v>2738</v>
      </c>
      <c r="D118" s="2831" t="s">
        <v>2739</v>
      </c>
      <c r="E118" s="2857">
        <v>0.1</v>
      </c>
      <c r="F118" s="2857">
        <v>15</v>
      </c>
    </row>
    <row r="119" spans="1:6" ht="24">
      <c r="A119" s="2857">
        <v>47</v>
      </c>
      <c r="B119" s="3489"/>
      <c r="C119" s="2857" t="s">
        <v>2740</v>
      </c>
      <c r="D119" s="2831" t="s">
        <v>2741</v>
      </c>
      <c r="E119" s="2857">
        <v>0.1</v>
      </c>
      <c r="F119" s="2857">
        <v>15</v>
      </c>
    </row>
    <row r="120" spans="1:6" ht="13.5">
      <c r="A120" s="2857">
        <v>48</v>
      </c>
      <c r="B120" s="3485" t="s">
        <v>2742</v>
      </c>
      <c r="C120" s="2857" t="s">
        <v>2743</v>
      </c>
      <c r="D120" s="2831" t="s">
        <v>2744</v>
      </c>
      <c r="E120" s="2857">
        <v>0.1</v>
      </c>
      <c r="F120" s="2857">
        <v>15</v>
      </c>
    </row>
    <row r="121" spans="1:6" ht="13.5">
      <c r="A121" s="2857">
        <v>49</v>
      </c>
      <c r="B121" s="3489"/>
      <c r="C121" s="2857" t="s">
        <v>2745</v>
      </c>
      <c r="D121" s="2831" t="s">
        <v>2746</v>
      </c>
      <c r="E121" s="2857">
        <v>0.1</v>
      </c>
      <c r="F121" s="2857">
        <v>15</v>
      </c>
    </row>
    <row r="122" spans="1:6" ht="24">
      <c r="A122" s="2857">
        <v>50</v>
      </c>
      <c r="B122" s="3490" t="s">
        <v>2747</v>
      </c>
      <c r="C122" s="2857" t="s">
        <v>2748</v>
      </c>
      <c r="D122" s="2831" t="s">
        <v>2749</v>
      </c>
      <c r="E122" s="2857">
        <v>0.1</v>
      </c>
      <c r="F122" s="2857">
        <v>15</v>
      </c>
    </row>
    <row r="123" spans="1:6" ht="24">
      <c r="A123" s="2857">
        <v>51</v>
      </c>
      <c r="B123" s="3490"/>
      <c r="C123" s="2857" t="s">
        <v>2750</v>
      </c>
      <c r="D123" s="2831" t="s">
        <v>2751</v>
      </c>
      <c r="E123" s="2857">
        <v>0.1</v>
      </c>
      <c r="F123" s="2857">
        <v>15</v>
      </c>
    </row>
    <row r="124" spans="1:6" ht="24">
      <c r="A124" s="2857">
        <v>52</v>
      </c>
      <c r="B124" s="3490" t="s">
        <v>2752</v>
      </c>
      <c r="C124" s="2857" t="s">
        <v>2753</v>
      </c>
      <c r="D124" s="2831" t="s">
        <v>2754</v>
      </c>
      <c r="E124" s="2857">
        <v>0.1</v>
      </c>
      <c r="F124" s="2857">
        <v>15</v>
      </c>
    </row>
    <row r="125" spans="1:6" ht="24">
      <c r="A125" s="2857">
        <v>53</v>
      </c>
      <c r="B125" s="3490"/>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490" t="s">
        <v>2760</v>
      </c>
      <c r="C127" s="2857" t="s">
        <v>2761</v>
      </c>
      <c r="D127" s="2831" t="s">
        <v>2762</v>
      </c>
      <c r="E127" s="2857">
        <v>0.1</v>
      </c>
      <c r="F127" s="2857">
        <v>15</v>
      </c>
    </row>
    <row r="128" spans="1:6" ht="13.5">
      <c r="A128" s="2857">
        <v>56</v>
      </c>
      <c r="B128" s="3490"/>
      <c r="C128" s="2857" t="s">
        <v>2763</v>
      </c>
      <c r="D128" s="2831" t="s">
        <v>2764</v>
      </c>
      <c r="E128" s="2857">
        <v>0.1</v>
      </c>
      <c r="F128" s="2857">
        <v>15</v>
      </c>
    </row>
    <row r="129" spans="1:6" ht="24">
      <c r="A129" s="2857">
        <v>57</v>
      </c>
      <c r="B129" s="3490"/>
      <c r="C129" s="2857" t="s">
        <v>2765</v>
      </c>
      <c r="D129" s="2831" t="s">
        <v>2766</v>
      </c>
      <c r="E129" s="2857">
        <v>0.1</v>
      </c>
      <c r="F129" s="2857">
        <v>15</v>
      </c>
    </row>
    <row r="130" spans="1:6" ht="24">
      <c r="A130" s="2857">
        <v>58</v>
      </c>
      <c r="B130" s="3490" t="s">
        <v>2767</v>
      </c>
      <c r="C130" s="2857" t="s">
        <v>2768</v>
      </c>
      <c r="D130" s="2831" t="s">
        <v>2769</v>
      </c>
      <c r="E130" s="2857">
        <v>0.1</v>
      </c>
      <c r="F130" s="2857">
        <v>15</v>
      </c>
    </row>
    <row r="131" spans="1:6" ht="13.5">
      <c r="A131" s="2857">
        <v>59</v>
      </c>
      <c r="B131" s="3490"/>
      <c r="C131" s="2857" t="s">
        <v>2770</v>
      </c>
      <c r="D131" s="2831" t="s">
        <v>2771</v>
      </c>
      <c r="E131" s="2857">
        <v>0.1</v>
      </c>
      <c r="F131" s="2857">
        <v>15</v>
      </c>
    </row>
    <row r="132" spans="1:6" ht="13.5">
      <c r="A132" s="2857">
        <v>60</v>
      </c>
      <c r="B132" s="3485" t="s">
        <v>2772</v>
      </c>
      <c r="C132" s="2857" t="s">
        <v>2773</v>
      </c>
      <c r="D132" s="2831" t="s">
        <v>2774</v>
      </c>
      <c r="E132" s="2857">
        <v>0.1</v>
      </c>
      <c r="F132" s="2857">
        <v>15</v>
      </c>
    </row>
    <row r="133" spans="1:6" ht="13.5">
      <c r="A133" s="2857">
        <v>61</v>
      </c>
      <c r="B133" s="3489"/>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490" t="s">
        <v>2780</v>
      </c>
      <c r="C135" s="2857" t="s">
        <v>2781</v>
      </c>
      <c r="D135" s="2831" t="s">
        <v>2782</v>
      </c>
      <c r="E135" s="2857">
        <v>0.1</v>
      </c>
      <c r="F135" s="2857">
        <v>15</v>
      </c>
    </row>
    <row r="136" spans="1:6" ht="13.5">
      <c r="A136" s="2857">
        <v>64</v>
      </c>
      <c r="B136" s="3490"/>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0"/>
      <c r="B4" s="3176" t="s">
        <v>917</v>
      </c>
      <c r="C4" s="3176"/>
      <c r="D4" s="3176"/>
      <c r="E4" s="1390"/>
    </row>
    <row r="5" spans="1:5" ht="16.5" thickTop="1">
      <c r="B5" s="3174" t="s">
        <v>909</v>
      </c>
      <c r="C5" s="1391" t="s">
        <v>910</v>
      </c>
      <c r="D5" s="796">
        <f ca="1">结果表!H101</f>
        <v>2349</v>
      </c>
    </row>
    <row r="6" spans="1:5" ht="15.75">
      <c r="B6" s="3174"/>
      <c r="C6" s="1391" t="s">
        <v>911</v>
      </c>
      <c r="D6" s="796" t="str">
        <f ca="1">NUMBERSTRING(INT(D5*10000),2)&amp;"元整"</f>
        <v>贰仟叁佰肆拾玖万元整</v>
      </c>
    </row>
    <row r="7" spans="1:5" ht="15.75">
      <c r="B7" s="3179"/>
      <c r="C7" s="1392" t="s">
        <v>912</v>
      </c>
      <c r="D7" s="797">
        <f ca="1">结果表!H102</f>
        <v>39385</v>
      </c>
    </row>
    <row r="8" spans="1:5" ht="15.75">
      <c r="B8" s="3180" t="str">
        <f>结果表!E103</f>
        <v>2.估价师知悉的法定优先受偿款</v>
      </c>
      <c r="C8" s="1393" t="s">
        <v>913</v>
      </c>
      <c r="D8" s="797">
        <f>结果表!H103</f>
        <v>0</v>
      </c>
    </row>
    <row r="9" spans="1:5" ht="15.75">
      <c r="B9" s="318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3" t="str">
        <f>结果表!E107</f>
        <v>3.房地产抵押价值</v>
      </c>
      <c r="C13" s="1396" t="s">
        <v>910</v>
      </c>
      <c r="D13" s="799">
        <f ca="1">结果表!H107</f>
        <v>2349</v>
      </c>
    </row>
    <row r="14" spans="1:5" ht="15.75">
      <c r="B14" s="3174"/>
      <c r="C14" s="1391" t="s">
        <v>911</v>
      </c>
      <c r="D14" s="796" t="str">
        <f ca="1">NUMBERSTRING(INT(D13*10000),2)&amp;"元整"</f>
        <v>贰仟叁佰肆拾玖万元整</v>
      </c>
    </row>
    <row r="15" spans="1:5" ht="15">
      <c r="B15" s="3179"/>
      <c r="C15" s="1392" t="s">
        <v>921</v>
      </c>
      <c r="D15" s="805">
        <f ca="1">结果表!H108</f>
        <v>39385</v>
      </c>
    </row>
    <row r="16" spans="1:5" ht="15">
      <c r="B16" s="3180" t="str">
        <f>结果表!E109</f>
        <v>——</v>
      </c>
      <c r="C16" s="1396" t="s">
        <v>922</v>
      </c>
      <c r="D16" s="1397" t="str">
        <f>结果表!H109</f>
        <v>——</v>
      </c>
    </row>
    <row r="17" spans="1:5" ht="15.75">
      <c r="B17" s="3181"/>
      <c r="C17" s="1391" t="s">
        <v>923</v>
      </c>
      <c r="D17" s="796" t="e">
        <f>NUMBERSTRING(INT(D16*10000),2)&amp;"元整"</f>
        <v>#VALUE!</v>
      </c>
    </row>
    <row r="18" spans="1:5" ht="15">
      <c r="B18" s="3182"/>
      <c r="C18" s="1392" t="s">
        <v>912</v>
      </c>
      <c r="D18" s="805" t="str">
        <f>结果表!H110</f>
        <v>——</v>
      </c>
    </row>
    <row r="19" spans="1:5" ht="15.75">
      <c r="B19" s="3173" t="str">
        <f>结果表!E111</f>
        <v>——</v>
      </c>
      <c r="C19" s="1396" t="s">
        <v>910</v>
      </c>
      <c r="D19" s="797" t="str">
        <f>结果表!H111</f>
        <v>——</v>
      </c>
    </row>
    <row r="20" spans="1:5" ht="15.75">
      <c r="B20" s="3174"/>
      <c r="C20" s="1391" t="s">
        <v>923</v>
      </c>
      <c r="D20" s="796" t="e">
        <f>NUMBERSTRING(INT(D19*10000),2)&amp;"元整"</f>
        <v>#VALUE!</v>
      </c>
    </row>
    <row r="21" spans="1:5" ht="15.75" thickBot="1">
      <c r="B21" s="317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1</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0.94710000000000005</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30157</v>
      </c>
      <c r="C2" s="2" t="s">
        <v>106</v>
      </c>
      <c r="D2" s="191"/>
      <c r="E2" s="191"/>
      <c r="F2" s="191"/>
      <c r="G2" s="191"/>
    </row>
    <row r="3" spans="1:7" s="192" customFormat="1" ht="18" customHeight="1" thickBot="1">
      <c r="A3" s="195" t="s">
        <v>58</v>
      </c>
      <c r="B3" s="196">
        <f ca="1">ROUND(B2*10000/'数据-汇总表'!E3,0)</f>
        <v>505634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12</v>
      </c>
      <c r="D10" s="794">
        <f>'数据-汇总表'!E6</f>
        <v>596.42000000000007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12</v>
      </c>
      <c r="D19" s="204">
        <f>'数据-汇总表'!E3</f>
        <v>596.42000000000007</v>
      </c>
      <c r="E19" s="203">
        <f>'数据-取费表'!B31</f>
        <v>200</v>
      </c>
      <c r="F19" s="223"/>
      <c r="G19" s="1" t="s">
        <v>436</v>
      </c>
    </row>
    <row r="20" spans="1:7" s="206" customFormat="1" ht="13.5" customHeight="1">
      <c r="A20" s="730" t="s">
        <v>419</v>
      </c>
      <c r="B20" s="202" t="s">
        <v>77</v>
      </c>
      <c r="C20" s="224">
        <f>ROUND((C5+C19)*F20,0)</f>
        <v>619</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1660</v>
      </c>
      <c r="D22" s="227">
        <f ca="1">C26</f>
        <v>1.1999999999999999E-3</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1635</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24</v>
      </c>
      <c r="D25" s="230"/>
      <c r="E25" s="233"/>
      <c r="F25" s="231"/>
      <c r="G25" s="234" t="s">
        <v>83</v>
      </c>
    </row>
    <row r="26" spans="1:7" s="206" customFormat="1">
      <c r="A26" s="733" t="s">
        <v>350</v>
      </c>
      <c r="B26" s="207" t="s">
        <v>422</v>
      </c>
      <c r="C26" s="230">
        <f ca="1">ROUND(IF('数据-取费表'!B22&lt;=1,F21*F22*'数据-取费表'!B23/2,F21*(POWER((1+F22),'数据-取费表'!B23/2)-1)),4)</f>
        <v>1.1999999999999999E-3</v>
      </c>
      <c r="D26" s="230"/>
      <c r="E26" s="233"/>
      <c r="F26" s="231"/>
      <c r="G26" s="235"/>
    </row>
    <row r="27" spans="1:7" s="206" customFormat="1" ht="24.75">
      <c r="A27" s="730" t="s">
        <v>342</v>
      </c>
      <c r="B27" s="236" t="s">
        <v>85</v>
      </c>
      <c r="C27" s="237">
        <f>C28</f>
        <v>4248</v>
      </c>
      <c r="D27" s="227">
        <f>C29</f>
        <v>6.0000000000000001E-3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4248</v>
      </c>
      <c r="D28" s="227"/>
      <c r="E28" s="228"/>
      <c r="F28" s="238"/>
      <c r="G28" s="239"/>
    </row>
    <row r="29" spans="1:7" s="206" customFormat="1" ht="13.5" customHeight="1">
      <c r="A29" s="733" t="s">
        <v>347</v>
      </c>
      <c r="B29" s="240" t="s">
        <v>425</v>
      </c>
      <c r="C29" s="230">
        <f>ROUND(C21*F27*'数据-取费表'!B21/'数据-取费表'!B20,4)</f>
        <v>6.0000000000000001E-3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29852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268</v>
      </c>
      <c r="D34" s="209"/>
      <c r="E34" s="212"/>
      <c r="F34" s="249">
        <f>IF('数据-取费表'!B24=0,1,'数据-取费表'!N16)</f>
        <v>1</v>
      </c>
      <c r="G34" s="211" t="s">
        <v>89</v>
      </c>
    </row>
    <row r="35" spans="1:7" ht="13.5" customHeight="1">
      <c r="A35" s="733" t="s">
        <v>351</v>
      </c>
      <c r="B35" s="207" t="s">
        <v>33</v>
      </c>
      <c r="C35" s="212">
        <f>ROUND(C34*F35,0)</f>
        <v>13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12</v>
      </c>
      <c r="D37" s="209">
        <f>'数据-汇总表'!E3</f>
        <v>596.42000000000007</v>
      </c>
      <c r="E37" s="241">
        <f>'数据-取费表'!B35</f>
        <v>200</v>
      </c>
      <c r="F37" s="251"/>
      <c r="G37" s="253" t="s">
        <v>92</v>
      </c>
    </row>
    <row r="38" spans="1:7" ht="13.5" customHeight="1">
      <c r="A38" s="733" t="s">
        <v>354</v>
      </c>
      <c r="B38" s="207" t="s">
        <v>36</v>
      </c>
      <c r="C38" s="212">
        <f>ROUND(C34*F38,0)</f>
        <v>5</v>
      </c>
      <c r="D38" s="212"/>
      <c r="E38" s="212"/>
      <c r="F38" s="251">
        <f>'数据-取费表'!B36</f>
        <v>0.02</v>
      </c>
      <c r="G38" s="211" t="s">
        <v>90</v>
      </c>
    </row>
    <row r="39" spans="1:7" s="206" customFormat="1" ht="13.5" customHeight="1">
      <c r="A39" s="730" t="s">
        <v>338</v>
      </c>
      <c r="B39" s="202" t="s">
        <v>77</v>
      </c>
      <c r="C39" s="224">
        <f>ROUND(C33*F20,0)</f>
        <v>9</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12</v>
      </c>
      <c r="D41" s="227">
        <f ca="1">C44</f>
        <v>1.1999999999999999E-3</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12</v>
      </c>
      <c r="D42" s="230"/>
      <c r="E42" s="230"/>
      <c r="F42" s="231"/>
      <c r="G42" s="3354" t="s">
        <v>94</v>
      </c>
    </row>
    <row r="43" spans="1:7" ht="13.5" customHeight="1">
      <c r="A43" s="733" t="s">
        <v>347</v>
      </c>
      <c r="B43" s="207" t="s">
        <v>426</v>
      </c>
      <c r="C43" s="230">
        <f ca="1">ROUND(IF('数据-取费表'!B22&lt;=1,C39*F22*'数据-取费表'!B21/2,C39*(POWER((1+F22),'数据-取费表'!B21/2)-1)),0)</f>
        <v>0</v>
      </c>
      <c r="D43" s="230"/>
      <c r="E43" s="230"/>
      <c r="F43" s="231"/>
      <c r="G43" s="3355"/>
    </row>
    <row r="44" spans="1:7" ht="13.5" customHeight="1">
      <c r="A44" s="733" t="s">
        <v>348</v>
      </c>
      <c r="B44" s="207" t="s">
        <v>428</v>
      </c>
      <c r="C44" s="230">
        <f ca="1">ROUND(IF('数据-取费表'!B22&lt;=1,C40*F22*'数据-取费表'!B21/2,C40*(POWER((1+F22),'数据-取费表'!B21/2)-1)),4)</f>
        <v>1.1999999999999999E-3</v>
      </c>
      <c r="D44" s="230"/>
      <c r="E44" s="230"/>
      <c r="F44" s="231"/>
      <c r="G44" s="3356"/>
    </row>
    <row r="45" spans="1:7" s="206" customFormat="1" ht="13.5" customHeight="1">
      <c r="A45" s="730" t="s">
        <v>341</v>
      </c>
      <c r="B45" s="236" t="s">
        <v>85</v>
      </c>
      <c r="C45" s="237">
        <f>C46</f>
        <v>61</v>
      </c>
      <c r="D45" s="227">
        <f>C47</f>
        <v>6.0000000000000001E-3</v>
      </c>
      <c r="E45" s="228" t="s">
        <v>102</v>
      </c>
      <c r="F45" s="238"/>
      <c r="G45" s="239" t="s">
        <v>434</v>
      </c>
    </row>
    <row r="46" spans="1:7" s="206" customFormat="1" ht="13.5" customHeight="1">
      <c r="A46" s="733" t="s">
        <v>349</v>
      </c>
      <c r="B46" s="240" t="s">
        <v>427</v>
      </c>
      <c r="C46" s="241">
        <f>ROUND((C33+C39)*F27,0)</f>
        <v>61</v>
      </c>
      <c r="D46" s="255"/>
      <c r="E46" s="228"/>
      <c r="F46" s="238"/>
      <c r="G46" s="239"/>
    </row>
    <row r="47" spans="1:7" s="206" customFormat="1" ht="13.5" customHeight="1">
      <c r="A47" s="733" t="s">
        <v>347</v>
      </c>
      <c r="B47" s="240" t="s">
        <v>429</v>
      </c>
      <c r="C47" s="230">
        <f>ROUND(C40*F27,4)</f>
        <v>6.0000000000000001E-3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418</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305</v>
      </c>
      <c r="D51" s="224"/>
      <c r="E51" s="224"/>
      <c r="F51" s="256"/>
      <c r="G51" s="226" t="s">
        <v>37</v>
      </c>
    </row>
    <row r="52" spans="1:7" s="200" customFormat="1" ht="16.5" thickBot="1">
      <c r="A52" s="257" t="s">
        <v>38</v>
      </c>
      <c r="B52" s="258"/>
      <c r="C52" s="259">
        <f ca="1">C31+C51</f>
        <v>30157</v>
      </c>
      <c r="D52" s="258"/>
      <c r="E52" s="258"/>
      <c r="F52" s="258"/>
      <c r="G52" s="260"/>
    </row>
    <row r="55" spans="1:7" ht="15">
      <c r="B55" s="262" t="s">
        <v>39</v>
      </c>
      <c r="C55" s="263"/>
    </row>
    <row r="56" spans="1:7">
      <c r="B56" s="265" t="s">
        <v>40</v>
      </c>
      <c r="C56" s="266">
        <f ca="1">ROUND(C51/C52,3)</f>
        <v>0.01</v>
      </c>
    </row>
    <row r="57" spans="1:7">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1" t="s">
        <v>3172</v>
      </c>
      <c r="B1" s="3491"/>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492" t="s">
        <v>3223</v>
      </c>
      <c r="B1" s="3492"/>
      <c r="C1" s="3492"/>
      <c r="D1" s="3492"/>
      <c r="E1" s="3492"/>
      <c r="F1" s="3493"/>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45768</v>
      </c>
      <c r="B1" s="2929" t="s">
        <v>3368</v>
      </c>
      <c r="C1" s="2930"/>
      <c r="D1" s="2930"/>
      <c r="E1" s="2930"/>
      <c r="F1" s="2930"/>
      <c r="G1" s="2930"/>
      <c r="H1" s="2930"/>
      <c r="I1" s="2930"/>
      <c r="J1" s="2896"/>
      <c r="K1" s="2930" t="s">
        <v>454</v>
      </c>
      <c r="L1" s="2930"/>
      <c r="M1" s="2930"/>
      <c r="N1" s="2930"/>
      <c r="O1" s="2930"/>
      <c r="P1" s="2930"/>
      <c r="Q1" s="2896"/>
      <c r="R1" s="3494" t="s">
        <v>456</v>
      </c>
      <c r="S1" s="3495"/>
      <c r="T1" s="3495"/>
      <c r="U1" s="3495"/>
      <c r="V1" s="3495"/>
      <c r="W1" s="3495"/>
      <c r="X1" s="2896"/>
      <c r="Y1" s="3494" t="s">
        <v>457</v>
      </c>
      <c r="Z1" s="3495"/>
      <c r="AA1" s="3495"/>
      <c r="AB1" s="3495"/>
      <c r="AC1" s="3495"/>
      <c r="AD1" s="3495"/>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3395</v>
      </c>
      <c r="AG2" t="s">
        <v>673</v>
      </c>
      <c r="AH2" t="s">
        <v>21</v>
      </c>
      <c r="AI2" t="s">
        <v>3396</v>
      </c>
      <c r="AJ2" t="s">
        <v>3</v>
      </c>
      <c r="AK2" t="s">
        <v>3397</v>
      </c>
      <c r="AM2" t="s">
        <v>3395</v>
      </c>
      <c r="AN2" t="s">
        <v>673</v>
      </c>
      <c r="AO2" t="s">
        <v>21</v>
      </c>
      <c r="AP2" t="s">
        <v>3396</v>
      </c>
      <c r="AQ2" t="s">
        <v>3</v>
      </c>
      <c r="AR2" t="s">
        <v>3397</v>
      </c>
    </row>
    <row r="3" spans="1:44" s="2886" customFormat="1" ht="12.75">
      <c r="A3" s="2884" t="s">
        <v>2810</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3394</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3393</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3400</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3399</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3372</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3366</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3365</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3361</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3360</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3358</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3357</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3356</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3354</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3345</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3371</v>
      </c>
    </row>
    <row r="27" spans="1:44">
      <c r="I27" s="1404" t="s">
        <v>2816</v>
      </c>
    </row>
    <row r="29" spans="1:44" s="2008" customFormat="1" ht="12.75">
      <c r="B29" s="2929" t="s">
        <v>3369</v>
      </c>
      <c r="C29" s="2930"/>
      <c r="D29" s="2930"/>
      <c r="E29" s="2930"/>
      <c r="F29" s="2930"/>
      <c r="G29" s="2930"/>
      <c r="H29" s="2930"/>
      <c r="I29" s="2930"/>
      <c r="J29" s="2896"/>
      <c r="K29" s="2930" t="s">
        <v>2817</v>
      </c>
      <c r="L29" s="2930"/>
      <c r="M29" s="2930"/>
      <c r="N29" s="2930"/>
      <c r="O29" s="2930"/>
      <c r="P29" s="2930"/>
      <c r="Q29" s="2896"/>
      <c r="R29" s="3494" t="s">
        <v>2818</v>
      </c>
      <c r="S29" s="3495"/>
      <c r="T29" s="3495"/>
      <c r="U29" s="3495"/>
      <c r="V29" s="3495"/>
      <c r="W29" s="3495"/>
      <c r="X29" s="2896"/>
      <c r="Y29" s="3494" t="s">
        <v>2819</v>
      </c>
      <c r="Z29" s="3495"/>
      <c r="AA29" s="3495"/>
      <c r="AB29" s="3495"/>
      <c r="AC29" s="3495"/>
      <c r="AD29" s="3495"/>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3396</v>
      </c>
      <c r="AJ30"/>
      <c r="AK30" t="s">
        <v>3397</v>
      </c>
      <c r="AN30" t="s">
        <v>673</v>
      </c>
      <c r="AO30" t="s">
        <v>21</v>
      </c>
      <c r="AP30" t="s">
        <v>3396</v>
      </c>
      <c r="AQ30"/>
      <c r="AR30" t="s">
        <v>3397</v>
      </c>
    </row>
    <row r="31" spans="1:44" s="2886" customFormat="1" ht="12.75">
      <c r="A31" s="2884" t="s">
        <v>2825</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3394</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3393</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3398</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3399</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3363</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3367</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3364</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3362</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3360</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3359</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3357</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3356</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3355</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3345</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7" t="s">
        <v>2830</v>
      </c>
      <c r="B1" s="3507"/>
      <c r="C1" s="3507"/>
      <c r="D1" s="3507"/>
      <c r="E1" s="3507"/>
      <c r="F1" s="3507"/>
      <c r="G1" s="3508"/>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05"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06"/>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45768</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2300</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85"/>
      <c r="B3" s="3185"/>
      <c r="C3" s="3185"/>
      <c r="D3" s="800" t="s">
        <v>925</v>
      </c>
      <c r="E3" s="800" t="s">
        <v>931</v>
      </c>
      <c r="F3" s="800" t="s">
        <v>925</v>
      </c>
      <c r="G3" s="800" t="s">
        <v>926</v>
      </c>
      <c r="H3" s="800" t="s">
        <v>925</v>
      </c>
      <c r="I3" s="800" t="s">
        <v>926</v>
      </c>
    </row>
    <row r="4" spans="1:9" ht="15">
      <c r="A4" s="1402" t="str">
        <f>项目基本情况!S2</f>
        <v>北京市房地产</v>
      </c>
      <c r="B4" s="800">
        <f>项目基本情况!C17</f>
        <v>596.42000000000007</v>
      </c>
      <c r="C4" s="800">
        <f>项目基本情况!C18</f>
        <v>0</v>
      </c>
      <c r="D4" s="800">
        <f ca="1">结果表!D118</f>
        <v>1863</v>
      </c>
      <c r="E4" s="800">
        <f ca="1">结果表!E118</f>
        <v>31236</v>
      </c>
      <c r="F4" s="800">
        <f ca="1">结果表!F118</f>
        <v>486</v>
      </c>
      <c r="G4" s="800">
        <f ca="1">结果表!G118</f>
        <v>8149</v>
      </c>
      <c r="H4" s="800">
        <f ca="1">结果表!H118</f>
        <v>2349</v>
      </c>
      <c r="I4" s="800">
        <f ca="1">结果表!I118</f>
        <v>39385</v>
      </c>
    </row>
    <row r="5" spans="1:9" ht="30" customHeight="1">
      <c r="A5" s="3185" t="s">
        <v>927</v>
      </c>
      <c r="B5" s="3185"/>
      <c r="C5" s="3185"/>
      <c r="D5" s="3185" t="str">
        <f ca="1">结果表!D119</f>
        <v>壹仟捌佰陆拾叁万元整</v>
      </c>
      <c r="E5" s="3185"/>
      <c r="F5" s="3185" t="str">
        <f ca="1">结果表!F119</f>
        <v>肆佰捌拾陆万元整</v>
      </c>
      <c r="G5" s="3185"/>
      <c r="H5" s="3185" t="str">
        <f ca="1">结果表!H119</f>
        <v>贰仟叁佰肆拾玖万元整</v>
      </c>
      <c r="I5" s="3185"/>
    </row>
    <row r="6" spans="1:9" ht="15.75">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75">
      <c r="A8" s="3186" t="str">
        <f>结果表!A122</f>
        <v>房地产抵押价值</v>
      </c>
      <c r="B8" s="3186"/>
      <c r="C8" s="3186"/>
      <c r="D8" s="3186">
        <f ca="1">结果表!D122</f>
        <v>2349</v>
      </c>
      <c r="E8" s="3186"/>
      <c r="F8" s="3186"/>
      <c r="G8" s="3186"/>
      <c r="H8" s="3186"/>
      <c r="I8" s="3186"/>
    </row>
    <row r="9" spans="1:9" ht="15">
      <c r="A9" s="3185" t="s">
        <v>927</v>
      </c>
      <c r="B9" s="3185"/>
      <c r="C9" s="3185"/>
      <c r="D9" s="3185" t="str">
        <f ca="1">结果表!D123</f>
        <v>贰仟叁佰肆拾玖万元整</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75">
      <c r="A12" s="3186" t="str">
        <f>结果表!A126</f>
        <v/>
      </c>
      <c r="B12" s="3186"/>
      <c r="C12" s="3186"/>
      <c r="D12" s="3186" t="str">
        <f>结果表!D126</f>
        <v>——</v>
      </c>
      <c r="E12" s="3186"/>
      <c r="F12" s="3186"/>
      <c r="G12" s="3186"/>
      <c r="H12" s="3186"/>
      <c r="I12" s="3186"/>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2" t="s">
        <v>949</v>
      </c>
      <c r="B1" s="3192"/>
      <c r="C1" s="3192"/>
      <c r="D1" s="3192"/>
    </row>
    <row r="2" spans="1:4" ht="18">
      <c r="A2" s="3193" t="s">
        <v>933</v>
      </c>
      <c r="B2" s="3193"/>
      <c r="C2" s="3193"/>
      <c r="D2" s="319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3" t="s">
        <v>939</v>
      </c>
      <c r="B6" s="3193"/>
      <c r="C6" s="3193"/>
      <c r="D6" s="319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4"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6" t="s">
        <v>956</v>
      </c>
      <c r="B15" s="3201" t="s">
        <v>109</v>
      </c>
      <c r="C15" s="3202"/>
    </row>
    <row r="16" spans="1:7" ht="13.5">
      <c r="A16" s="3207"/>
      <c r="B16" s="3201" t="s">
        <v>42</v>
      </c>
      <c r="C16" s="3202"/>
    </row>
    <row r="17" spans="1:3" ht="13.5">
      <c r="A17" s="3207"/>
      <c r="B17" s="3204" t="s">
        <v>957</v>
      </c>
      <c r="C17" s="1428" t="s">
        <v>956</v>
      </c>
    </row>
    <row r="18" spans="1:3" ht="13.5">
      <c r="A18" s="3207"/>
      <c r="B18" s="3204"/>
      <c r="C18" s="1428" t="s">
        <v>958</v>
      </c>
    </row>
    <row r="19" spans="1:3" ht="13.5">
      <c r="A19" s="3207"/>
      <c r="B19" s="3204"/>
      <c r="C19" s="1428" t="s">
        <v>959</v>
      </c>
    </row>
    <row r="20" spans="1:3" ht="13.5">
      <c r="A20" s="3208"/>
      <c r="B20" s="3203" t="s">
        <v>960</v>
      </c>
      <c r="C20" s="3202"/>
    </row>
    <row r="21" spans="1:3" ht="13.5">
      <c r="A21" s="1429" t="s">
        <v>961</v>
      </c>
      <c r="B21" s="1430"/>
      <c r="C21" s="1431"/>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8" t="s">
        <v>967</v>
      </c>
    </row>
    <row r="26" spans="1:3" ht="13.5">
      <c r="A26" s="3205"/>
      <c r="B26" s="3204"/>
      <c r="C26" s="1428" t="s">
        <v>968</v>
      </c>
    </row>
    <row r="27" spans="1:3" ht="13.5">
      <c r="A27" s="3205"/>
      <c r="B27" s="3204"/>
      <c r="C27" s="1428" t="s">
        <v>969</v>
      </c>
    </row>
    <row r="28" spans="1:3" ht="13.5">
      <c r="A28" s="3205"/>
      <c r="B28" s="3204"/>
      <c r="C28" s="1428" t="s">
        <v>970</v>
      </c>
    </row>
    <row r="29" spans="1:3" ht="13.5">
      <c r="A29" s="3205"/>
      <c r="B29" s="3204"/>
      <c r="C29" s="1428" t="s">
        <v>971</v>
      </c>
    </row>
    <row r="30" spans="1:3" ht="13.5">
      <c r="A30" s="3205"/>
      <c r="B30" s="3204"/>
      <c r="C30" s="1428" t="s">
        <v>972</v>
      </c>
    </row>
    <row r="31" spans="1:3" ht="13.5">
      <c r="A31" s="3205"/>
      <c r="B31" s="3204"/>
      <c r="C31" s="1428" t="s">
        <v>973</v>
      </c>
    </row>
    <row r="32" spans="1:3" ht="13.5">
      <c r="A32" s="3205"/>
      <c r="B32" s="3204"/>
      <c r="C32" s="1428" t="s">
        <v>974</v>
      </c>
    </row>
    <row r="33" spans="1:3" ht="13.5">
      <c r="A33" s="3205"/>
      <c r="B33" s="320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45765</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59"/>
      <c r="E18" s="3211" t="s">
        <v>2162</v>
      </c>
      <c r="F18" s="3210"/>
      <c r="G18" s="321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2025-04-18T09:02:41Z</dcterms:modified>
</cp:coreProperties>
</file>