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2770" windowHeight="5730" tabRatio="896"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s>
  <externalReferences>
    <externalReference r:id="rId48"/>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0" i="37" l="1"/>
  <c r="F60" i="37" s="1"/>
  <c r="D60" i="37"/>
  <c r="L17" i="80"/>
  <c r="H17" i="80"/>
  <c r="M17" i="80"/>
  <c r="I30" i="37"/>
  <c r="G30" i="37"/>
  <c r="I41" i="37" l="1"/>
  <c r="G41" i="37"/>
  <c r="I10" i="37"/>
  <c r="I7" i="37"/>
  <c r="I5" i="37"/>
  <c r="G5" i="37"/>
  <c r="O19" i="1" l="1"/>
  <c r="N19" i="1"/>
  <c r="L101" i="9" l="1"/>
  <c r="L100" i="9"/>
  <c r="L102" i="9" s="1"/>
  <c r="I53" i="37" l="1"/>
  <c r="J53" i="37" s="1"/>
  <c r="K53" i="37" s="1"/>
  <c r="L53" i="37" s="1"/>
  <c r="M53" i="37" s="1"/>
  <c r="N53" i="37" s="1"/>
  <c r="O53" i="37" s="1"/>
  <c r="P53" i="37" s="1"/>
  <c r="Q53" i="37" s="1"/>
  <c r="R53" i="37" s="1"/>
  <c r="H53" i="37"/>
  <c r="E41" i="37"/>
  <c r="F104" i="37"/>
  <c r="E104" i="37"/>
  <c r="D104" i="37"/>
  <c r="C104" i="37"/>
  <c r="G102" i="37"/>
  <c r="F102" i="37"/>
  <c r="E102" i="37"/>
  <c r="D102" i="37"/>
  <c r="C102" i="37"/>
  <c r="D92" i="37"/>
  <c r="E92" i="37" s="1"/>
  <c r="F92" i="37" s="1"/>
  <c r="G92" i="37" s="1"/>
  <c r="H92" i="37" s="1"/>
  <c r="E30" i="37"/>
  <c r="C10" i="37"/>
  <c r="R18" i="81"/>
  <c r="R17" i="81"/>
  <c r="E7" i="37"/>
  <c r="E5" i="37"/>
  <c r="N7" i="81"/>
  <c r="J52" i="15" l="1"/>
  <c r="J49" i="15"/>
  <c r="B35" i="1"/>
  <c r="B21" i="1"/>
  <c r="M4" i="80"/>
  <c r="M6" i="80"/>
  <c r="M8" i="80"/>
  <c r="M10" i="80"/>
  <c r="M12" i="80"/>
  <c r="M14" i="80"/>
  <c r="M16" i="80"/>
  <c r="U20" i="1"/>
  <c r="L16" i="80"/>
  <c r="L15" i="80"/>
  <c r="M15" i="80" s="1"/>
  <c r="L14" i="80"/>
  <c r="L13" i="80"/>
  <c r="M13" i="80" s="1"/>
  <c r="L12" i="80"/>
  <c r="L11" i="80"/>
  <c r="M11" i="80" s="1"/>
  <c r="L10" i="80"/>
  <c r="L9" i="80"/>
  <c r="M9" i="80" s="1"/>
  <c r="L8" i="80"/>
  <c r="L7" i="80"/>
  <c r="M7" i="80" s="1"/>
  <c r="L6" i="80"/>
  <c r="L5" i="80"/>
  <c r="M5" i="80" s="1"/>
  <c r="L4" i="80"/>
  <c r="L3" i="80"/>
  <c r="M3" i="80" s="1"/>
  <c r="L2" i="80"/>
  <c r="M2" i="80" s="1"/>
  <c r="D3" i="4"/>
  <c r="V20"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AB37" i="71"/>
  <c r="X38" i="71"/>
  <c r="AA38" i="71"/>
  <c r="C28" i="71"/>
  <c r="C27" i="71" s="1"/>
  <c r="X25" i="71"/>
  <c r="C31" i="71"/>
  <c r="D31" i="71" s="1"/>
  <c r="P28" i="71"/>
  <c r="AA3" i="71" s="1"/>
  <c r="Q65" i="71"/>
  <c r="E67" i="71"/>
  <c r="E66" i="71" s="1"/>
  <c r="Q28" i="71"/>
  <c r="C55" i="71"/>
  <c r="D55" i="71" s="1"/>
  <c r="C63" i="71"/>
  <c r="C64" i="71" s="1"/>
  <c r="D62" i="71"/>
  <c r="Q67" i="71"/>
  <c r="O68" i="71"/>
  <c r="C67" i="71"/>
  <c r="O67" i="71" s="1"/>
  <c r="Q68" i="71"/>
  <c r="C71" i="71"/>
  <c r="D71" i="71" s="1"/>
  <c r="D72" i="71"/>
  <c r="C75" i="71"/>
  <c r="C74" i="71" s="1"/>
  <c r="D74" i="71" s="1"/>
  <c r="E75" i="71"/>
  <c r="E74" i="71"/>
  <c r="D76" i="71"/>
  <c r="C79" i="71"/>
  <c r="C78" i="71" s="1"/>
  <c r="D78" i="71" s="1"/>
  <c r="D80" i="71"/>
  <c r="C83" i="71"/>
  <c r="D83" i="71" s="1"/>
  <c r="T28" i="71"/>
  <c r="F28" i="71"/>
  <c r="F27" i="71" s="1"/>
  <c r="F26" i="71" s="1"/>
  <c r="AB25" i="71"/>
  <c r="E28" i="71"/>
  <c r="E27" i="71" s="1"/>
  <c r="E26" i="71" s="1"/>
  <c r="AA27" i="71"/>
  <c r="D28" i="71"/>
  <c r="C66" i="71"/>
  <c r="D66" i="71" s="1"/>
  <c r="D63" i="71"/>
  <c r="D75" i="71"/>
  <c r="C70" i="71"/>
  <c r="D70" i="71" s="1"/>
  <c r="C56" i="71"/>
  <c r="T56" i="71" s="1"/>
  <c r="C32" i="71"/>
  <c r="T32" i="71" s="1"/>
  <c r="O65" i="71"/>
  <c r="D5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8" i="43" s="1"/>
  <c r="C22" i="20"/>
  <c r="B100" i="43" s="1"/>
  <c r="S25" i="40"/>
  <c r="S18" i="36"/>
  <c r="U18" i="36"/>
  <c r="H25" i="40"/>
  <c r="J25" i="40"/>
  <c r="H29" i="39"/>
  <c r="AB29" i="39" s="1"/>
  <c r="J29" i="39"/>
  <c r="AC29" i="39" s="1"/>
  <c r="J18" i="36"/>
  <c r="H18" i="35"/>
  <c r="S18" i="35"/>
  <c r="J18" i="35"/>
  <c r="W18" i="35" s="1"/>
  <c r="H21" i="37"/>
  <c r="U21" i="37" s="1"/>
  <c r="F21" i="37"/>
  <c r="S21" i="37" s="1"/>
  <c r="H21" i="34"/>
  <c r="F83" i="33"/>
  <c r="G83" i="33" s="1"/>
  <c r="H21" i="33"/>
  <c r="F21" i="33"/>
  <c r="S21" i="33" s="1"/>
  <c r="E83" i="21"/>
  <c r="S21" i="21"/>
  <c r="H1" i="69"/>
  <c r="AC25" i="40"/>
  <c r="W25" i="40"/>
  <c r="AB25" i="40"/>
  <c r="U25" i="40"/>
  <c r="U29" i="39"/>
  <c r="W29" i="39"/>
  <c r="AC18" i="36"/>
  <c r="W18" i="36"/>
  <c r="AA21" i="37"/>
  <c r="AB21" i="34"/>
  <c r="U21" i="34"/>
  <c r="U21" i="33"/>
  <c r="AB21" i="33"/>
  <c r="AB18" i="35"/>
  <c r="U18" i="35"/>
  <c r="AC18" i="35"/>
  <c r="J21" i="37"/>
  <c r="AC21" i="37" s="1"/>
  <c r="J21" i="34"/>
  <c r="W21" i="34" s="1"/>
  <c r="J21" i="33"/>
  <c r="W21" i="33" s="1"/>
  <c r="F83" i="21"/>
  <c r="H21" i="21"/>
  <c r="U21" i="21" s="1"/>
  <c r="F38" i="69"/>
  <c r="E37" i="69"/>
  <c r="F36" i="69"/>
  <c r="F35" i="69"/>
  <c r="F21" i="69"/>
  <c r="F40" i="69" s="1"/>
  <c r="F20" i="69"/>
  <c r="F39" i="69" s="1"/>
  <c r="E10" i="69"/>
  <c r="E9" i="69"/>
  <c r="C7" i="69"/>
  <c r="AC21" i="34"/>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s="1"/>
  <c r="J45" i="39"/>
  <c r="W45" i="39" s="1"/>
  <c r="F36" i="39"/>
  <c r="S36" i="39" s="1"/>
  <c r="H36" i="39"/>
  <c r="AB36" i="39" s="1"/>
  <c r="J35" i="39"/>
  <c r="AC35" i="39" s="1"/>
  <c r="F35" i="39"/>
  <c r="AA35" i="39" s="1"/>
  <c r="J36" i="39"/>
  <c r="AC36" i="39" s="1"/>
  <c r="W40" i="39"/>
  <c r="W25" i="37"/>
  <c r="E103" i="37"/>
  <c r="F103" i="37" s="1"/>
  <c r="G103" i="37" s="1"/>
  <c r="H103" i="37" s="1"/>
  <c r="I103" i="37" s="1"/>
  <c r="J103" i="37" s="1"/>
  <c r="K103" i="37" s="1"/>
  <c r="L103" i="37" s="1"/>
  <c r="M103" i="37" s="1"/>
  <c r="F39" i="37"/>
  <c r="S39" i="37" s="1"/>
  <c r="F29" i="36"/>
  <c r="AA29" i="36" s="1"/>
  <c r="F16" i="36"/>
  <c r="AA16" i="36" s="1"/>
  <c r="U31" i="36"/>
  <c r="H22" i="35"/>
  <c r="AB22" i="35" s="1"/>
  <c r="AC27" i="35"/>
  <c r="U31" i="35"/>
  <c r="S31" i="35"/>
  <c r="F36" i="34"/>
  <c r="J35" i="34"/>
  <c r="U34" i="34"/>
  <c r="H39" i="33"/>
  <c r="AB39" i="33" s="1"/>
  <c r="F26" i="33"/>
  <c r="AA26" i="33" s="1"/>
  <c r="U35" i="33"/>
  <c r="S40" i="33"/>
  <c r="W33" i="33"/>
  <c r="H39" i="37"/>
  <c r="AB39" i="37" s="1"/>
  <c r="S27" i="35"/>
  <c r="F11" i="40"/>
  <c r="AA11" i="40" s="1"/>
  <c r="H11" i="40"/>
  <c r="AB11" i="40" s="1"/>
  <c r="W8" i="40"/>
  <c r="AC40" i="40"/>
  <c r="AC9" i="40"/>
  <c r="U9" i="40"/>
  <c r="S34" i="40"/>
  <c r="U38" i="40"/>
  <c r="S40" i="40"/>
  <c r="U34" i="40"/>
  <c r="S38" i="40"/>
  <c r="F42" i="39"/>
  <c r="AA42" i="39" s="1"/>
  <c r="F41" i="39"/>
  <c r="S41" i="39" s="1"/>
  <c r="H40" i="39"/>
  <c r="AB40" i="39" s="1"/>
  <c r="H39" i="39"/>
  <c r="U39" i="39" s="1"/>
  <c r="S38" i="39"/>
  <c r="H34" i="39"/>
  <c r="U34" i="39" s="1"/>
  <c r="E108" i="39"/>
  <c r="H31" i="39"/>
  <c r="AB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B30" i="36"/>
  <c r="F29" i="35"/>
  <c r="H29" i="35"/>
  <c r="AB29" i="35" s="1"/>
  <c r="U34" i="37"/>
  <c r="J43" i="34"/>
  <c r="W43" i="34" s="1"/>
  <c r="AB42" i="34"/>
  <c r="J40" i="34"/>
  <c r="W40" i="34" s="1"/>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c r="H42" i="21"/>
  <c r="U42" i="21"/>
  <c r="J44" i="34"/>
  <c r="F44" i="34"/>
  <c r="J10" i="35"/>
  <c r="AC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H14" i="33"/>
  <c r="U14" i="33" s="1"/>
  <c r="F14" i="33"/>
  <c r="S14" i="33" s="1"/>
  <c r="J14" i="33"/>
  <c r="AC14" i="33" s="1"/>
  <c r="H30" i="33"/>
  <c r="AB30" i="33"/>
  <c r="F30" i="33"/>
  <c r="J30" i="33"/>
  <c r="AC30" i="33" s="1"/>
  <c r="H44" i="33"/>
  <c r="J44" i="33"/>
  <c r="AC44" i="33" s="1"/>
  <c r="F44" i="33"/>
  <c r="S44" i="33" s="1"/>
  <c r="J46" i="33"/>
  <c r="AC46" i="33" s="1"/>
  <c r="F46" i="33"/>
  <c r="AA46" i="33" s="1"/>
  <c r="H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AA13" i="39" s="1"/>
  <c r="J13" i="39"/>
  <c r="W13" i="39" s="1"/>
  <c r="H13" i="39"/>
  <c r="U13" i="39" s="1"/>
  <c r="H14" i="40"/>
  <c r="AB14" i="40" s="1"/>
  <c r="J14" i="40"/>
  <c r="W14" i="40" s="1"/>
  <c r="F14" i="40"/>
  <c r="AA14" i="40" s="1"/>
  <c r="J14" i="37"/>
  <c r="AC14" i="37" s="1"/>
  <c r="J27" i="37"/>
  <c r="AC27" i="37" s="1"/>
  <c r="U31" i="34"/>
  <c r="J10" i="36"/>
  <c r="AC10" i="36" s="1"/>
  <c r="AA14" i="37"/>
  <c r="W31" i="34"/>
  <c r="S11" i="36"/>
  <c r="AA14" i="34"/>
  <c r="U31" i="33"/>
  <c r="BA585" i="3"/>
  <c r="F17" i="21"/>
  <c r="AA17" i="21" s="1"/>
  <c r="H17" i="21"/>
  <c r="AB17" i="21" s="1"/>
  <c r="F15" i="21"/>
  <c r="S15" i="21" s="1"/>
  <c r="J41" i="39"/>
  <c r="W41" i="39" s="1"/>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s="1"/>
  <c r="BQ541" i="3"/>
  <c r="BL541" i="3" s="1"/>
  <c r="AZ541" i="3" s="1"/>
  <c r="BQ539" i="3"/>
  <c r="BL539" i="3"/>
  <c r="BQ537" i="3"/>
  <c r="BL537" i="3" s="1"/>
  <c r="BQ535" i="3"/>
  <c r="BL535" i="3" s="1"/>
  <c r="BQ533" i="3"/>
  <c r="BL533" i="3" s="1"/>
  <c r="AZ533" i="3" s="1"/>
  <c r="BQ531" i="3"/>
  <c r="BL531" i="3"/>
  <c r="BQ529" i="3"/>
  <c r="BL529" i="3" s="1"/>
  <c r="BQ527" i="3"/>
  <c r="BL527" i="3" s="1"/>
  <c r="BQ525" i="3"/>
  <c r="BL525" i="3" s="1"/>
  <c r="AZ525" i="3" s="1"/>
  <c r="BQ523" i="3"/>
  <c r="BL523" i="3"/>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c r="BQ505" i="3"/>
  <c r="BL505" i="3" s="1"/>
  <c r="BQ503" i="3"/>
  <c r="BL503" i="3" s="1"/>
  <c r="BQ501" i="3"/>
  <c r="BL501" i="3" s="1"/>
  <c r="AZ501" i="3" s="1"/>
  <c r="BQ499" i="3"/>
  <c r="BL499" i="3" s="1"/>
  <c r="AZ499" i="3" s="1"/>
  <c r="BQ497" i="3"/>
  <c r="BL497" i="3" s="1"/>
  <c r="AZ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AB42" i="33"/>
  <c r="J43" i="33"/>
  <c r="AC43" i="33" s="1"/>
  <c r="S28" i="31"/>
  <c r="S27" i="31"/>
  <c r="S26" i="31"/>
  <c r="U14" i="40"/>
  <c r="U35" i="35"/>
  <c r="AB28" i="37"/>
  <c r="U39" i="37"/>
  <c r="U26" i="37"/>
  <c r="W47" i="34"/>
  <c r="AB13" i="34"/>
  <c r="AA13" i="33"/>
  <c r="AC31" i="33"/>
  <c r="AC45" i="33"/>
  <c r="U11" i="33"/>
  <c r="U19" i="21"/>
  <c r="W44" i="21"/>
  <c r="U26" i="21"/>
  <c r="AC46"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4" i="3"/>
  <c r="AZ28"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51" i="3"/>
  <c r="AZ55" i="3"/>
  <c r="AZ67" i="3"/>
  <c r="AZ71" i="3"/>
  <c r="AZ83" i="3"/>
  <c r="AZ136" i="3"/>
  <c r="AZ152" i="3"/>
  <c r="AZ160" i="3"/>
  <c r="AZ168" i="3"/>
  <c r="AZ184" i="3"/>
  <c r="AZ192" i="3"/>
  <c r="AZ200" i="3"/>
  <c r="AZ85" i="3"/>
  <c r="AZ93" i="3"/>
  <c r="AZ101"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M5" i="3"/>
  <c r="BJ5" i="3"/>
  <c r="BH5" i="3"/>
  <c r="BF5" i="3"/>
  <c r="BD5" i="3"/>
  <c r="BQ5" i="3"/>
  <c r="AZ496" i="3"/>
  <c r="G548" i="3"/>
  <c r="G538" i="3"/>
  <c r="G520" i="3"/>
  <c r="G502" i="3"/>
  <c r="BS5" i="3"/>
  <c r="BP5" i="3"/>
  <c r="BN5" i="3"/>
  <c r="AZ343" i="3"/>
  <c r="BK5" i="3"/>
  <c r="BI5" i="3"/>
  <c r="BG5" i="3"/>
  <c r="BE5" i="3"/>
  <c r="BC5" i="3"/>
  <c r="G17" i="3"/>
  <c r="BA17" i="3"/>
  <c r="BT5" i="3"/>
  <c r="AZ350" i="3"/>
  <c r="AZ352" i="3"/>
  <c r="BA15" i="3"/>
  <c r="BB5" i="3"/>
  <c r="BR5" i="3"/>
  <c r="AZ388" i="3"/>
  <c r="G509" i="3"/>
  <c r="AZ491" i="3"/>
  <c r="AZ382" i="3"/>
  <c r="F83" i="43"/>
  <c r="H85" i="43" s="1"/>
  <c r="F50" i="43"/>
  <c r="H54" i="43" s="1"/>
  <c r="F72" i="43"/>
  <c r="H75" i="43" s="1"/>
  <c r="U17" i="39"/>
  <c r="S14" i="35"/>
  <c r="U43" i="21"/>
  <c r="U35" i="21"/>
  <c r="AC35" i="21"/>
  <c r="G8" i="1"/>
  <c r="G10" i="1"/>
  <c r="AC11" i="39"/>
  <c r="W44" i="34"/>
  <c r="AC44" i="34"/>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48" i="3"/>
  <c r="AZ251" i="3"/>
  <c r="AZ256" i="3"/>
  <c r="AZ259" i="3"/>
  <c r="AZ268" i="3"/>
  <c r="AZ296" i="3"/>
  <c r="AZ114" i="3"/>
  <c r="AZ130" i="3"/>
  <c r="AZ21" i="3"/>
  <c r="AZ50" i="3"/>
  <c r="AZ53" i="3"/>
  <c r="AZ66" i="3"/>
  <c r="AZ69" i="3"/>
  <c r="AZ72" i="3"/>
  <c r="AZ74" i="3"/>
  <c r="AZ82" i="3"/>
  <c r="AZ102"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B34" i="36"/>
  <c r="U34" i="36"/>
  <c r="AB33" i="36"/>
  <c r="U33" i="36"/>
  <c r="AC39" i="40"/>
  <c r="W39" i="40"/>
  <c r="AZ412" i="3"/>
  <c r="AZ417" i="3"/>
  <c r="W12" i="33"/>
  <c r="AC12" i="33"/>
  <c r="AA32" i="36"/>
  <c r="S32" i="36"/>
  <c r="AZ437" i="3"/>
  <c r="AZ441" i="3"/>
  <c r="AZ490" i="3"/>
  <c r="AA39" i="34"/>
  <c r="F28" i="6"/>
  <c r="BL14" i="3"/>
  <c r="AZ266" i="3"/>
  <c r="U30" i="33"/>
  <c r="AC13" i="34"/>
  <c r="W28" i="37"/>
  <c r="S19" i="39"/>
  <c r="F12" i="33"/>
  <c r="S12" i="33" s="1"/>
  <c r="H12" i="39"/>
  <c r="AB12" i="39"/>
  <c r="F39" i="40"/>
  <c r="BA14" i="3"/>
  <c r="AZ367" i="3"/>
  <c r="AZ224" i="3"/>
  <c r="AZ238" i="3"/>
  <c r="AZ250" i="3"/>
  <c r="AZ281" i="3"/>
  <c r="AZ149" i="3"/>
  <c r="AZ165" i="3"/>
  <c r="AZ181" i="3"/>
  <c r="AZ197" i="3"/>
  <c r="AZ19" i="3"/>
  <c r="AZ26" i="3"/>
  <c r="B12" i="1"/>
  <c r="E12" i="1" s="1"/>
  <c r="B10" i="1"/>
  <c r="E10" i="1" s="1"/>
  <c r="AZ80" i="3"/>
  <c r="K12" i="1"/>
  <c r="M12" i="1" s="1"/>
  <c r="S13" i="1"/>
  <c r="AR13" i="1" s="1"/>
  <c r="R13" i="1"/>
  <c r="J51" i="67"/>
  <c r="C42" i="1"/>
  <c r="C24" i="12" s="1"/>
  <c r="AC34" i="33"/>
  <c r="AA34" i="33"/>
  <c r="B41" i="1"/>
  <c r="F48" i="9" s="1"/>
  <c r="O52" i="9" s="1"/>
  <c r="AB37" i="40"/>
  <c r="S35" i="40"/>
  <c r="AC36" i="40"/>
  <c r="W38" i="40"/>
  <c r="AA32" i="40"/>
  <c r="S23" i="40"/>
  <c r="AC15"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U14" i="39"/>
  <c r="AC13" i="39"/>
  <c r="U12" i="39"/>
  <c r="U13" i="36"/>
  <c r="U26" i="36"/>
  <c r="S33" i="36"/>
  <c r="AA34" i="36"/>
  <c r="AC26" i="36"/>
  <c r="AA22" i="36"/>
  <c r="AB14" i="36"/>
  <c r="U22" i="36"/>
  <c r="S16" i="36"/>
  <c r="S24" i="36"/>
  <c r="U24" i="36"/>
  <c r="AB20" i="36"/>
  <c r="U16" i="36"/>
  <c r="S14" i="36"/>
  <c r="S23" i="35"/>
  <c r="W24" i="35"/>
  <c r="AB13" i="35"/>
  <c r="U28" i="35"/>
  <c r="AB27" i="35"/>
  <c r="U36" i="35"/>
  <c r="U32" i="35"/>
  <c r="AA33" i="35"/>
  <c r="AC30" i="35"/>
  <c r="S32" i="35"/>
  <c r="S28" i="35"/>
  <c r="AB16" i="35"/>
  <c r="U22" i="35"/>
  <c r="S20" i="35"/>
  <c r="AC20" i="35"/>
  <c r="S22" i="35"/>
  <c r="U14" i="35"/>
  <c r="AC9" i="35"/>
  <c r="W9" i="35"/>
  <c r="AC12" i="35"/>
  <c r="W13" i="35"/>
  <c r="F9" i="35"/>
  <c r="S9" i="35" s="1"/>
  <c r="H9" i="35"/>
  <c r="U9" i="35" s="1"/>
  <c r="AB40" i="37"/>
  <c r="S25" i="37"/>
  <c r="U29" i="37"/>
  <c r="W38" i="37"/>
  <c r="W39" i="37"/>
  <c r="S37" i="37"/>
  <c r="AC15" i="37"/>
  <c r="J17" i="37"/>
  <c r="W17" i="37" s="1"/>
  <c r="G73" i="37"/>
  <c r="F17" i="37"/>
  <c r="AA17" i="37" s="1"/>
  <c r="F75" i="37"/>
  <c r="F19" i="37"/>
  <c r="S19" i="37" s="1"/>
  <c r="F79" i="37"/>
  <c r="G79" i="37" s="1"/>
  <c r="F23" i="37"/>
  <c r="S23" i="37" s="1"/>
  <c r="AA13" i="37"/>
  <c r="H10" i="37"/>
  <c r="AB10" i="37" s="1"/>
  <c r="F63" i="37"/>
  <c r="F11" i="37"/>
  <c r="S11" i="37" s="1"/>
  <c r="S27" i="34"/>
  <c r="AB8" i="34"/>
  <c r="U44" i="34"/>
  <c r="U43" i="34"/>
  <c r="AC39" i="34"/>
  <c r="AC42" i="34"/>
  <c r="U39" i="34"/>
  <c r="AB41" i="34"/>
  <c r="AA25" i="34"/>
  <c r="S17" i="34"/>
  <c r="AA29" i="34"/>
  <c r="U27" i="34"/>
  <c r="U15" i="34"/>
  <c r="S13" i="34"/>
  <c r="H10" i="34"/>
  <c r="AB10" i="34" s="1"/>
  <c r="F11" i="34"/>
  <c r="S11" i="34" s="1"/>
  <c r="W42" i="33"/>
  <c r="AA35" i="33"/>
  <c r="S32" i="33"/>
  <c r="AB29" i="33"/>
  <c r="W38" i="33"/>
  <c r="H41" i="33"/>
  <c r="AB4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F87" i="33"/>
  <c r="H25" i="33"/>
  <c r="AB25" i="33" s="1"/>
  <c r="F25" i="33"/>
  <c r="J23" i="33"/>
  <c r="AC23" i="33" s="1"/>
  <c r="F85" i="33"/>
  <c r="H23" i="33"/>
  <c r="AB23" i="33" s="1"/>
  <c r="F81" i="33"/>
  <c r="F19" i="33"/>
  <c r="S19" i="33" s="1"/>
  <c r="W19" i="33"/>
  <c r="J17" i="33"/>
  <c r="W17" i="33" s="1"/>
  <c r="F7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U11" i="40"/>
  <c r="AB13" i="40"/>
  <c r="AB17" i="40"/>
  <c r="U8" i="40"/>
  <c r="S8" i="40"/>
  <c r="AA39" i="39"/>
  <c r="AC41" i="39"/>
  <c r="U42" i="39"/>
  <c r="U41" i="39"/>
  <c r="AC25" i="39"/>
  <c r="AB13" i="39"/>
  <c r="S13" i="39"/>
  <c r="AA14" i="39"/>
  <c r="AB43" i="39"/>
  <c r="AB11" i="39"/>
  <c r="U11" i="39"/>
  <c r="AA27" i="39"/>
  <c r="S27" i="39"/>
  <c r="W17" i="39"/>
  <c r="AC17" i="39"/>
  <c r="W31" i="39"/>
  <c r="AC31" i="39"/>
  <c r="S23" i="39"/>
  <c r="AA45" i="39"/>
  <c r="AB39" i="39"/>
  <c r="W34" i="39"/>
  <c r="U38" i="39"/>
  <c r="S8" i="39"/>
  <c r="S20" i="36"/>
  <c r="AC25" i="36"/>
  <c r="U32" i="36"/>
  <c r="W29" i="36"/>
  <c r="U25" i="36"/>
  <c r="AA13" i="36"/>
  <c r="W9" i="36"/>
  <c r="W22" i="36"/>
  <c r="W23" i="36"/>
  <c r="AB20" i="35"/>
  <c r="AC25" i="35"/>
  <c r="U25" i="35"/>
  <c r="S24" i="35"/>
  <c r="S35" i="35"/>
  <c r="AA16" i="35"/>
  <c r="S27" i="37"/>
  <c r="S40" i="37"/>
  <c r="AB37" i="37"/>
  <c r="AA31" i="37"/>
  <c r="U8" i="37"/>
  <c r="AA40" i="34"/>
  <c r="AB40" i="34"/>
  <c r="W19" i="34"/>
  <c r="AB33" i="34"/>
  <c r="AC45" i="34"/>
  <c r="AA31" i="34"/>
  <c r="AA30" i="34"/>
  <c r="AB47" i="34"/>
  <c r="AB36"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C37" i="33"/>
  <c r="W46" i="33"/>
  <c r="U39" i="33"/>
  <c r="U38" i="33"/>
  <c r="S33" i="33"/>
  <c r="AB34" i="33"/>
  <c r="U44" i="33"/>
  <c r="AB44" i="33"/>
  <c r="S30" i="33"/>
  <c r="AA30" i="33"/>
  <c r="W14"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H45" i="21"/>
  <c r="U45" i="21" s="1"/>
  <c r="F29" i="21"/>
  <c r="S29" i="21" s="1"/>
  <c r="F13" i="21"/>
  <c r="AA13" i="21" s="1"/>
  <c r="AC38" i="21"/>
  <c r="H32" i="21"/>
  <c r="H9" i="21"/>
  <c r="U9" i="21" s="1"/>
  <c r="J9" i="21"/>
  <c r="J32" i="21"/>
  <c r="W32" i="21" s="1"/>
  <c r="F32" i="21"/>
  <c r="AA31" i="21"/>
  <c r="W29" i="21"/>
  <c r="S19" i="21"/>
  <c r="S9" i="21"/>
  <c r="AA9" i="21"/>
  <c r="K141" i="21"/>
  <c r="K144" i="21"/>
  <c r="K143" i="21"/>
  <c r="AB25" i="21"/>
  <c r="AB44" i="21"/>
  <c r="AA30" i="21"/>
  <c r="W13" i="21"/>
  <c r="W42" i="21"/>
  <c r="AC45" i="21"/>
  <c r="F10" i="21"/>
  <c r="AA10" i="21" s="1"/>
  <c r="K145" i="21"/>
  <c r="W17" i="21"/>
  <c r="AA29" i="21"/>
  <c r="S27" i="21"/>
  <c r="S17" i="21"/>
  <c r="AA15" i="21"/>
  <c r="AC27" i="21"/>
  <c r="AC26" i="21"/>
  <c r="AC34" i="21"/>
  <c r="AB36" i="21"/>
  <c r="C19" i="39"/>
  <c r="C15" i="40"/>
  <c r="C17" i="40"/>
  <c r="C23" i="40"/>
  <c r="C21" i="40"/>
  <c r="U30" i="40"/>
  <c r="B67" i="43"/>
  <c r="B51" i="43"/>
  <c r="B54" i="43"/>
  <c r="B58" i="43"/>
  <c r="B62" i="43"/>
  <c r="B65" i="43"/>
  <c r="B69" i="43"/>
  <c r="D23" i="15"/>
  <c r="D22" i="15"/>
  <c r="E4" i="4"/>
  <c r="B5" i="62" s="1"/>
  <c r="B73" i="72" s="1"/>
  <c r="C4" i="4"/>
  <c r="F30" i="69"/>
  <c r="F48" i="69" s="1"/>
  <c r="AA39" i="40"/>
  <c r="S39" i="40"/>
  <c r="AA12" i="33"/>
  <c r="J32" i="39"/>
  <c r="AC32" i="39" s="1"/>
  <c r="H32" i="39"/>
  <c r="AB32" i="39" s="1"/>
  <c r="AA32" i="39"/>
  <c r="AB21" i="39"/>
  <c r="AA21" i="39"/>
  <c r="J19" i="37"/>
  <c r="W19" i="37" s="1"/>
  <c r="G75" i="37"/>
  <c r="J23" i="37"/>
  <c r="AC23" i="37" s="1"/>
  <c r="J10" i="37"/>
  <c r="W10" i="37" s="1"/>
  <c r="G63" i="37"/>
  <c r="H63" i="37" s="1"/>
  <c r="I63" i="37" s="1"/>
  <c r="J63" i="37" s="1"/>
  <c r="K63" i="37" s="1"/>
  <c r="L63" i="37" s="1"/>
  <c r="M63" i="37" s="1"/>
  <c r="H11" i="37"/>
  <c r="AB11" i="37" s="1"/>
  <c r="H11" i="34"/>
  <c r="U11" i="34" s="1"/>
  <c r="J10" i="34"/>
  <c r="AC10" i="34" s="1"/>
  <c r="U41" i="33"/>
  <c r="W35" i="33"/>
  <c r="AC35" i="33"/>
  <c r="H111" i="33"/>
  <c r="I111" i="33" s="1"/>
  <c r="J111" i="33" s="1"/>
  <c r="K111" i="33" s="1"/>
  <c r="L111" i="33" s="1"/>
  <c r="M111" i="33" s="1"/>
  <c r="J36" i="33"/>
  <c r="W36" i="33" s="1"/>
  <c r="H36" i="33"/>
  <c r="U36" i="33" s="1"/>
  <c r="S36" i="33"/>
  <c r="AC32" i="33"/>
  <c r="W32" i="33"/>
  <c r="AB27" i="33"/>
  <c r="J27" i="33"/>
  <c r="U25" i="33"/>
  <c r="S25" i="33"/>
  <c r="AA25" i="33"/>
  <c r="G87" i="33"/>
  <c r="H87" i="33" s="1"/>
  <c r="I87" i="33" s="1"/>
  <c r="J87" i="33" s="1"/>
  <c r="K87" i="33" s="1"/>
  <c r="L87" i="33" s="1"/>
  <c r="M87" i="33" s="1"/>
  <c r="J25" i="33"/>
  <c r="W25" i="33" s="1"/>
  <c r="U23" i="33"/>
  <c r="F23" i="33"/>
  <c r="G85" i="33"/>
  <c r="W23" i="33"/>
  <c r="H19" i="33"/>
  <c r="AB19" i="33" s="1"/>
  <c r="G81" i="33"/>
  <c r="G79" i="33"/>
  <c r="H17" i="33"/>
  <c r="F17" i="33"/>
  <c r="S17" i="33" s="1"/>
  <c r="AC17" i="33"/>
  <c r="AA23" i="21"/>
  <c r="J23" i="21"/>
  <c r="W23" i="21" s="1"/>
  <c r="H23" i="21"/>
  <c r="S13" i="21"/>
  <c r="AP7" i="1"/>
  <c r="AB45" i="21"/>
  <c r="AB9" i="21"/>
  <c r="AA32" i="21"/>
  <c r="S32" i="21"/>
  <c r="W9" i="21"/>
  <c r="AC9" i="21"/>
  <c r="AB32" i="21"/>
  <c r="U32" i="21"/>
  <c r="U32" i="39"/>
  <c r="W32" i="39"/>
  <c r="J11" i="37"/>
  <c r="AC11" i="37" s="1"/>
  <c r="J11" i="34"/>
  <c r="W11" i="34" s="1"/>
  <c r="AB36" i="33"/>
  <c r="W27" i="33"/>
  <c r="AC27" i="33"/>
  <c r="AC25" i="33"/>
  <c r="AA23" i="33"/>
  <c r="S23" i="33"/>
  <c r="U19" i="33"/>
  <c r="U17" i="33"/>
  <c r="AB17" i="33"/>
  <c r="U23" i="21"/>
  <c r="AB23" i="21"/>
  <c r="H109" i="9"/>
  <c r="H112" i="9"/>
  <c r="D21" i="53" s="1"/>
  <c r="B39" i="72" s="1"/>
  <c r="H111"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8" i="71"/>
  <c r="D19" i="71"/>
  <c r="F9" i="67"/>
  <c r="F37" i="67"/>
  <c r="J15" i="67"/>
  <c r="F7" i="15"/>
  <c r="F5" i="73"/>
  <c r="F38" i="67"/>
  <c r="F4" i="73"/>
  <c r="L47" i="15"/>
  <c r="D4" i="73"/>
  <c r="F16" i="67"/>
  <c r="F43" i="67"/>
  <c r="L47" i="67"/>
  <c r="F43" i="15"/>
  <c r="M9" i="15"/>
  <c r="F6" i="73"/>
  <c r="M6" i="15"/>
  <c r="L48" i="15"/>
  <c r="D7" i="73"/>
  <c r="M6" i="67"/>
  <c r="F8" i="67"/>
  <c r="B9" i="76"/>
  <c r="B12" i="76"/>
  <c r="E12" i="76"/>
  <c r="D5" i="73"/>
  <c r="D3" i="73"/>
  <c r="B10" i="76"/>
  <c r="B13" i="76"/>
  <c r="E11" i="76"/>
  <c r="M24" i="15"/>
  <c r="M24" i="67"/>
  <c r="F26" i="15"/>
  <c r="F9" i="15"/>
  <c r="F36" i="15"/>
  <c r="F37" i="15"/>
  <c r="B11" i="76"/>
  <c r="E2" i="69"/>
  <c r="M22" i="67"/>
  <c r="E9" i="76"/>
  <c r="F3" i="73"/>
  <c r="F20" i="31"/>
  <c r="M8" i="15"/>
  <c r="B7" i="76"/>
  <c r="F26" i="67"/>
  <c r="F6" i="67"/>
  <c r="F7" i="73"/>
  <c r="E13" i="76"/>
  <c r="E8" i="76"/>
  <c r="D6" i="73"/>
  <c r="B8" i="76"/>
  <c r="E7" i="76"/>
  <c r="F40" i="67"/>
  <c r="M26" i="67"/>
  <c r="F38" i="15"/>
  <c r="F13" i="67"/>
  <c r="C76" i="67"/>
  <c r="E2" i="68"/>
  <c r="E10" i="76"/>
  <c r="AO13" i="1"/>
  <c r="AC19" i="37" l="1"/>
  <c r="AA19" i="37"/>
  <c r="U19" i="37"/>
  <c r="AC17" i="37"/>
  <c r="U23" i="37"/>
  <c r="AB17" i="37"/>
  <c r="W14" i="21"/>
  <c r="AC14" i="21"/>
  <c r="AA28" i="21"/>
  <c r="S28" i="21"/>
  <c r="U30" i="21"/>
  <c r="AB30" i="21"/>
  <c r="AB28" i="33"/>
  <c r="U28" i="33"/>
  <c r="W26" i="33"/>
  <c r="AC26" i="33"/>
  <c r="AB15" i="37"/>
  <c r="U15" i="37"/>
  <c r="AC26" i="37"/>
  <c r="W26" i="37"/>
  <c r="AA31" i="39"/>
  <c r="S31" i="39"/>
  <c r="AC12" i="40"/>
  <c r="W12" i="40"/>
  <c r="AB40" i="40"/>
  <c r="U40" i="40"/>
  <c r="U31" i="21"/>
  <c r="AB31" i="21"/>
  <c r="U46" i="21"/>
  <c r="AB46" i="21"/>
  <c r="AC27" i="34"/>
  <c r="W27" i="34"/>
  <c r="U23" i="35"/>
  <c r="AB23" i="35"/>
  <c r="W35" i="37"/>
  <c r="AC35" i="37"/>
  <c r="W12" i="39"/>
  <c r="AC12" i="39"/>
  <c r="AB35" i="39"/>
  <c r="U35" i="39"/>
  <c r="AZ380" i="3"/>
  <c r="D20" i="71"/>
  <c r="U20" i="71" s="1"/>
  <c r="T20" i="71"/>
  <c r="AA17" i="33"/>
  <c r="D6" i="52"/>
  <c r="AB15" i="21"/>
  <c r="S37" i="21"/>
  <c r="AA19" i="33"/>
  <c r="AA23" i="37"/>
  <c r="D68" i="9"/>
  <c r="F31" i="12"/>
  <c r="W30" i="40"/>
  <c r="AB29" i="21"/>
  <c r="W25" i="21"/>
  <c r="U27" i="21"/>
  <c r="U17" i="21"/>
  <c r="AC15" i="21"/>
  <c r="U15" i="33"/>
  <c r="W33" i="34"/>
  <c r="U25" i="34"/>
  <c r="AB45" i="34"/>
  <c r="U19" i="34"/>
  <c r="AA29" i="37"/>
  <c r="U38" i="37"/>
  <c r="W35" i="35"/>
  <c r="U24" i="35"/>
  <c r="AB28" i="36"/>
  <c r="AC20" i="36"/>
  <c r="U15" i="40"/>
  <c r="S31" i="40"/>
  <c r="AA15" i="40"/>
  <c r="W27" i="40"/>
  <c r="U29" i="34"/>
  <c r="AA14" i="21"/>
  <c r="W15" i="33"/>
  <c r="W43" i="33"/>
  <c r="S42" i="33"/>
  <c r="AA29" i="33"/>
  <c r="S27" i="33"/>
  <c r="S23" i="34"/>
  <c r="U28" i="34"/>
  <c r="AA45" i="34"/>
  <c r="S43" i="34"/>
  <c r="AB35" i="34"/>
  <c r="W41" i="34"/>
  <c r="AA33" i="34"/>
  <c r="W25" i="34"/>
  <c r="AC13" i="37"/>
  <c r="AA38" i="37"/>
  <c r="AA11" i="35"/>
  <c r="AA36" i="35"/>
  <c r="U29" i="35"/>
  <c r="AA25" i="35"/>
  <c r="AA25" i="36"/>
  <c r="W14" i="36"/>
  <c r="AA26" i="36"/>
  <c r="AA12" i="39"/>
  <c r="AA27" i="40"/>
  <c r="AB27" i="40"/>
  <c r="AC17" i="40"/>
  <c r="S17" i="40"/>
  <c r="U35" i="40"/>
  <c r="AA47" i="34"/>
  <c r="U36" i="40"/>
  <c r="AC5" i="3"/>
  <c r="AZ361" i="3"/>
  <c r="AZ16" i="3"/>
  <c r="AZ390" i="3"/>
  <c r="AZ356" i="3"/>
  <c r="AZ347" i="3"/>
  <c r="AZ344" i="3"/>
  <c r="AZ313" i="3"/>
  <c r="AZ378" i="3"/>
  <c r="AZ341" i="3"/>
  <c r="AZ327" i="3"/>
  <c r="AZ325" i="3"/>
  <c r="AZ309" i="3"/>
  <c r="W40" i="37"/>
  <c r="W44" i="33"/>
  <c r="AC36" i="34"/>
  <c r="W14" i="37"/>
  <c r="U43" i="33"/>
  <c r="AA41" i="34"/>
  <c r="AA36" i="39"/>
  <c r="AC28" i="34"/>
  <c r="AZ505" i="3"/>
  <c r="AZ529" i="3"/>
  <c r="AZ537" i="3"/>
  <c r="AZ545" i="3"/>
  <c r="AZ503" i="3"/>
  <c r="AZ507" i="3"/>
  <c r="AZ523" i="3"/>
  <c r="AZ527" i="3"/>
  <c r="AZ531" i="3"/>
  <c r="AZ535" i="3"/>
  <c r="AZ539" i="3"/>
  <c r="AZ543" i="3"/>
  <c r="AZ547" i="3"/>
  <c r="AZ553" i="3"/>
  <c r="AZ559" i="3"/>
  <c r="AZ568" i="3"/>
  <c r="AZ576" i="3"/>
  <c r="W36" i="39"/>
  <c r="AC45" i="39"/>
  <c r="AB45" i="33"/>
  <c r="AB46" i="34"/>
  <c r="AC11" i="35"/>
  <c r="J31" i="21"/>
  <c r="J28" i="33"/>
  <c r="F28" i="33"/>
  <c r="H26" i="33"/>
  <c r="F46" i="21"/>
  <c r="J30" i="21"/>
  <c r="H14" i="21"/>
  <c r="S15" i="34"/>
  <c r="S26" i="33"/>
  <c r="AC16" i="36"/>
  <c r="AB12" i="36"/>
  <c r="AC12" i="34"/>
  <c r="U34" i="21"/>
  <c r="S34" i="39"/>
  <c r="AA9" i="40"/>
  <c r="AB39" i="40"/>
  <c r="W39" i="33"/>
  <c r="W22" i="35"/>
  <c r="U9" i="39"/>
  <c r="J44" i="39"/>
  <c r="H12" i="21"/>
  <c r="BL585" i="3"/>
  <c r="AZ585" i="3" s="1"/>
  <c r="F12" i="35"/>
  <c r="J23" i="35"/>
  <c r="F9" i="36"/>
  <c r="F26" i="37"/>
  <c r="F44" i="39"/>
  <c r="G582" i="3"/>
  <c r="G566" i="3"/>
  <c r="G552" i="3"/>
  <c r="BA551" i="3"/>
  <c r="AZ551" i="3" s="1"/>
  <c r="G551" i="3"/>
  <c r="BL550" i="3"/>
  <c r="BA550" i="3"/>
  <c r="AZ550" i="3" s="1"/>
  <c r="BL548" i="3"/>
  <c r="AZ548" i="3" s="1"/>
  <c r="C18" i="9"/>
  <c r="D18" i="9" s="1"/>
  <c r="G400" i="3"/>
  <c r="BL400" i="3"/>
  <c r="AZ400" i="3" s="1"/>
  <c r="BA403" i="3"/>
  <c r="BL403" i="3"/>
  <c r="BA404" i="3"/>
  <c r="AZ404" i="3" s="1"/>
  <c r="BL408" i="3"/>
  <c r="AZ408" i="3" s="1"/>
  <c r="BA409" i="3"/>
  <c r="AZ409" i="3" s="1"/>
  <c r="G412" i="3"/>
  <c r="G413" i="3"/>
  <c r="BL413" i="3"/>
  <c r="BA414" i="3"/>
  <c r="AZ414" i="3" s="1"/>
  <c r="G417" i="3"/>
  <c r="G418" i="3"/>
  <c r="G422" i="3"/>
  <c r="AZ438" i="3"/>
  <c r="AZ443" i="3"/>
  <c r="AC23" i="21"/>
  <c r="BL586" i="3"/>
  <c r="AZ586" i="3" s="1"/>
  <c r="BL15" i="3"/>
  <c r="AZ15" i="3" s="1"/>
  <c r="AZ402" i="3"/>
  <c r="AZ406" i="3"/>
  <c r="AZ413" i="3"/>
  <c r="AZ419"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G488" i="3"/>
  <c r="G489" i="3"/>
  <c r="G490" i="3"/>
  <c r="G491" i="3"/>
  <c r="G492"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BL246" i="3"/>
  <c r="G248" i="3"/>
  <c r="G249" i="3"/>
  <c r="G250" i="3"/>
  <c r="G251" i="3"/>
  <c r="G252" i="3"/>
  <c r="BL252" i="3"/>
  <c r="BL254" i="3"/>
  <c r="AZ254"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258" i="3"/>
  <c r="AZ113" i="3"/>
  <c r="AZ126" i="3"/>
  <c r="AZ129" i="3"/>
  <c r="AZ141" i="3"/>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AZ92" i="3"/>
  <c r="BL103" i="3"/>
  <c r="AZ103" i="3" s="1"/>
  <c r="BA104" i="3"/>
  <c r="AZ104" i="3" s="1"/>
  <c r="BA105" i="3"/>
  <c r="AZ105" i="3" s="1"/>
  <c r="BL107" i="3"/>
  <c r="AZ107" i="3" s="1"/>
  <c r="BA108" i="3"/>
  <c r="AZ108" i="3" s="1"/>
  <c r="BA109" i="3"/>
  <c r="AZ109" i="3" s="1"/>
  <c r="BA110" i="3"/>
  <c r="AZ110" i="3" s="1"/>
  <c r="BA111" i="3"/>
  <c r="AZ111" i="3" s="1"/>
  <c r="AB21" i="21"/>
  <c r="AA21" i="33"/>
  <c r="B57" i="43"/>
  <c r="P27" i="6"/>
  <c r="D32" i="71"/>
  <c r="O66" i="71"/>
  <c r="P67" i="71"/>
  <c r="D79" i="71"/>
  <c r="C82" i="71"/>
  <c r="D82" i="71" s="1"/>
  <c r="D67" i="71"/>
  <c r="U28" i="71"/>
  <c r="AA25" i="71"/>
  <c r="AB27" i="71"/>
  <c r="D68" i="71"/>
  <c r="C59" i="71"/>
  <c r="U68" i="71"/>
  <c r="D34" i="71"/>
  <c r="X27" i="71"/>
  <c r="Y37" i="71"/>
  <c r="Z37" i="71" s="1"/>
  <c r="X32" i="71"/>
  <c r="X30" i="71"/>
  <c r="AA30" i="71"/>
  <c r="AA33" i="71"/>
  <c r="B43" i="71"/>
  <c r="B44" i="71" s="1"/>
  <c r="S44" i="71" s="1"/>
  <c r="B47" i="71"/>
  <c r="B48" i="71" s="1"/>
  <c r="S48" i="71" s="1"/>
  <c r="E55" i="71"/>
  <c r="E56" i="71" s="1"/>
  <c r="U56" i="71" s="1"/>
  <c r="V24" i="71"/>
  <c r="A15" i="62"/>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G5" i="3"/>
  <c r="B3" i="3" s="1"/>
  <c r="E253" i="3" s="1"/>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J53" i="15"/>
  <c r="L56" i="15" s="1"/>
  <c r="J57" i="15"/>
  <c r="J55" i="15" s="1"/>
  <c r="J58" i="15" s="1"/>
  <c r="Q50" i="15" s="1"/>
  <c r="I54" i="15"/>
  <c r="K1" i="73"/>
  <c r="B20" i="31"/>
  <c r="B21" i="31" s="1"/>
  <c r="I1" i="73"/>
  <c r="B39" i="1" s="1"/>
  <c r="F51" i="67"/>
  <c r="F65" i="67"/>
  <c r="M7" i="15"/>
  <c r="J6" i="15" s="1"/>
  <c r="F50" i="15"/>
  <c r="F71" i="15"/>
  <c r="F66" i="67"/>
  <c r="L59" i="15"/>
  <c r="N59" i="15"/>
  <c r="L58" i="15"/>
  <c r="M59" i="15"/>
  <c r="F66" i="15"/>
  <c r="Q71" i="67"/>
  <c r="F64" i="15"/>
  <c r="C27" i="67"/>
  <c r="F71" i="67"/>
  <c r="C27" i="15"/>
  <c r="F65" i="15"/>
  <c r="N59" i="67"/>
  <c r="L59" i="67"/>
  <c r="M59" i="67"/>
  <c r="B13" i="70"/>
  <c r="F68" i="67"/>
  <c r="C36" i="68"/>
  <c r="D9" i="69"/>
  <c r="C36" i="69"/>
  <c r="D9" i="68"/>
  <c r="M23" i="67"/>
  <c r="F36" i="67"/>
  <c r="M22" i="15"/>
  <c r="F16" i="15"/>
  <c r="M26" i="15"/>
  <c r="C16" i="67"/>
  <c r="M9" i="67"/>
  <c r="F42" i="67"/>
  <c r="L48" i="67"/>
  <c r="F40" i="15"/>
  <c r="M28" i="67"/>
  <c r="M28" i="15"/>
  <c r="J15" i="15"/>
  <c r="F42" i="15"/>
  <c r="M23" i="15"/>
  <c r="M29" i="67"/>
  <c r="G1" i="73"/>
  <c r="M29" i="15"/>
  <c r="F8" i="15"/>
  <c r="F7" i="67"/>
  <c r="M8" i="67"/>
  <c r="C76" i="15"/>
  <c r="F6" i="15"/>
  <c r="C6" i="15" l="1"/>
  <c r="C32" i="15" s="1"/>
  <c r="Q71" i="15"/>
  <c r="F68" i="15"/>
  <c r="J53" i="67"/>
  <c r="F1" i="67" s="1"/>
  <c r="L56" i="67"/>
  <c r="L58" i="67"/>
  <c r="Q60" i="67" s="1"/>
  <c r="J57" i="67"/>
  <c r="J55" i="67" s="1"/>
  <c r="J58" i="67" s="1"/>
  <c r="Q50" i="67" s="1"/>
  <c r="I54" i="67"/>
  <c r="C6" i="67"/>
  <c r="C32" i="67" s="1"/>
  <c r="M7" i="67"/>
  <c r="J6" i="67" s="1"/>
  <c r="J18" i="67" s="1"/>
  <c r="F50" i="67"/>
  <c r="C49" i="67" s="1"/>
  <c r="F51" i="15"/>
  <c r="F64" i="67"/>
  <c r="D59" i="71"/>
  <c r="C60" i="71"/>
  <c r="AZ246" i="3"/>
  <c r="AZ450" i="3"/>
  <c r="AZ434" i="3"/>
  <c r="AZ403" i="3"/>
  <c r="AZ5" i="3" s="1"/>
  <c r="AA44" i="39"/>
  <c r="S44" i="39"/>
  <c r="AA9" i="36"/>
  <c r="S9" i="36"/>
  <c r="S12" i="35"/>
  <c r="AA12" i="35"/>
  <c r="AB12" i="21"/>
  <c r="U12" i="21"/>
  <c r="U14" i="21"/>
  <c r="AB14" i="21"/>
  <c r="AA46" i="21"/>
  <c r="S46" i="21"/>
  <c r="S28" i="33"/>
  <c r="AA28" i="33"/>
  <c r="AC31" i="21"/>
  <c r="W31" i="21"/>
  <c r="F15" i="71"/>
  <c r="F14" i="71" s="1"/>
  <c r="F13" i="71" s="1"/>
  <c r="F12" i="71" s="1"/>
  <c r="F11" i="71" s="1"/>
  <c r="F10" i="71" s="1"/>
  <c r="F9" i="71" s="1"/>
  <c r="F8" i="71" s="1"/>
  <c r="F7" i="71" s="1"/>
  <c r="F6" i="71" s="1"/>
  <c r="F5" i="71" s="1"/>
  <c r="M23" i="43"/>
  <c r="N20" i="1"/>
  <c r="N6" i="1" s="1"/>
  <c r="U21" i="1"/>
  <c r="V22" i="1" s="1"/>
  <c r="AA26" i="37"/>
  <c r="S26" i="37"/>
  <c r="AC23" i="35"/>
  <c r="W23" i="35"/>
  <c r="AC44" i="39"/>
  <c r="W44" i="39"/>
  <c r="AC30" i="21"/>
  <c r="W30" i="21"/>
  <c r="U26" i="33"/>
  <c r="AB26" i="33"/>
  <c r="AC28" i="33"/>
  <c r="W28" i="33"/>
  <c r="BA5" i="3"/>
  <c r="S36" i="37"/>
  <c r="F7" i="36"/>
  <c r="J7" i="37"/>
  <c r="W7" i="37" s="1"/>
  <c r="H7" i="36"/>
  <c r="AB36" i="37"/>
  <c r="U36" i="37"/>
  <c r="E83" i="43"/>
  <c r="B81" i="43" s="1"/>
  <c r="G26" i="4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61" i="67"/>
  <c r="Q74" i="67"/>
  <c r="Q74" i="15"/>
  <c r="Q61" i="15"/>
  <c r="AE11" i="1"/>
  <c r="AE9" i="1"/>
  <c r="F27" i="68"/>
  <c r="AE7" i="1"/>
  <c r="AE8" i="1"/>
  <c r="AE12" i="1"/>
  <c r="AE10" i="1"/>
  <c r="C16" i="15"/>
  <c r="AE6" i="1"/>
  <c r="F41" i="67"/>
  <c r="Q52" i="67" l="1"/>
  <c r="Q73" i="67"/>
  <c r="J5" i="67"/>
  <c r="E3" i="6"/>
  <c r="AY6" i="3"/>
  <c r="C33" i="37"/>
  <c r="Y6" i="1"/>
  <c r="T60" i="71"/>
  <c r="D60" i="71"/>
  <c r="E65" i="39"/>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13" i="15"/>
  <c r="F41" i="15"/>
  <c r="E33" i="37" l="1"/>
  <c r="F33" i="37" s="1"/>
  <c r="J33" i="37"/>
  <c r="H33" i="37"/>
  <c r="C30" i="37"/>
  <c r="D33" i="43"/>
  <c r="D1" i="43" s="1"/>
  <c r="B118" i="9"/>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AC33" i="37" l="1"/>
  <c r="W33" i="37"/>
  <c r="H30" i="37"/>
  <c r="J30" i="37"/>
  <c r="F30" i="37"/>
  <c r="AB33" i="37"/>
  <c r="U33" i="37"/>
  <c r="AA33" i="37"/>
  <c r="S33" i="37"/>
  <c r="B1" i="74"/>
  <c r="B14" i="74"/>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M23"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I48" i="35"/>
  <c r="C48" i="33"/>
  <c r="C49" i="33"/>
  <c r="H58" i="21"/>
  <c r="E53" i="33"/>
  <c r="F53" i="33" s="1"/>
  <c r="E52" i="33"/>
  <c r="F52" i="33" s="1"/>
  <c r="C33" i="15"/>
  <c r="C33" i="67"/>
  <c r="J19" i="67"/>
  <c r="C34" i="68"/>
  <c r="C14" i="15"/>
  <c r="E6" i="76"/>
  <c r="B6" i="76"/>
  <c r="AA30" i="37" l="1"/>
  <c r="R42" i="37" s="1"/>
  <c r="S30" i="37"/>
  <c r="AB30" i="37"/>
  <c r="T42" i="37" s="1"/>
  <c r="G42" i="37" s="1"/>
  <c r="U30" i="37"/>
  <c r="AC30" i="37"/>
  <c r="V42" i="37" s="1"/>
  <c r="I42" i="37" s="1"/>
  <c r="W30" i="37"/>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I46" i="37" l="1"/>
  <c r="J46" i="37" s="1"/>
  <c r="G47" i="37"/>
  <c r="H47" i="37" s="1"/>
  <c r="G46" i="37"/>
  <c r="H46" i="37" s="1"/>
  <c r="E42" i="37"/>
  <c r="I47" i="37" s="1"/>
  <c r="J47" i="37" s="1"/>
  <c r="R43" i="37"/>
  <c r="C21" i="12"/>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2" i="37" l="1"/>
  <c r="C43" i="37"/>
  <c r="J7" i="35"/>
  <c r="E46" i="37"/>
  <c r="F46" i="37" s="1"/>
  <c r="E47" i="37"/>
  <c r="F47" i="37" s="1"/>
  <c r="C30" i="12"/>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40" i="15"/>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L51" i="15"/>
  <c r="D2" i="35"/>
  <c r="D2" i="37"/>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11" i="1"/>
  <c r="AO12" i="1"/>
  <c r="AO8" i="1"/>
  <c r="C19" i="9"/>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1" i="9" l="1"/>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L68" i="9"/>
  <c r="M68" i="9" s="1"/>
  <c r="L63" i="9"/>
  <c r="M63" i="9" s="1"/>
  <c r="L66" i="9"/>
  <c r="M66" i="9" s="1"/>
  <c r="L67" i="9"/>
  <c r="M67" i="9" s="1"/>
  <c r="L65" i="9"/>
  <c r="M65" i="9" s="1"/>
  <c r="L64" i="9"/>
  <c r="M64" i="9" s="1"/>
  <c r="B30" i="72"/>
  <c r="D14" i="53"/>
  <c r="B32" i="72" s="1"/>
  <c r="D8" i="52"/>
  <c r="D123" i="9"/>
  <c r="D9" i="52" s="1"/>
  <c r="C79" i="9" l="1"/>
  <c r="C80" i="9" s="1"/>
  <c r="E80" i="9" s="1"/>
  <c r="E81" i="9" s="1"/>
  <c r="M101" i="9"/>
  <c r="N100" i="9"/>
  <c r="N101" i="9" s="1"/>
  <c r="C68" i="9"/>
  <c r="D54" i="9" s="1"/>
  <c r="C95" i="9"/>
  <c r="C96" i="9" s="1"/>
  <c r="E96" i="9" s="1"/>
  <c r="E97" i="9" s="1"/>
  <c r="D15" i="53"/>
  <c r="B31" i="72" s="1"/>
  <c r="C81" i="9"/>
  <c r="M69" i="9"/>
  <c r="N69" i="9" s="1"/>
  <c r="N102"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4"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2"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<sst xmlns="http://schemas.openxmlformats.org/spreadsheetml/2006/main" count="8223" uniqueCount="3602">
  <si>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</si>
  <si>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</si>
  <si>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</si>
  <si>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</si>
  <si>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</si>
  <si>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</si>
  <si>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</si>
  <si>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</si>
  <si>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</si>
  <si>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</si>
  <si>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</si>
  <si>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</si>
  <si>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</si>
  <si>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</si>
  <si>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</si>
  <si>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</si>
  <si>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</si>
  <si>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</si>
  <si>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</si>
  <si>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</si>
  <si>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</si>
  <si>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</si>
  <si>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</si>
  <si>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</si>
  <si>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</si>
  <si>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</si>
  <si>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</si>
  <si>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</si>
  <si>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</si>
  <si>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</si>
  <si>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</si>
  <si>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</si>
  <si>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</si>
  <si>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</si>
  <si>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</si>
  <si>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</si>
  <si>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</si>
  <si>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</si>
  <si>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</si>
  <si>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</si>
  <si>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</si>
  <si>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</si>
  <si>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</si>
  <si>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</si>
  <si>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</si>
  <si>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</si>
  <si>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</si>
  <si>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</si>
  <si>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</si>
  <si>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</si>
  <si>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</si>
  <si>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</si>
  <si>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</si>
  <si>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</si>
  <si>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</si>
  <si>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</si>
  <si>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</si>
  <si>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</si>
  <si>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</si>
  <si>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</si>
  <si>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</si>
  <si>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</si>
  <si>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</si>
  <si>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</si>
  <si>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</si>
  <si>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</si>
  <si>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</si>
  <si>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</si>
  <si>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</si>
  <si>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</si>
  <si>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</si>
  <si>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</si>
  <si>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</si>
  <si>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</si>
  <si>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</si>
  <si>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</si>
  <si>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</si>
  <si>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</si>
  <si>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</si>
  <si>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</si>
  <si>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</si>
  <si>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</si>
  <si>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</si>
  <si>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</si>
  <si>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</si>
  <si>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</si>
  <si>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</si>
  <si>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</si>
  <si>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</si>
  <si>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</si>
  <si>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</si>
  <si>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</si>
  <si>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</si>
  <si>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</si>
  <si>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</si>
  <si>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</si>
  <si>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</si>
  <si>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</si>
  <si>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</si>
  <si>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</si>
  <si>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</si>
  <si>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</si>
  <si>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</si>
  <si>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</si>
  <si>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</si>
  <si>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</si>
  <si>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</si>
  <si>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</si>
  <si>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</si>
  <si>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</si>
  <si>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</si>
  <si>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</si>
  <si>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</si>
  <si>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</si>
  <si>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</si>
  <si>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</si>
  <si>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</si>
  <si>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</si>
  <si>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</si>
  <si>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</si>
  <si>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</si>
  <si>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</si>
  <si>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</si>
  <si>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</si>
  <si>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</si>
  <si>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</si>
  <si>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</si>
  <si>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</si>
  <si>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</si>
  <si>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</si>
  <si>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</si>
  <si>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</si>
  <si>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</si>
  <si>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</si>
  <si>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</si>
  <si>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</si>
  <si>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</si>
  <si>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</si>
  <si>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</si>
  <si>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</si>
  <si>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</si>
  <si>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</si>
  <si>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</si>
  <si>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</si>
  <si>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</si>
  <si>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</si>
  <si>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</si>
  <si>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</si>
  <si>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</si>
  <si>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</si>
  <si>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</si>
  <si>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</si>
  <si>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</si>
  <si>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</si>
  <si>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</si>
  <si>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</si>
  <si>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</si>
  <si>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</si>
  <si>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</si>
  <si>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</si>
  <si>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</si>
  <si>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</si>
  <si>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</si>
  <si>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</si>
  <si>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</si>
  <si>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</si>
  <si>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</si>
  <si>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</si>
  <si>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</si>
  <si>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</si>
  <si>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</si>
  <si>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</si>
  <si>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</si>
  <si>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</si>
  <si>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</si>
  <si>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</si>
  <si>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</si>
  <si>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</si>
  <si>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</si>
  <si>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</si>
  <si>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</si>
  <si>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</si>
  <si>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</si>
  <si>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</si>
  <si>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</si>
  <si>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</si>
  <si>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</si>
  <si>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</si>
  <si>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</si>
  <si>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</si>
  <si>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</si>
  <si>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</si>
  <si>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</si>
  <si>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</si>
  <si>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</si>
  <si>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</si>
  <si>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</si>
  <si>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</si>
  <si>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</si>
  <si>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</si>
  <si>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</si>
  <si>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</si>
  <si>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</si>
  <si>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</si>
  <si>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</si>
  <si>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</si>
  <si>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</si>
  <si>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</si>
  <si>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</si>
  <si>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</si>
  <si>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</si>
  <si>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</si>
  <si>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</si>
  <si>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</si>
  <si>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</si>
  <si>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</si>
  <si>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</si>
  <si>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</si>
  <si>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</si>
  <si>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</si>
  <si>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</si>
  <si>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</si>
  <si>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</si>
  <si>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</si>
  <si>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</si>
  <si>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</si>
  <si>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</si>
  <si>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</si>
  <si>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</si>
  <si>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</si>
  <si>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</si>
  <si>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</si>
  <si>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</si>
  <si>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</si>
  <si>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</si>
  <si>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</si>
  <si>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</si>
  <si>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</si>
  <si>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</si>
  <si>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</si>
  <si>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</si>
  <si>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</si>
  <si>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</si>
  <si>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</si>
  <si>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</si>
  <si>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</si>
  <si>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</si>
  <si>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</si>
  <si>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</si>
  <si>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</si>
  <si>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</si>
  <si>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</si>
  <si>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</si>
  <si>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</si>
  <si>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</si>
  <si>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</si>
  <si>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</si>
  <si>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</si>
  <si>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</si>
  <si>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</si>
  <si>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</si>
  <si>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</si>
  <si>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</si>
  <si>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</si>
  <si>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</si>
  <si>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</si>
  <si>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</si>
  <si>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</si>
  <si>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</si>
  <si>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</si>
  <si>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</si>
  <si>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</si>
  <si>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</si>
  <si>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</si>
  <si>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</si>
  <si>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</si>
  <si>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</si>
  <si>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</si>
  <si>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</si>
  <si>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</si>
  <si>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</si>
  <si>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</si>
  <si>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</si>
  <si>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</si>
  <si>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</si>
  <si>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</si>
  <si>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</si>
  <si>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</si>
  <si>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</si>
  <si>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</si>
  <si>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</si>
  <si>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</si>
  <si>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</si>
  <si>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</si>
  <si>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</si>
  <si>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</si>
  <si>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</si>
  <si>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</si>
  <si>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</si>
  <si>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</si>
  <si>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</si>
  <si>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</si>
  <si>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</si>
  <si>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</si>
  <si>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</si>
  <si>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</si>
  <si>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</si>
  <si>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</si>
  <si>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</si>
  <si>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</si>
  <si>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</si>
  <si>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</si>
  <si>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</si>
  <si>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</si>
  <si>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</si>
  <si>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</si>
  <si>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</si>
  <si>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</si>
  <si>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</si>
  <si>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</si>
  <si>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</si>
  <si>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</si>
  <si>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</si>
  <si>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</si>
  <si>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</si>
  <si>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</si>
  <si>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</si>
  <si>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</si>
  <si>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</si>
  <si>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</si>
  <si>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</si>
  <si>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</si>
  <si>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</si>
  <si>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</si>
  <si>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</si>
  <si>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</si>
  <si>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</si>
  <si>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</si>
  <si>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</si>
  <si>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</si>
  <si>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</si>
  <si>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</si>
  <si>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</si>
  <si>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</si>
  <si>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</si>
  <si>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</si>
  <si>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</si>
  <si>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</si>
  <si>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</si>
  <si>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</si>
  <si>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</si>
  <si>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</si>
  <si>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</si>
  <si>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</si>
  <si>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</si>
  <si>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</si>
  <si>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</si>
  <si>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</si>
  <si>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</si>
  <si>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</si>
  <si>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</si>
  <si>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</si>
  <si>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</si>
  <si>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</si>
  <si>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</si>
  <si>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</si>
  <si>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</si>
  <si>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</si>
  <si>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</si>
  <si>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</si>
  <si>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</si>
  <si>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</si>
  <si>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</si>
  <si>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</si>
  <si>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</si>
  <si>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</si>
  <si>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</si>
  <si>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</si>
  <si>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</si>
  <si>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</si>
  <si>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</si>
  <si>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</si>
  <si>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</si>
  <si>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</si>
  <si>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</si>
  <si>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</si>
  <si>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</si>
  <si>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</si>
  <si>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</si>
  <si>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</si>
  <si>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</si>
  <si>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</si>
  <si>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</si>
  <si>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</si>
  <si>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</si>
  <si>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</si>
  <si>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</si>
  <si>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</si>
  <si>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</si>
  <si>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</si>
  <si>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</si>
  <si>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</si>
  <si>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</si>
  <si>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</si>
  <si>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</si>
  <si>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</si>
  <si>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</si>
  <si>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</si>
  <si>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</si>
  <si>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</si>
  <si>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</si>
  <si>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</si>
  <si>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</si>
  <si>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</si>
  <si>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</si>
  <si>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</si>
  <si>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</si>
  <si>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</si>
  <si>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</si>
  <si>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</si>
  <si>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</si>
  <si>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</si>
  <si>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</si>
  <si>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</si>
  <si>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</si>
  <si>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</si>
  <si>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</si>
  <si>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</si>
  <si>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</si>
  <si>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</si>
  <si>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</si>
  <si>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</si>
  <si>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</si>
  <si>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</si>
  <si>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</si>
  <si>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</si>
  <si>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</si>
  <si>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</si>
  <si>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</si>
  <si>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</si>
  <si>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</si>
  <si>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</si>
  <si>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</si>
  <si>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</si>
  <si>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</si>
  <si>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</si>
  <si>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</si>
  <si>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</si>
  <si>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</si>
  <si>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</si>
  <si>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</si>
  <si>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</si>
  <si>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</si>
  <si>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</si>
  <si>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</si>
  <si>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</si>
  <si>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</si>
  <si>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</si>
  <si>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</si>
  <si>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</si>
  <si>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</si>
  <si>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</si>
  <si>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</si>
  <si>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</si>
  <si>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</si>
  <si>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</si>
  <si>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</si>
  <si>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</si>
  <si>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</si>
  <si>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</si>
  <si>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</si>
  <si>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</si>
  <si>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</si>
  <si>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</si>
  <si>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</si>
  <si>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</si>
  <si>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</si>
  <si>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</si>
  <si>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</si>
  <si>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</si>
  <si>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</si>
  <si>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</si>
  <si>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</si>
  <si>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</si>
  <si>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</si>
  <si>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</si>
  <si>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</si>
  <si>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</si>
  <si>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</si>
  <si>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</si>
  <si>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</si>
  <si>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</si>
  <si>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</si>
  <si>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</si>
  <si>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</si>
  <si>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</si>
  <si>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</si>
  <si>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</si>
  <si>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</si>
  <si>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</si>
  <si>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</si>
  <si>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</si>
  <si>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</si>
  <si>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</si>
  <si>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</si>
  <si>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</si>
  <si>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</si>
  <si>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</si>
  <si>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</si>
  <si>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</si>
  <si>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</si>
  <si>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</si>
  <si>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</si>
  <si>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</si>
  <si>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</si>
  <si>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</si>
  <si>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</si>
  <si>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</si>
  <si>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</si>
  <si>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</si>
  <si>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</si>
  <si>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</si>
  <si>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</si>
  <si>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</si>
  <si>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</si>
  <si>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</si>
  <si>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</si>
  <si>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</si>
  <si>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</si>
  <si>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</si>
  <si>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</si>
  <si>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</si>
  <si>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</si>
  <si>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</si>
  <si>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</si>
  <si>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</si>
  <si>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</si>
  <si>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</si>
  <si>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</si>
  <si>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</si>
  <si>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</si>
  <si>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</si>
  <si>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</si>
  <si>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</si>
  <si>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</si>
  <si>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</si>
  <si>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</si>
  <si>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</si>
  <si>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</si>
  <si>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</si>
  <si>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</si>
  <si>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</si>
  <si>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</si>
  <si>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</si>
  <si>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</si>
  <si>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</si>
  <si>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</si>
  <si>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</si>
  <si>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</si>
  <si>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</si>
  <si>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</si>
  <si>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</si>
  <si>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</si>
  <si>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</si>
  <si>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</si>
  <si>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</si>
  <si>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</si>
  <si>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</si>
  <si>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</si>
  <si>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</si>
  <si>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</si>
  <si>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</si>
  <si>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</si>
  <si>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</si>
  <si>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</si>
  <si>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</si>
  <si>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</si>
  <si>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</si>
  <si>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</si>
  <si>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</si>
  <si>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</si>
  <si>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</si>
  <si>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</si>
  <si>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</si>
  <si>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</si>
  <si>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</si>
  <si>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</si>
  <si>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</si>
  <si>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</si>
  <si>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</si>
  <si>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</si>
  <si>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</si>
  <si>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</si>
  <si>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</si>
  <si>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</si>
  <si>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</si>
  <si>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</si>
  <si>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</si>
  <si>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</si>
  <si>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</si>
  <si>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</si>
  <si>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</si>
  <si>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</si>
  <si>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</si>
  <si>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</si>
  <si>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</si>
  <si>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</si>
  <si>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</si>
  <si>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</si>
  <si>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</si>
  <si>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</si>
  <si>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</si>
  <si>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</si>
  <si>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</si>
  <si>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</si>
  <si>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</si>
  <si>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</si>
  <si>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</si>
  <si>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</si>
  <si>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</si>
  <si>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</si>
  <si>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</si>
  <si>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</si>
  <si>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</si>
  <si>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</si>
  <si>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</si>
  <si>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</si>
  <si>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</si>
  <si>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</si>
  <si>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</si>
  <si>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</si>
  <si>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</si>
  <si>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</si>
  <si>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</si>
  <si>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</si>
  <si>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</si>
  <si>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</si>
  <si>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</si>
  <si>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</si>
  <si>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</si>
  <si>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</si>
  <si>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</si>
  <si>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</si>
  <si>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</si>
  <si>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</si>
  <si>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</si>
  <si>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</si>
  <si>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</si>
  <si>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</si>
  <si>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</si>
  <si>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</si>
  <si>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</si>
  <si>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</si>
  <si>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</si>
  <si>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</si>
  <si>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</si>
  <si>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</si>
  <si>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</si>
  <si>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</si>
  <si>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</si>
  <si>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</si>
  <si>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</si>
  <si>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</si>
  <si>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</si>
  <si>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</si>
  <si>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</si>
  <si>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</si>
  <si>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</si>
  <si>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</si>
  <si>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</si>
  <si>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</si>
  <si>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</si>
  <si>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</si>
  <si>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</si>
  <si>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</si>
  <si>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</si>
  <si>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</si>
  <si>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</si>
  <si>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</si>
  <si>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</si>
  <si>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</si>
  <si>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</si>
  <si>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</si>
  <si>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</si>
  <si>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</si>
  <si>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</si>
  <si>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</si>
  <si>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</si>
  <si>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</si>
  <si>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</si>
  <si>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</si>
  <si>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</si>
  <si>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</si>
  <si>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</si>
  <si>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</si>
  <si>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</si>
  <si>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</si>
  <si>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</si>
  <si>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</si>
  <si>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</si>
  <si>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</si>
  <si>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</si>
  <si>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</si>
  <si>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</si>
  <si>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</si>
  <si>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</si>
  <si>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</si>
  <si>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</si>
  <si>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</si>
  <si>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</si>
  <si>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</si>
  <si>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</si>
  <si>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</si>
  <si>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</si>
  <si>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</si>
  <si>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</si>
  <si>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</si>
  <si>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</si>
  <si>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</si>
  <si>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</si>
  <si>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</si>
  <si>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</si>
  <si>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</si>
  <si>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</si>
  <si>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</si>
  <si>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</si>
  <si>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</si>
  <si>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</si>
  <si>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</si>
  <si>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</si>
  <si>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</si>
  <si>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</si>
  <si>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</si>
  <si>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</si>
  <si>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</si>
  <si>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</si>
  <si>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</si>
  <si>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</si>
  <si>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</si>
  <si>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</si>
  <si>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</si>
  <si>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</si>
  <si>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</si>
  <si>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</si>
  <si>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</si>
  <si>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</si>
  <si>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</si>
  <si>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</si>
  <si>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</si>
  <si>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</si>
  <si>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</si>
  <si>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</si>
  <si>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</si>
  <si>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</si>
  <si>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</si>
  <si>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</si>
  <si>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</si>
  <si>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</si>
  <si>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</si>
  <si>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</si>
  <si>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</si>
  <si>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</si>
  <si>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</si>
  <si>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</si>
  <si>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</si>
  <si>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</si>
  <si>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</si>
  <si>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</si>
  <si>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</si>
  <si>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</si>
  <si>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</si>
  <si>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</si>
  <si>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</si>
  <si>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</si>
  <si>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</si>
  <si>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</si>
  <si>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</si>
  <si>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</si>
  <si>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</si>
  <si>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</si>
  <si>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</si>
  <si>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</si>
  <si>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</si>
  <si>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</si>
  <si>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</si>
  <si>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</si>
  <si>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</si>
  <si>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</si>
  <si>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</si>
  <si>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</si>
  <si>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</si>
  <si>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</si>
  <si>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</si>
  <si>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</si>
  <si>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</si>
  <si>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</si>
  <si>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</si>
  <si>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</si>
  <si>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</si>
  <si>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</si>
  <si>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</si>
  <si>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</si>
  <si>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</si>
  <si>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</si>
  <si>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</si>
  <si>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</si>
  <si>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</si>
  <si>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</si>
  <si>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</si>
  <si>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</si>
  <si>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</si>
  <si>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</si>
  <si>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</si>
  <si>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</si>
  <si>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</si>
  <si>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</si>
  <si>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</si>
  <si>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</si>
  <si>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</si>
  <si>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</si>
  <si>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</si>
  <si>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</si>
  <si>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</si>
  <si>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</si>
  <si>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</si>
  <si>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</si>
  <si>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</si>
  <si>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</si>
  <si>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</si>
  <si>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</si>
  <si>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</si>
  <si>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</si>
  <si>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</si>
  <si>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</si>
  <si>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</si>
  <si>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</si>
  <si>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</si>
  <si>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</si>
  <si>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</si>
  <si>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</si>
  <si>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</si>
  <si>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</si>
  <si>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</si>
  <si>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</si>
  <si>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</si>
  <si>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</si>
  <si>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</si>
  <si>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</si>
  <si>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</si>
  <si>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</si>
  <si>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</si>
  <si>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</si>
  <si>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</si>
  <si>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</si>
  <si>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</si>
  <si>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</si>
  <si>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</si>
  <si>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</si>
  <si>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</si>
  <si>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</si>
  <si>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</si>
  <si>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</si>
  <si>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</si>
  <si>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</si>
  <si>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</si>
  <si>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</si>
  <si>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</si>
  <si>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</si>
  <si>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</si>
  <si>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</si>
  <si>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</si>
  <si>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</si>
  <si>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</si>
  <si>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</si>
  <si>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</si>
  <si>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</si>
  <si>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</si>
  <si>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</si>
  <si>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</si>
  <si>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</si>
  <si>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</si>
  <si>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</si>
  <si>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</si>
  <si>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</si>
  <si>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</si>
  <si>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</si>
  <si>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</si>
  <si>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</si>
  <si>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</si>
  <si>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</si>
  <si>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</si>
  <si>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</si>
  <si>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</si>
  <si>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</si>
  <si>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</si>
  <si>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</si>
  <si>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</si>
  <si>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</si>
  <si>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</si>
  <si>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</si>
  <si>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</si>
  <si>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</si>
  <si>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</si>
  <si>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</si>
  <si>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</si>
  <si>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</si>
  <si>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</si>
  <si>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</si>
  <si>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</si>
  <si>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</si>
  <si>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</si>
  <si>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</si>
  <si>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</si>
  <si>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</si>
  <si>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</si>
  <si>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</si>
  <si>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</si>
  <si>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</si>
  <si>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</si>
  <si>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</si>
  <si>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</si>
  <si>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</si>
  <si>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</si>
  <si>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</si>
  <si>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</si>
  <si>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</si>
  <si>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</si>
  <si>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</si>
  <si>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</si>
  <si>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</si>
  <si>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</si>
  <si>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</si>
  <si>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</si>
  <si>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</si>
  <si>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</si>
  <si>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</si>
  <si>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</si>
  <si>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</si>
  <si>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</si>
  <si>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</si>
  <si>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</si>
  <si>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</si>
  <si>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</si>
  <si>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</si>
  <si>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</si>
  <si>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</si>
  <si>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</si>
  <si>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</si>
  <si>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</si>
  <si>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</si>
  <si>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</si>
  <si>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</si>
  <si>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</si>
  <si>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</si>
  <si>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</si>
  <si>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</si>
  <si>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</si>
  <si>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</si>
  <si>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</si>
  <si>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</si>
  <si>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</si>
  <si>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</si>
  <si>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</si>
  <si>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</si>
  <si>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</si>
  <si>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</si>
  <si>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</si>
  <si>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</si>
  <si>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</si>
  <si>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</si>
  <si>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</si>
  <si>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</si>
  <si>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</si>
  <si>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</si>
  <si>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</si>
  <si>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</si>
  <si>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</si>
  <si>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</si>
  <si>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</si>
  <si>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</si>
  <si>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</si>
  <si>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</si>
  <si>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</si>
  <si>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</si>
  <si>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</si>
  <si>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</si>
  <si>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</si>
  <si>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</si>
  <si>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</si>
  <si>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</si>
  <si>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</si>
  <si>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</si>
  <si>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</si>
  <si>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</si>
  <si>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</si>
  <si>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</si>
  <si>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</si>
  <si>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</si>
  <si>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</si>
  <si>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</si>
  <si>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</si>
  <si>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</si>
  <si>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</si>
  <si>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</si>
  <si>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</si>
  <si>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</si>
  <si>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</si>
  <si>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</si>
  <si>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</si>
  <si>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</si>
  <si>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</si>
  <si>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</si>
  <si>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</si>
  <si>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</si>
  <si>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</si>
  <si>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</si>
  <si>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</si>
  <si>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</si>
  <si>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</si>
  <si>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</si>
  <si>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</si>
  <si>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</si>
  <si>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</si>
  <si>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</si>
  <si>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</si>
  <si>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</si>
  <si>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</si>
  <si>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</si>
  <si>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</si>
  <si>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</si>
  <si>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</si>
  <si>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</si>
  <si>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</si>
  <si>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</si>
  <si>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</si>
  <si>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</si>
  <si>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</si>
  <si>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</si>
  <si>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</si>
  <si>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</si>
  <si>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</si>
  <si>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</si>
  <si>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</si>
  <si>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</si>
  <si>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</si>
  <si>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</si>
  <si>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</si>
  <si>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</si>
  <si>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</si>
  <si>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</si>
  <si>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</si>
  <si>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</si>
  <si>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</si>
  <si>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</si>
  <si>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</si>
  <si>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</si>
  <si>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</si>
  <si>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</si>
  <si>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</si>
  <si>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</si>
  <si>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</si>
  <si>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</si>
  <si>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</si>
  <si>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</si>
  <si>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</si>
  <si>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</si>
  <si>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</si>
  <si>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</si>
  <si>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</si>
  <si>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</si>
  <si>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</si>
  <si>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</si>
  <si>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</si>
  <si>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</si>
  <si>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</si>
  <si>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</si>
  <si>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</si>
  <si>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</si>
  <si>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</si>
  <si>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</si>
  <si>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</si>
  <si>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</si>
  <si>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</si>
  <si>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</si>
  <si>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</si>
  <si>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</si>
  <si>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</si>
  <si>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</si>
  <si>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</si>
  <si>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</si>
  <si>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</si>
  <si>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</si>
  <si>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</si>
  <si>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</si>
  <si>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</si>
  <si>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</si>
  <si>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</si>
  <si>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</si>
  <si>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</si>
  <si>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</si>
  <si>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</si>
  <si>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</si>
  <si>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</si>
  <si>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</si>
  <si>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</si>
  <si>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</si>
  <si>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</si>
  <si>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</si>
  <si>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</si>
  <si>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</si>
  <si>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</si>
  <si>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</si>
  <si>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</si>
  <si>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</si>
  <si>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</si>
  <si>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</si>
  <si>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</si>
  <si>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</si>
  <si>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</si>
  <si>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</si>
  <si>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</si>
  <si>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</si>
  <si>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</si>
  <si>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</si>
  <si>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</si>
  <si>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</si>
  <si>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</si>
  <si>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</si>
  <si>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</si>
  <si>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</si>
  <si>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</si>
  <si>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</si>
  <si>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</si>
  <si>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</si>
  <si>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</si>
  <si>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</si>
  <si>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</si>
  <si>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</si>
  <si>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</si>
  <si>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</si>
  <si>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</si>
  <si>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</si>
  <si>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</si>
  <si>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</si>
  <si>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</si>
  <si>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</si>
  <si>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</si>
  <si>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</si>
  <si>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</si>
  <si>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</si>
  <si>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</si>
  <si>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</si>
  <si>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</si>
  <si>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</si>
  <si>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</si>
  <si>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</si>
  <si>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</si>
  <si>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</si>
  <si>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</si>
  <si>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</si>
  <si>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</si>
  <si>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</si>
  <si>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</si>
  <si>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</si>
  <si>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</si>
  <si>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</si>
  <si>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</si>
  <si>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</si>
  <si>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</si>
  <si>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</si>
  <si>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</si>
  <si>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</si>
  <si>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</si>
  <si>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</si>
  <si>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</si>
  <si>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</si>
  <si>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</si>
  <si>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</si>
  <si>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</si>
  <si>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</si>
  <si>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</si>
  <si>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</si>
  <si>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</si>
  <si>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</si>
  <si>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</si>
  <si>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</si>
  <si>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</si>
  <si>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</si>
  <si>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</si>
  <si>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</si>
  <si>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</si>
  <si>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</si>
  <si>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</si>
  <si>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</si>
  <si>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</si>
  <si>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</si>
  <si>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</si>
  <si>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</si>
  <si>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</si>
  <si>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</si>
  <si>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</si>
  <si>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</si>
  <si>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</si>
  <si>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</si>
  <si>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</si>
  <si>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</si>
  <si>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</si>
  <si>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</si>
  <si>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</si>
  <si>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</si>
  <si>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</si>
  <si>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</si>
  <si>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</si>
  <si>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</si>
  <si>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</si>
  <si>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</si>
  <si>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</si>
  <si>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</si>
  <si>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</si>
  <si>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</si>
  <si>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</si>
  <si>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</si>
  <si>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</si>
  <si>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</si>
  <si>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</si>
  <si>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</si>
  <si>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</si>
  <si>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</si>
  <si>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</si>
  <si>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</si>
  <si>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</si>
  <si>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</si>
  <si>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</si>
  <si>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</si>
  <si>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</si>
  <si>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</si>
  <si>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</si>
  <si>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</si>
  <si>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</si>
  <si>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</si>
  <si>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</si>
  <si>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</si>
  <si>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</si>
  <si>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</si>
  <si>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</si>
  <si>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</si>
  <si>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</si>
  <si>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</si>
  <si>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</si>
  <si>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</si>
  <si>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</si>
  <si>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</si>
  <si>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</si>
  <si>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</si>
  <si>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</si>
  <si>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</si>
  <si>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</si>
  <si>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</si>
  <si>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</si>
  <si>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</si>
  <si>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</si>
  <si>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</si>
  <si>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</si>
  <si>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</si>
  <si>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</si>
  <si>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</si>
  <si>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</si>
  <si>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</si>
  <si>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</si>
  <si>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</si>
  <si>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</si>
  <si>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</si>
  <si>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</si>
  <si>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</si>
  <si>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</si>
  <si>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</si>
  <si>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</si>
  <si>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</si>
  <si>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</si>
  <si>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</si>
  <si>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</si>
  <si>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</si>
  <si>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</si>
  <si>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</si>
  <si>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</si>
  <si>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</si>
  <si>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</si>
  <si>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</si>
  <si>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</si>
  <si>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</si>
  <si>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</si>
  <si>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</si>
  <si>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</si>
  <si>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</si>
  <si>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</si>
  <si>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</si>
  <si>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</si>
  <si>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</si>
  <si>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</si>
  <si>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</si>
  <si>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</si>
  <si>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</si>
  <si>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</si>
  <si>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</si>
  <si>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</si>
  <si>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</si>
  <si>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</si>
  <si>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</si>
  <si>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</si>
  <si>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</si>
  <si>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</si>
  <si>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</si>
  <si>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</si>
  <si>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</si>
  <si>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</si>
  <si>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</si>
  <si>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</si>
  <si>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</si>
  <si>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</si>
  <si>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</si>
  <si>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</si>
  <si>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</si>
  <si>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</si>
  <si>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</si>
  <si>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</si>
  <si>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</si>
  <si>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</si>
  <si>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</si>
  <si>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</si>
  <si>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</si>
  <si>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</si>
  <si>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</si>
  <si>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</si>
  <si>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</si>
  <si>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</si>
  <si>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</si>
  <si>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</si>
  <si>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</si>
  <si>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</si>
  <si>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</si>
  <si>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</si>
  <si>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</si>
  <si>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</si>
  <si>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</si>
  <si>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</si>
  <si>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</si>
  <si>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</si>
  <si>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</si>
  <si>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</si>
  <si>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</si>
  <si>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</si>
  <si>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</si>
  <si>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</si>
  <si>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</si>
  <si>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</si>
  <si>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</si>
  <si>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</si>
  <si>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</si>
  <si>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</si>
  <si>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</si>
  <si>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</si>
  <si>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</si>
  <si>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</si>
  <si>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</si>
  <si>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</si>
  <si>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</si>
  <si>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</si>
  <si>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</si>
  <si>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</si>
  <si>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</si>
  <si>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</si>
  <si>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</si>
  <si>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</si>
  <si>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</si>
  <si>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</si>
  <si>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</si>
  <si>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</si>
  <si>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</si>
  <si>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</si>
  <si>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</si>
  <si>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</si>
  <si>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</si>
  <si>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</si>
  <si>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</si>
  <si>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</si>
  <si>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</si>
  <si>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</si>
  <si>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</si>
  <si>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</si>
  <si>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</si>
  <si>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</si>
  <si>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</si>
  <si>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</si>
  <si>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</si>
  <si>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</si>
  <si>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</si>
  <si>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</si>
  <si>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</si>
  <si>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</si>
  <si>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</si>
  <si>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</si>
  <si>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</si>
  <si>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</si>
  <si>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</si>
  <si>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</si>
  <si>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</si>
  <si>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</si>
  <si>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</si>
  <si>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</si>
  <si>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</si>
  <si>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</si>
  <si>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</si>
  <si>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</si>
  <si>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</si>
  <si>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</si>
  <si>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</si>
  <si>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</si>
  <si>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</si>
  <si>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</si>
  <si>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</si>
  <si>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</si>
  <si>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</si>
  <si>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</si>
  <si>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</si>
  <si>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</si>
  <si>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</si>
  <si>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</si>
  <si>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</si>
  <si>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</si>
  <si>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</si>
  <si>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</si>
  <si>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</si>
  <si>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</si>
  <si>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</si>
  <si>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</si>
  <si>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</si>
  <si>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</si>
  <si>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</si>
  <si>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</si>
  <si>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</si>
  <si>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</si>
  <si>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</si>
  <si>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</si>
  <si>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</si>
  <si>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</si>
  <si>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</si>
  <si>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</si>
  <si>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</si>
  <si>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</si>
  <si>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</si>
  <si>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</si>
  <si>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</si>
  <si>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</si>
  <si>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</si>
  <si>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</si>
  <si>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</si>
  <si>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</si>
  <si>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</si>
  <si>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</si>
  <si>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</si>
  <si>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</si>
  <si>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</si>
  <si>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</si>
  <si>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</si>
  <si>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</si>
  <si>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</si>
  <si>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</si>
  <si>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</si>
  <si>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</si>
  <si>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</si>
  <si>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</si>
  <si>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</si>
  <si>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</si>
  <si>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</si>
  <si>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</si>
  <si>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</si>
  <si>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</si>
  <si>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</si>
  <si>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</si>
  <si>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</si>
  <si>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</si>
  <si>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</si>
  <si>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</si>
  <si>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</si>
  <si>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</si>
  <si>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</si>
  <si>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</si>
  <si>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</si>
  <si>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</si>
  <si>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</si>
  <si>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</si>
  <si>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</si>
  <si>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</si>
  <si>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</si>
  <si>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</si>
  <si>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</si>
  <si>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</si>
  <si>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</si>
  <si>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</si>
  <si>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</si>
  <si>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</si>
  <si>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</si>
  <si>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</si>
  <si>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</si>
  <si>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</si>
  <si>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</si>
  <si>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</si>
  <si>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</si>
  <si>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</si>
  <si>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</si>
  <si>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</si>
  <si>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</si>
  <si>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</si>
  <si>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</si>
  <si>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</si>
  <si>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</si>
  <si>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</si>
  <si>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</si>
  <si>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</si>
  <si>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</si>
  <si>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</si>
  <si>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</si>
  <si>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</si>
  <si>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</si>
  <si>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</si>
  <si>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</si>
  <si>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</si>
  <si>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</si>
  <si>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</si>
  <si>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</si>
  <si>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</si>
  <si>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</si>
  <si>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</si>
  <si>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</si>
  <si>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</si>
  <si>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</si>
  <si>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</si>
  <si>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</si>
  <si>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</si>
  <si>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</si>
  <si>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</si>
  <si>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</si>
  <si>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</si>
  <si>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</si>
  <si>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</si>
  <si>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</si>
  <si>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</si>
  <si>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</si>
  <si>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</si>
  <si>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</si>
  <si>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</si>
  <si>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</si>
  <si>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</si>
  <si>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</si>
  <si>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</si>
  <si>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</si>
  <si>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</si>
  <si>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</si>
  <si>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</si>
  <si>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</si>
  <si>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</si>
  <si>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</si>
  <si>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</si>
  <si>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</si>
  <si>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</si>
  <si>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</si>
  <si>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</si>
  <si>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</si>
  <si>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</si>
  <si>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</si>
  <si>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</si>
  <si>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</si>
  <si>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</si>
  <si>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</si>
  <si>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</si>
  <si>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</si>
  <si>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</si>
  <si>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</si>
  <si>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</si>
  <si>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</si>
  <si>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</si>
  <si>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</si>
  <si>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</si>
  <si>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</si>
  <si>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</si>
  <si>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</si>
  <si>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</si>
  <si>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</si>
  <si>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</si>
  <si>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</si>
  <si>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</si>
  <si>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</si>
  <si>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</si>
  <si>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</si>
  <si>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</si>
  <si>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</si>
  <si>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</si>
  <si>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</si>
  <si>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</si>
  <si>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</si>
  <si>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</si>
  <si>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</si>
  <si>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</si>
  <si>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</si>
  <si>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</si>
  <si>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</si>
  <si>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</si>
  <si>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</si>
  <si>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</si>
  <si>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</si>
  <si>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</si>
  <si>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</si>
  <si>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</si>
  <si>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</si>
  <si>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</si>
  <si>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</si>
  <si>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</si>
  <si>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</si>
  <si>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</si>
  <si>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</si>
  <si>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</si>
  <si>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</si>
  <si>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</si>
  <si>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</si>
  <si>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</si>
  <si>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</si>
  <si>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</si>
  <si>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</si>
  <si>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</si>
  <si>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</si>
  <si>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</si>
  <si>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</si>
  <si>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</si>
  <si>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</si>
  <si>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</si>
  <si>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</si>
  <si>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</si>
  <si>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</si>
  <si>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</si>
  <si>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</si>
  <si>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</si>
  <si>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</si>
  <si>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</si>
  <si>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</si>
  <si>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</si>
  <si>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</si>
  <si>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</si>
  <si>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</si>
  <si>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</si>
  <si>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</si>
  <si>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</si>
  <si>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</si>
  <si>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</si>
  <si>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</si>
  <si>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</si>
  <si>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</si>
  <si>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</si>
  <si>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</si>
  <si>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</si>
  <si>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</si>
  <si>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</si>
  <si>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</si>
  <si>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</si>
  <si>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</si>
  <si>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</si>
  <si>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</si>
  <si>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</si>
  <si>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</si>
  <si>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</si>
  <si>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</si>
  <si>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</si>
  <si>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</si>
  <si>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</si>
  <si>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</si>
  <si>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</si>
  <si>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</si>
  <si>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</si>
  <si>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</si>
  <si>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</si>
  <si>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</si>
  <si>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</si>
  <si>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</si>
  <si>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</si>
  <si>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</si>
  <si>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</si>
  <si>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</si>
  <si>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</si>
  <si>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</si>
  <si>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</si>
  <si>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</si>
  <si>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</si>
  <si>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</si>
  <si>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</si>
  <si>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</si>
  <si>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</si>
  <si>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</si>
  <si>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</si>
  <si>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</si>
  <si>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</si>
  <si>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</si>
  <si>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</si>
  <si>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</si>
  <si>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</si>
  <si>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</si>
  <si>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</si>
  <si>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</si>
  <si>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</si>
  <si>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</si>
  <si>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</si>
  <si>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</si>
  <si>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</si>
  <si>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</si>
  <si>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</si>
  <si>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</si>
  <si>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</si>
  <si>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</si>
  <si>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</si>
  <si>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</si>
  <si>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</si>
  <si>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</si>
  <si>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</si>
  <si>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</si>
  <si>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</si>
  <si>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</si>
  <si>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</si>
  <si>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</si>
  <si>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</si>
  <si>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</si>
  <si>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</si>
  <si>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</si>
  <si>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</si>
  <si>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</si>
  <si>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</si>
  <si>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</si>
  <si>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</si>
  <si>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</si>
  <si>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</si>
  <si>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</si>
  <si>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</si>
  <si>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</si>
  <si>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</si>
  <si>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</si>
  <si>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</si>
  <si>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</si>
  <si>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</si>
  <si>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</si>
  <si>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</si>
  <si>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</si>
  <si>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</si>
  <si>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</si>
  <si>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</si>
  <si>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</si>
  <si>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</si>
  <si>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</si>
  <si>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</si>
  <si>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</si>
  <si>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</si>
  <si>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</si>
  <si>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</si>
  <si>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</si>
  <si>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</si>
  <si>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</si>
  <si>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</si>
  <si>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</si>
  <si>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</si>
  <si>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</si>
  <si>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</si>
  <si>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</si>
  <si>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</si>
  <si>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</si>
  <si>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</si>
  <si>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</si>
  <si>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</si>
  <si>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</si>
  <si>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</si>
  <si>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</si>
  <si>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</si>
  <si>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</si>
  <si>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</si>
  <si>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</si>
  <si>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</si>
  <si>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</si>
  <si>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</si>
  <si>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</si>
  <si>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</si>
  <si>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</si>
  <si>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</si>
  <si>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</si>
  <si>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</si>
  <si>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</si>
  <si>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</si>
  <si>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</si>
  <si>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</si>
  <si>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</si>
  <si>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</si>
  <si>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</si>
  <si>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</si>
  <si>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</si>
  <si>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</si>
  <si>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</si>
  <si>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</si>
  <si>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</si>
  <si>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</si>
  <si>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</si>
  <si>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</si>
  <si>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</si>
  <si>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</si>
  <si>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</si>
  <si>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</si>
  <si>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</si>
  <si>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</si>
  <si>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</si>
  <si>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</si>
  <si>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</si>
  <si>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</si>
  <si>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</si>
  <si>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</si>
  <si>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</si>
  <si>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</si>
  <si>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</si>
  <si>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</si>
  <si>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</si>
  <si>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</si>
  <si>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</si>
  <si>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</si>
  <si>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</si>
  <si>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</si>
  <si>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</si>
  <si>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</si>
  <si>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</si>
  <si>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</si>
  <si>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</si>
  <si>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</si>
  <si>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</si>
  <si>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</si>
  <si>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</si>
  <si>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</si>
  <si>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</si>
  <si>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</si>
  <si>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</si>
  <si>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</si>
  <si>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</si>
  <si>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</si>
  <si>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</si>
  <si>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</si>
  <si>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</si>
  <si>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</si>
  <si>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</si>
  <si>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</si>
  <si>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</si>
  <si>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</si>
  <si>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</si>
  <si>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</si>
  <si>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</si>
  <si>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</si>
  <si>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</si>
  <si>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</si>
  <si>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</si>
  <si>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</si>
  <si>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</si>
  <si>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</si>
  <si>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</si>
  <si>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</si>
  <si>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</si>
  <si>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</si>
  <si>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</si>
  <si>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</si>
  <si>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</si>
  <si>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</si>
  <si>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</si>
  <si>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</si>
  <si>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</si>
  <si>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</si>
  <si>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</si>
  <si>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</si>
  <si>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</si>
  <si>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</si>
  <si>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</si>
  <si>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</si>
  <si>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</si>
  <si>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</si>
  <si>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</si>
  <si>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</si>
  <si>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</si>
  <si>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</si>
  <si>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</si>
  <si>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</si>
  <si>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</si>
  <si>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</si>
  <si>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</si>
  <si>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</si>
  <si>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</si>
  <si>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</si>
  <si>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</si>
  <si>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</si>
  <si>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</si>
  <si>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</si>
  <si>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</si>
  <si>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</si>
  <si>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</si>
  <si>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</si>
  <si>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</si>
  <si>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</si>
  <si>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</si>
  <si>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</si>
  <si>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</si>
  <si>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</si>
  <si>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</si>
  <si>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</si>
  <si>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</si>
  <si>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</si>
  <si>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</si>
  <si>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</si>
  <si>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</si>
  <si>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</si>
  <si>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</si>
  <si>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</si>
  <si>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</si>
  <si>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</si>
  <si>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</si>
  <si>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</si>
  <si>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</si>
  <si>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</si>
  <si>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</si>
  <si>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</si>
  <si>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</si>
  <si>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</si>
  <si>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</si>
  <si>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</si>
  <si>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</si>
  <si>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</si>
  <si>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</si>
  <si>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</si>
  <si>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</si>
  <si>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</si>
  <si>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</si>
  <si>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</si>
  <si>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</si>
  <si>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</si>
  <si>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</si>
  <si>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</si>
  <si>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</si>
  <si>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</si>
  <si>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</si>
  <si>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</si>
  <si>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</si>
  <si>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</si>
  <si>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</si>
  <si>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</si>
  <si>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</si>
  <si>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</si>
  <si>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</si>
  <si>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</si>
  <si>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</si>
  <si>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</si>
  <si>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</si>
  <si>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</si>
  <si>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</si>
  <si>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</si>
  <si>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</si>
  <si>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</si>
  <si>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</si>
  <si>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</si>
  <si>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</si>
  <si>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</si>
  <si>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</si>
  <si>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</si>
  <si>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</si>
  <si>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</si>
  <si>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</si>
  <si>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</si>
  <si>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</si>
  <si>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</si>
  <si>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</si>
  <si>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</si>
  <si>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</si>
  <si>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</si>
  <si>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</si>
  <si>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</si>
  <si>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</si>
  <si>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</si>
  <si>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</si>
  <si>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</si>
  <si>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</si>
  <si>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</si>
  <si>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</si>
  <si>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</si>
  <si>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</si>
  <si>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</si>
  <si>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</si>
  <si>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</si>
  <si>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</si>
  <si>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</si>
  <si>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</si>
  <si>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</si>
  <si>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</si>
  <si>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</si>
  <si>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</si>
  <si>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</si>
  <si>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</si>
  <si>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</si>
  <si>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</si>
  <si>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</si>
  <si>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</si>
  <si>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</si>
  <si>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</si>
  <si>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</si>
  <si>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</si>
  <si>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</si>
  <si>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</si>
  <si>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</si>
  <si>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</si>
  <si>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</si>
  <si>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</si>
  <si>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</si>
  <si>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</si>
  <si>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</si>
  <si>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</si>
  <si>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</si>
  <si>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</si>
  <si>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</si>
  <si>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</si>
  <si>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</si>
  <si>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</si>
  <si>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</si>
  <si>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</si>
  <si>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</si>
  <si>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</si>
  <si>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</si>
  <si>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</si>
  <si>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</si>
  <si>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</si>
  <si>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</si>
  <si>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</si>
  <si>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</si>
  <si>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</si>
  <si>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</si>
  <si>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</si>
  <si>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</si>
  <si>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</si>
  <si>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</si>
  <si>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</si>
  <si>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</si>
  <si>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</si>
  <si>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</si>
  <si>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</si>
  <si>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</si>
  <si>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</si>
  <si>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</si>
  <si>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</si>
  <si>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</si>
  <si>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</si>
  <si>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</si>
  <si>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</si>
  <si>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</si>
  <si>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</si>
  <si>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</si>
  <si>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</si>
  <si>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</si>
  <si>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</si>
  <si>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</si>
  <si>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</si>
  <si>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</si>
  <si>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</si>
  <si>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</si>
  <si>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</si>
  <si>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</si>
  <si>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</si>
  <si>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</si>
  <si>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</si>
  <si>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</si>
  <si>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</si>
  <si>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</si>
  <si>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</si>
  <si>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</si>
  <si>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</si>
  <si>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</si>
  <si>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</si>
  <si>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</si>
  <si>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</si>
  <si>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</si>
  <si>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</si>
  <si>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</si>
  <si>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</si>
  <si>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</si>
  <si>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</si>
  <si>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</si>
  <si>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</si>
  <si>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</si>
  <si>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</si>
  <si>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</si>
  <si>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</si>
  <si>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</si>
  <si>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</si>
  <si>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</si>
  <si>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</si>
  <si>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</si>
  <si>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</si>
  <si>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</si>
  <si>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</si>
  <si>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</si>
  <si>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</si>
  <si>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</si>
  <si>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</si>
  <si>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</si>
  <si>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</si>
  <si>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</si>
  <si>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</si>
  <si>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</si>
  <si>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</si>
  <si>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</si>
  <si>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</si>
  <si>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</si>
  <si>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</si>
  <si>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</si>
  <si>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</si>
  <si>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</si>
  <si>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</si>
  <si>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</si>
  <si>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</si>
  <si>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</si>
  <si>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</si>
  <si>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</si>
  <si>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</si>
  <si>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</si>
  <si>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</si>
  <si>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</si>
  <si>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</si>
  <si>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</si>
  <si>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</si>
  <si>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</si>
  <si>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</si>
  <si>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</si>
  <si>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</si>
  <si>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</si>
  <si>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</si>
  <si>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</si>
  <si>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</si>
  <si>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</si>
  <si>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</si>
  <si>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</si>
  <si>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</si>
  <si>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</si>
  <si>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</si>
  <si>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</si>
  <si>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</si>
  <si>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</si>
  <si>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</si>
  <si>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</si>
  <si>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</si>
  <si>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</si>
  <si>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</si>
  <si>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</si>
  <si>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</si>
  <si>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</si>
  <si>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</si>
  <si>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</si>
  <si>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</si>
  <si>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</si>
  <si>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</si>
  <si>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</si>
  <si>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</si>
  <si>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</si>
  <si>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</si>
  <si>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</si>
  <si>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</si>
  <si>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</si>
  <si>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</si>
  <si>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</si>
  <si>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</si>
  <si>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</si>
  <si>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</si>
  <si>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</si>
  <si>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</si>
  <si>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</si>
  <si>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</si>
  <si>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</si>
  <si>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</si>
  <si>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</si>
  <si>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</si>
  <si>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</si>
  <si>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</si>
  <si>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</si>
  <si>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</si>
  <si>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</si>
  <si>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</si>
  <si>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</si>
  <si>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</si>
  <si>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</si>
  <si>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</si>
  <si>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</si>
  <si>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</si>
  <si>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</si>
  <si>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</si>
  <si>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</si>
  <si>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</si>
  <si>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</si>
  <si>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</si>
  <si>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</si>
  <si>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</si>
  <si>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</si>
  <si>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</si>
  <si>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</si>
  <si>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</si>
  <si>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</si>
  <si>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</si>
  <si>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</si>
  <si>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</si>
  <si>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</si>
  <si>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</si>
  <si>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</si>
  <si>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</si>
  <si>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</si>
  <si>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</si>
  <si>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</si>
  <si>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</si>
  <si>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</si>
  <si>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</si>
  <si>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</si>
  <si>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</si>
  <si>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</si>
  <si>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</si>
  <si>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</si>
  <si>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</si>
  <si>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</si>
  <si>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</si>
  <si>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</si>
  <si>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</si>
  <si>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</si>
  <si>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</si>
  <si>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</si>
  <si>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</si>
  <si>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</si>
  <si>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</si>
  <si>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</si>
  <si>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</si>
  <si>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</si>
  <si>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</si>
  <si>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</si>
  <si>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</si>
  <si>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</si>
  <si>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</si>
  <si>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</si>
  <si>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</si>
  <si>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</si>
  <si>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</si>
  <si>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</si>
  <si>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</si>
  <si>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</si>
  <si>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</si>
  <si>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</si>
  <si>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</si>
  <si>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</si>
  <si>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</si>
  <si>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</si>
  <si>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</si>
  <si>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</si>
  <si>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</si>
  <si>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</si>
  <si>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</si>
  <si>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</si>
  <si>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</si>
  <si>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</si>
  <si>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</si>
  <si>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</si>
  <si>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</si>
  <si>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</si>
  <si>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</si>
  <si>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</si>
  <si>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</si>
  <si>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</si>
  <si>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</si>
  <si>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</si>
  <si>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</si>
  <si>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</si>
  <si>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</si>
  <si>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</si>
  <si>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</si>
  <si>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</si>
  <si>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</si>
  <si>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</si>
  <si>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</si>
  <si>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</si>
  <si>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</si>
  <si>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</si>
  <si>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</si>
  <si>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</si>
  <si>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</si>
  <si>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</si>
  <si>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</si>
  <si>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</si>
  <si>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</si>
  <si>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</si>
  <si>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</si>
  <si>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</si>
  <si>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</si>
  <si>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</si>
  <si>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</si>
  <si>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</si>
  <si>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</si>
  <si>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</si>
  <si>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</si>
  <si>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</si>
  <si>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</si>
  <si>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</si>
  <si>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</si>
  <si>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</si>
  <si>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</si>
  <si>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</si>
  <si>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</si>
  <si>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</si>
  <si>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</si>
  <si>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</si>
  <si>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</si>
  <si>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</si>
  <si>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</si>
  <si>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</si>
  <si>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</si>
  <si>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</si>
  <si>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</si>
  <si>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</si>
  <si>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</si>
  <si>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</si>
  <si>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</si>
  <si>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</si>
  <si>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</si>
  <si>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</si>
  <si>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</si>
  <si>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</si>
  <si>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</si>
  <si>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</si>
  <si>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</si>
  <si>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</si>
  <si>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</si>
  <si>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</si>
  <si>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</si>
  <si>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</si>
  <si>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</si>
  <si>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</si>
  <si>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</si>
  <si>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</si>
  <si>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</si>
  <si>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</si>
  <si>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</si>
  <si>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</si>
  <si>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</si>
  <si>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</si>
  <si>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</si>
  <si>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</si>
  <si>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</si>
  <si>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</si>
  <si>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</si>
  <si>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</si>
  <si>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</si>
  <si>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</si>
  <si>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</si>
  <si>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</si>
  <si>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</si>
  <si>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</si>
  <si>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</si>
  <si>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</si>
  <si>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</si>
  <si>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</si>
  <si>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</si>
  <si>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</si>
  <si>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</si>
  <si>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</si>
  <si>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</si>
  <si>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</si>
  <si>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</si>
  <si>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</si>
  <si>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</si>
  <si>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</si>
  <si>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</si>
  <si>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</si>
  <si>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</si>
  <si>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</si>
  <si>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</si>
  <si>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</si>
  <si>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</si>
  <si>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</si>
  <si>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</si>
  <si>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</si>
  <si>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</si>
  <si>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</si>
  <si>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</si>
  <si>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</si>
  <si>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</si>
  <si>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</si>
  <si>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</si>
  <si>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</si>
  <si>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</si>
  <si>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</si>
  <si>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</si>
  <si>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</si>
  <si>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</si>
  <si>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</si>
  <si>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</si>
  <si>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</si>
  <si>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</si>
  <si>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</si>
  <si>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</si>
  <si>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</si>
  <si>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</si>
  <si>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</si>
  <si>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</si>
  <si>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</si>
  <si>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</si>
  <si>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</si>
  <si>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</si>
  <si>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</si>
  <si>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</si>
  <si>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</si>
  <si>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</si>
  <si>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</si>
  <si>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</si>
  <si>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</si>
  <si>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</si>
  <si>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</si>
  <si>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</si>
  <si>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</si>
  <si>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</si>
  <si>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</si>
  <si>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</si>
  <si>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</si>
  <si>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</si>
  <si>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</si>
  <si>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</si>
  <si>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</si>
  <si>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</si>
  <si>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</si>
  <si>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</si>
  <si>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</si>
  <si>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</si>
  <si>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</si>
  <si>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</si>
  <si>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</si>
  <si>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</si>
  <si>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</si>
  <si>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</si>
  <si>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</si>
  <si>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</si>
  <si>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</si>
  <si>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</si>
  <si>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</si>
  <si>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</si>
  <si>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</si>
  <si>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</si>
  <si>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</si>
  <si>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</si>
  <si>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</si>
  <si>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</si>
  <si>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</si>
  <si>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</si>
  <si>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</si>
  <si>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</si>
  <si>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</si>
  <si>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</si>
  <si>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</si>
  <si>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</si>
  <si>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</si>
  <si>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</si>
  <si>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</si>
  <si>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</si>
  <si>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</si>
  <si>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</si>
  <si>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</si>
  <si>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</si>
  <si>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</si>
  <si>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</si>
  <si>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</si>
  <si>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</si>
  <si>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</si>
  <si>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</si>
  <si>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</si>
  <si>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</si>
  <si>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</si>
  <si>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</si>
  <si>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</si>
  <si>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</si>
  <si>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</si>
  <si>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</si>
  <si>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</si>
  <si>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</si>
  <si>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</si>
  <si>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</si>
  <si>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</si>
  <si>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</si>
  <si>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</si>
  <si>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</si>
  <si>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</si>
  <si>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</si>
  <si>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</si>
  <si>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</si>
  <si>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</si>
  <si>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</si>
  <si>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</si>
  <si>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</si>
  <si>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</si>
  <si>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</si>
  <si>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</si>
  <si>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</si>
  <si>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</si>
  <si>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</si>
  <si>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</si>
  <si>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</si>
  <si>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</si>
  <si>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</si>
  <si>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</si>
  <si>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</si>
  <si>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</si>
  <si>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</si>
  <si>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</si>
  <si>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</si>
  <si>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</si>
  <si>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</si>
  <si>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</si>
  <si>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</si>
  <si>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</si>
  <si>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</si>
  <si>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</si>
  <si>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</si>
  <si>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</si>
  <si>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</si>
  <si>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</si>
  <si>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</si>
  <si>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</si>
  <si>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</si>
  <si>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</si>
  <si>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</si>
  <si>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</si>
  <si>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</si>
  <si>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</si>
  <si>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</si>
  <si>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</si>
  <si>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</si>
  <si>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</si>
  <si>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</si>
  <si>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</si>
  <si>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</si>
  <si>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</si>
  <si>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</si>
  <si>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</si>
  <si>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</si>
  <si>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</si>
  <si>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</si>
  <si>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</si>
  <si>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</si>
  <si>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</si>
  <si>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</si>
  <si>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</si>
  <si>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</si>
  <si>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</si>
  <si>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</si>
  <si>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</si>
  <si>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</si>
  <si>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</si>
  <si>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</si>
  <si>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</si>
  <si>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</si>
  <si>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</si>
  <si>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</si>
  <si>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</si>
  <si>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</si>
  <si>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</si>
  <si>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</si>
  <si>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</si>
  <si>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</si>
  <si>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</si>
  <si>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</si>
  <si>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</si>
  <si>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</si>
  <si>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</si>
  <si>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</si>
  <si>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</si>
  <si>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</si>
  <si>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</si>
  <si>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</si>
  <si>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</si>
  <si>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</si>
  <si>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</si>
  <si>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</si>
  <si>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</si>
  <si>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</si>
  <si>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</si>
  <si>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</si>
  <si>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</si>
  <si>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</si>
  <si>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</si>
  <si>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</si>
  <si>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</si>
  <si>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</si>
  <si>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</si>
  <si>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</si>
  <si>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</si>
  <si>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</si>
  <si>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</si>
  <si>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</si>
  <si>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</si>
  <si>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</si>
  <si>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</si>
  <si>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</si>
  <si>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</si>
  <si>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</si>
  <si>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</si>
  <si>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</si>
  <si>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</si>
  <si>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</si>
  <si>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</si>
  <si>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</si>
  <si>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</si>
  <si>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</si>
  <si>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</si>
  <si>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</si>
  <si>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</si>
  <si>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</si>
  <si>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</si>
  <si>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</si>
  <si>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</si>
  <si>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</si>
  <si>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</si>
  <si>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</si>
  <si>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</si>
  <si>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</si>
  <si>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</si>
  <si>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</si>
  <si>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</si>
  <si>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</si>
  <si>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</si>
  <si>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</si>
  <si>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</si>
  <si>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</si>
  <si>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</si>
  <si>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</si>
  <si>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</si>
  <si>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</si>
  <si>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</si>
  <si>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</si>
  <si>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</si>
  <si>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</si>
  <si>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</si>
  <si>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</si>
  <si>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</si>
  <si>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</si>
  <si>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</si>
  <si>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</si>
  <si>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</si>
  <si>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</si>
  <si>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</si>
  <si>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</si>
  <si>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</si>
  <si>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</si>
  <si>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</si>
  <si>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</si>
  <si>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</si>
  <si>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</si>
  <si>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</si>
  <si>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</si>
  <si>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</si>
  <si>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</si>
  <si>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</si>
  <si>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</si>
  <si>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</si>
  <si>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</si>
  <si>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</si>
  <si>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</si>
  <si>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</si>
  <si>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</si>
  <si>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</si>
  <si>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</si>
  <si>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</si>
  <si>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</si>
  <si>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</si>
  <si>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</si>
  <si>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</si>
  <si>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</si>
  <si>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</si>
  <si>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</si>
  <si>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</si>
  <si>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</si>
  <si>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</si>
  <si>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</si>
  <si>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</si>
  <si>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</si>
  <si>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</si>
  <si>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</si>
  <si>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</si>
  <si>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</si>
  <si>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</si>
  <si>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</si>
  <si>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</si>
  <si>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</si>
  <si>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</si>
  <si>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</si>
  <si>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</si>
  <si>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</si>
  <si>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</si>
  <si>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</si>
  <si>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</si>
  <si>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</si>
  <si>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</si>
  <si>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</si>
  <si>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</si>
  <si>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</si>
  <si>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</si>
  <si>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</si>
  <si>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</si>
  <si>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</si>
  <si>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</si>
  <si>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</si>
  <si>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</si>
  <si>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</si>
  <si>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</si>
  <si>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</si>
  <si>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</si>
  <si>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</si>
  <si>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</si>
  <si>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</si>
  <si>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</si>
  <si>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</si>
  <si>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</si>
  <si>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</si>
  <si>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</si>
  <si>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</si>
  <si>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</si>
  <si>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</si>
  <si>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</si>
  <si>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</si>
  <si>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</si>
  <si>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</si>
  <si>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</si>
  <si>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</si>
  <si>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</si>
  <si>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</si>
  <si>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</si>
  <si>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</si>
  <si>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</si>
  <si>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</si>
  <si>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</si>
  <si>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</si>
  <si>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</si>
  <si>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</si>
  <si>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</si>
  <si>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</si>
  <si>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</si>
  <si>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</si>
  <si>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</si>
  <si>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</si>
  <si>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</si>
  <si>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</si>
  <si>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</si>
  <si>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</si>
  <si>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</si>
  <si>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</si>
  <si>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</si>
  <si>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</si>
  <si>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</si>
  <si>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</si>
  <si>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</si>
  <si>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</si>
  <si>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</si>
  <si>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</si>
  <si>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</si>
  <si>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</si>
  <si>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</si>
  <si>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</si>
  <si>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</si>
  <si>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</si>
  <si>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</si>
  <si>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</si>
  <si>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</si>
  <si>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</si>
  <si>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</si>
  <si>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</si>
  <si>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</si>
  <si>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</si>
  <si>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</si>
  <si>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</si>
  <si>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</si>
  <si>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</si>
  <si>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</si>
  <si>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</si>
  <si>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</si>
  <si>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</si>
  <si>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</si>
  <si>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</si>
  <si>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</si>
  <si>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</si>
  <si>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</si>
  <si>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</si>
  <si>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</si>
  <si>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</si>
  <si>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</si>
  <si>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</si>
  <si>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</si>
  <si>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</si>
  <si>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</si>
  <si>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</si>
  <si>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</si>
  <si>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</si>
  <si>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</si>
  <si>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</si>
  <si>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</si>
  <si>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</si>
  <si>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</si>
  <si>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</si>
  <si>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</si>
  <si>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</si>
  <si>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</si>
  <si>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</si>
  <si>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</si>
  <si>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</si>
  <si>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</si>
  <si>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</si>
  <si>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</si>
  <si>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</si>
  <si>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</si>
  <si>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</si>
  <si>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</si>
  <si>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</si>
  <si>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</si>
  <si>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</si>
  <si>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</si>
  <si>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</si>
  <si>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</si>
  <si>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</si>
  <si>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</si>
  <si>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</si>
  <si>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</si>
  <si>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</si>
  <si>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</si>
  <si>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</si>
  <si>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</si>
  <si>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</si>
  <si>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</si>
  <si>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</si>
  <si>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</si>
  <si>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</si>
  <si>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</si>
  <si>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</si>
  <si>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</si>
  <si>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</si>
  <si>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</si>
  <si>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</si>
  <si>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</si>
  <si>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</si>
  <si>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</si>
  <si>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</si>
  <si>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</si>
  <si>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</si>
  <si>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</si>
  <si>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</si>
  <si>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</si>
  <si>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</si>
  <si>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</si>
  <si>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</si>
  <si>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</si>
  <si>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</si>
  <si>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</si>
  <si>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</si>
  <si>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</si>
  <si>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</si>
  <si>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</si>
  <si>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</si>
  <si>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</si>
  <si>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</si>
  <si>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</si>
  <si>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</si>
  <si>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</si>
  <si>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</si>
  <si>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</si>
  <si>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</si>
  <si>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</si>
  <si>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</si>
  <si>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</si>
  <si>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</si>
  <si>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</si>
  <si>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</si>
  <si>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</si>
  <si>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</si>
  <si>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</si>
  <si>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</si>
  <si>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</si>
  <si>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</si>
  <si>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</si>
  <si>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</si>
  <si>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</si>
  <si>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</si>
  <si>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</si>
  <si>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</si>
  <si>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</si>
  <si>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</si>
  <si>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</si>
  <si>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</si>
  <si>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</si>
  <si>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</si>
  <si>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</si>
  <si>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</si>
  <si>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</si>
  <si>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</si>
  <si>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</si>
  <si>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</si>
  <si>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</si>
  <si>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</si>
  <si>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</si>
  <si>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</si>
  <si>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</si>
  <si>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</si>
  <si>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</si>
  <si>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</si>
  <si>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</si>
  <si>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</si>
  <si>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</si>
  <si>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</si>
  <si>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</si>
  <si>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</si>
  <si>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</si>
  <si>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</si>
  <si>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</si>
  <si>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</si>
  <si>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</si>
  <si>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</si>
  <si>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</si>
  <si>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</si>
  <si>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</si>
  <si>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</si>
  <si>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</si>
  <si>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</si>
  <si>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</si>
  <si>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</si>
  <si>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</si>
  <si>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</si>
  <si>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</si>
  <si>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</si>
  <si>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</si>
  <si>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</si>
  <si>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</si>
  <si>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</si>
  <si>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</si>
  <si>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</si>
  <si>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</si>
  <si>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</si>
  <si>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</si>
  <si>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</si>
  <si>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</si>
  <si>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</si>
  <si>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</si>
  <si>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</si>
  <si>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</si>
  <si>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</si>
  <si>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</si>
  <si>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</si>
  <si>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</si>
  <si>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</si>
  <si>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</si>
  <si>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</si>
  <si>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</si>
  <si>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</si>
  <si>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</si>
  <si>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</si>
  <si>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</si>
  <si>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</si>
  <si>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</si>
  <si>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</si>
  <si>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</si>
  <si>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</si>
  <si>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</si>
  <si>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</si>
  <si>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</si>
  <si>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</si>
  <si>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</si>
  <si>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</si>
  <si>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</si>
  <si>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</si>
  <si>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</si>
  <si>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</si>
  <si>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</si>
  <si>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</si>
  <si>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</si>
  <si>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</si>
  <si>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</si>
  <si>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</si>
  <si>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</si>
  <si>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</si>
  <si>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</si>
  <si>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</si>
  <si>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</si>
  <si>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</si>
  <si>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</si>
  <si>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</si>
  <si>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</si>
  <si>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</si>
  <si>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</si>
  <si>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</si>
  <si>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</si>
  <si>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</si>
  <si>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</si>
  <si>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</si>
  <si>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</si>
  <si>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</si>
  <si>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</si>
  <si>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</si>
  <si>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</si>
  <si>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</si>
  <si>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</si>
  <si>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</si>
  <si>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</si>
  <si>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</si>
  <si>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</si>
  <si>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</si>
  <si>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</si>
  <si>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</si>
  <si>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</si>
  <si>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</si>
  <si>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</si>
  <si>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</si>
  <si>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</si>
  <si>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</si>
  <si>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</si>
  <si>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</si>
  <si>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</si>
  <si>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</si>
  <si>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</si>
  <si>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</si>
  <si>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</si>
  <si>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</si>
  <si>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</si>
  <si>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</si>
  <si>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</si>
  <si>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</si>
  <si>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</si>
  <si>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</si>
  <si>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</si>
  <si>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</si>
  <si>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</si>
  <si>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</si>
  <si>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</si>
  <si>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</si>
  <si>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</si>
  <si>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</si>
  <si>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</si>
  <si>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</si>
  <si>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</si>
  <si>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</si>
  <si>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</si>
  <si>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</si>
  <si>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</si>
  <si>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</si>
  <si>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</si>
  <si>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</si>
  <si>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</si>
  <si>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</si>
  <si>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</si>
  <si>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</si>
  <si>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</si>
  <si>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</si>
  <si>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</si>
  <si>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</si>
  <si>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</si>
  <si>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</si>
  <si>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</si>
  <si>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</si>
  <si>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</si>
  <si>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</si>
  <si>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</si>
  <si>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</si>
  <si>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</si>
  <si>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</si>
  <si>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</si>
  <si>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</si>
  <si>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</si>
  <si>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</si>
  <si>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</si>
  <si>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</si>
  <si>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</si>
  <si>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</si>
  <si>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</si>
  <si>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</si>
  <si>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</si>
  <si>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</si>
  <si>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</si>
  <si>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</si>
  <si>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</si>
  <si>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</si>
  <si>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</si>
  <si>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</si>
  <si>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</si>
  <si>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</si>
  <si>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</si>
  <si>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</si>
  <si>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</si>
  <si>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</si>
  <si>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</si>
  <si>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</si>
  <si>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</si>
  <si>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</si>
  <si>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</si>
  <si>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</si>
  <si>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</si>
  <si>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</si>
  <si>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</si>
  <si>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</si>
  <si>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</si>
  <si>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</si>
  <si>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</si>
  <si>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</si>
  <si>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</si>
  <si>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</si>
  <si>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</si>
  <si>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</si>
  <si>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</si>
  <si>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</si>
  <si>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</si>
  <si>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</si>
  <si>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</si>
  <si>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</si>
  <si>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</si>
  <si>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</si>
  <si>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</si>
  <si>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</si>
  <si>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</si>
  <si>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</si>
  <si>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</si>
  <si>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</si>
  <si>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</si>
  <si>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</si>
  <si>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</si>
  <si>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</si>
  <si>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</si>
  <si>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</si>
  <si>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</si>
  <si>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</si>
  <si>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</si>
  <si>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</si>
  <si>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</si>
  <si>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</si>
  <si>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</si>
  <si>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</si>
  <si>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</si>
  <si>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</si>
  <si>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</si>
  <si>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</si>
  <si>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</si>
  <si>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</si>
  <si>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</si>
  <si>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</si>
  <si>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</si>
  <si>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</si>
  <si>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</si>
  <si>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</si>
  <si>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</si>
  <si>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</si>
  <si>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</si>
  <si>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</si>
  <si>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</si>
  <si>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</si>
  <si>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</si>
  <si>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</si>
  <si>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</si>
  <si>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</si>
  <si>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</si>
  <si>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</si>
  <si>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</si>
  <si>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</si>
  <si>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</si>
  <si>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</si>
  <si>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</si>
  <si>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</si>
  <si>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</si>
  <si>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</si>
  <si>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</si>
  <si>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</si>
  <si>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</si>
  <si>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</si>
  <si>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</si>
  <si>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</si>
  <si>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</si>
  <si>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</si>
  <si>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</si>
  <si>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</si>
  <si>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</si>
  <si>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</si>
  <si>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</si>
  <si>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</si>
  <si>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</si>
  <si>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</si>
  <si>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</si>
  <si>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</si>
  <si>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</si>
  <si>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</si>
  <si>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</si>
  <si>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</si>
  <si>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</si>
  <si>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</si>
  <si>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</si>
  <si>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</si>
  <si>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</si>
  <si>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</si>
  <si>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</si>
  <si>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</si>
  <si>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</si>
  <si>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</si>
  <si>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</si>
  <si>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</si>
  <si>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</si>
  <si>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</si>
  <si>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</si>
  <si>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</si>
  <si>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</si>
  <si>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</si>
  <si>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</si>
  <si>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</si>
  <si>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</si>
  <si>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</si>
  <si>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</si>
  <si>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</si>
  <si>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</si>
  <si>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</si>
  <si>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</si>
  <si>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</si>
  <si>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</si>
  <si>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</si>
  <si>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</si>
  <si>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</si>
  <si>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</si>
  <si>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</si>
  <si>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</si>
  <si>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</si>
  <si>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</si>
  <si>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</si>
  <si>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</si>
  <si>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</si>
  <si>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</si>
  <si>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</si>
  <si>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</si>
  <si>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</si>
  <si>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</si>
  <si>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</si>
  <si>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</si>
  <si>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</si>
  <si>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</si>
  <si>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</si>
  <si>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</si>
  <si>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</si>
  <si>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</si>
  <si>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</si>
  <si>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</si>
  <si>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</si>
  <si>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</si>
  <si>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</si>
  <si>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</si>
  <si>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</si>
  <si>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</si>
  <si>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</si>
  <si>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</si>
  <si>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</si>
  <si>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</si>
  <si>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</si>
  <si>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</si>
  <si>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</si>
  <si>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</si>
  <si>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</si>
  <si>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</si>
  <si>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</si>
  <si>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</si>
  <si>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</si>
  <si>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</si>
  <si>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</si>
  <si>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</si>
  <si>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</si>
  <si>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</si>
  <si>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</si>
  <si>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</si>
  <si>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</si>
  <si>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</si>
  <si>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</si>
  <si>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</si>
  <si>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</si>
  <si>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</si>
  <si>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</si>
  <si>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</si>
  <si>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</si>
  <si>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</si>
  <si>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</si>
  <si>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</si>
  <si>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</si>
  <si>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</si>
  <si>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</si>
  <si>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</si>
  <si>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</si>
  <si>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</si>
  <si>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</si>
  <si>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</si>
  <si>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</si>
  <si>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</si>
  <si>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</si>
  <si>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</si>
  <si>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</si>
  <si>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</si>
  <si>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</si>
  <si>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</si>
  <si>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</si>
  <si>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</si>
  <si>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</si>
  <si>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</si>
  <si>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</si>
  <si>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</si>
  <si>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</si>
  <si>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</si>
  <si>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</si>
  <si>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</si>
  <si>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</si>
  <si>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</si>
  <si>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</si>
  <si>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</si>
  <si>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</si>
  <si>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</si>
  <si>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</si>
  <si>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</si>
  <si>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</si>
  <si>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</si>
  <si>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</si>
  <si>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</si>
  <si>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</si>
  <si>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</si>
  <si>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</si>
  <si>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</si>
  <si>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</si>
  <si>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</si>
  <si>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</si>
  <si>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</si>
  <si>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</si>
  <si>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</si>
  <si>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</si>
  <si>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</si>
  <si>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</si>
  <si>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</si>
  <si>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</si>
  <si>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</si>
  <si>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</si>
  <si>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</si>
  <si>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</si>
  <si>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</si>
  <si>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</si>
  <si>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</si>
  <si>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</si>
  <si>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</si>
  <si>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</si>
  <si>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</si>
  <si>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</si>
  <si>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</si>
  <si>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</si>
  <si>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</si>
  <si>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</si>
  <si>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</si>
  <si>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</si>
  <si>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</si>
  <si>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</si>
  <si>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</si>
  <si>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</si>
  <si>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</si>
  <si>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</si>
  <si>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</si>
  <si>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</si>
  <si>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</si>
  <si>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</si>
  <si>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</si>
  <si>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</si>
  <si>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</si>
  <si>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</si>
  <si>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</si>
  <si>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</si>
  <si>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</si>
  <si>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</si>
  <si>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</si>
  <si>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</si>
  <si>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</si>
  <si>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</si>
  <si>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</si>
  <si>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</si>
  <si>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</si>
  <si>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</si>
  <si>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</si>
  <si>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</si>
  <si>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</si>
  <si>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</si>
  <si>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</si>
  <si>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</si>
  <si>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</si>
  <si>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</si>
  <si>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</si>
  <si>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</si>
  <si>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</si>
  <si>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</si>
  <si>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</si>
  <si>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</si>
  <si>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</si>
  <si>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</si>
  <si>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</si>
  <si>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</si>
  <si>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</si>
  <si>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</si>
  <si>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</si>
  <si>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</si>
  <si>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</si>
  <si>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</si>
  <si>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</si>
  <si>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</si>
  <si>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</si>
  <si>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</si>
  <si>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</si>
  <si>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</si>
  <si>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</si>
  <si>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</si>
  <si>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</si>
  <si>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</si>
  <si>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</si>
  <si>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</si>
  <si>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</si>
  <si>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</si>
  <si>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</si>
  <si>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</si>
  <si>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</si>
  <si>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</si>
  <si>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</si>
  <si>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</si>
  <si>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</si>
  <si>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</si>
  <si>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</si>
  <si>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</si>
  <si>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</si>
  <si>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</si>
  <si>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</si>
  <si>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</si>
  <si>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</si>
  <si>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</si>
  <si>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</si>
  <si>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</si>
  <si>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</si>
  <si>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</si>
  <si>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</si>
  <si>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</si>
  <si>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</si>
  <si>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</si>
  <si>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</si>
  <si>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</si>
  <si>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</si>
  <si>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</si>
  <si>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</si>
  <si>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</si>
  <si>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</si>
  <si>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</si>
  <si>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</si>
  <si>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</si>
  <si>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</si>
  <si>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</si>
  <si>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</si>
  <si>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</si>
  <si>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</si>
  <si>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</si>
  <si>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</si>
  <si>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</si>
  <si>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</si>
  <si>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</si>
  <si>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</si>
  <si>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</si>
  <si>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</si>
  <si>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</si>
  <si>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</si>
  <si>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</si>
  <si>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</si>
  <si>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</si>
  <si>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</si>
  <si>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</si>
  <si>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</si>
  <si>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</si>
  <si>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</si>
  <si>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</si>
  <si>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</si>
  <si>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</si>
  <si>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</si>
  <si>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</si>
  <si>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</si>
  <si>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</si>
  <si>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</si>
  <si>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</si>
  <si>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</si>
  <si>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</si>
  <si>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</si>
  <si>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</si>
  <si>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</si>
  <si>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</si>
  <si>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</si>
  <si>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</si>
  <si>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</si>
  <si>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</si>
  <si>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</si>
  <si>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</si>
  <si>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</si>
  <si>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</si>
  <si>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</si>
  <si>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</si>
  <si>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</si>
  <si>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</si>
  <si>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6"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</si>
  <si>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</si>
  <si>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</si>
  <si>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</si>
  <si>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</si>
  <si>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</si>
  <si>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</si>
  <si>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</si>
  <si>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</si>
  <si>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</si>
  <si>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</si>
  <si>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</si>
  <si>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</si>
  <si>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</si>
  <si>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</si>
  <si>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</si>
  <si>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</si>
  <si>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</si>
  <si>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</si>
  <si>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</si>
  <si>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</si>
  <si>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</si>
  <si>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</si>
  <si>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</si>
  <si>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</si>
  <si>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</si>
  <si>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</si>
  <si>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</si>
  <si>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</si>
  <si>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</si>
  <si>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</si>
  <si>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</si>
  <si>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</si>
  <si>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</si>
  <si>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</si>
  <si>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</si>
  <si>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</si>
  <si>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</si>
  <si>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</si>
  <si>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</si>
  <si>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</si>
  <si>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</si>
  <si>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</si>
  <si>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</si>
  <si>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</si>
  <si>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</si>
  <si>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</si>
  <si>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</si>
  <si>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</si>
  <si>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</si>
  <si>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</si>
  <si>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</si>
  <si>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</si>
  <si>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</si>
  <si>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</si>
  <si>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</si>
  <si>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</si>
  <si>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</si>
  <si>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</si>
  <si>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</si>
  <si>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</si>
  <si>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</si>
  <si>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</si>
  <si>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</si>
  <si>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</si>
  <si>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</si>
  <si>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</si>
  <si>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</si>
  <si>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</si>
  <si>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</si>
  <si>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</si>
  <si>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</si>
  <si>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</si>
  <si>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</si>
  <si>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</si>
  <si>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</si>
  <si>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</si>
  <si>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</si>
  <si>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</si>
  <si>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</si>
  <si>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</si>
  <si>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</si>
  <si>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</si>
  <si>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</si>
  <si>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</si>
  <si>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</si>
  <si>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</si>
  <si>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</si>
  <si>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</si>
  <si>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</si>
  <si>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</si>
  <si>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</si>
  <si>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</si>
  <si>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t>40-50</t>
    <phoneticPr fontId="31" type="noConversion"/>
  </si>
  <si>
    <t>中关村西三旗(金隅)科技园T4研发设计楼地上1-7层</t>
    <phoneticPr fontId="134" type="noConversion"/>
  </si>
  <si>
    <t>一般</t>
    <phoneticPr fontId="31" type="noConversion"/>
  </si>
  <si>
    <t>标准写字楼</t>
  </si>
  <si>
    <t>标准写字楼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</si>
</sst>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theme="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269" fillId="22" borderId="13" xfId="12" applyFont="1" applyFill="1" applyBorder="1" applyAlignment="1">
      <alignment horizontal="center" vertical="center" wrapText="1"/>
    </xf>
    <xf numFmtId="196" fontId="269" fillId="22" borderId="13" xfId="12" applyNumberFormat="1" applyFont="1" applyFill="1" applyBorder="1" applyAlignment="1">
      <alignment horizontal="center" vertical="center" wrapText="1"/>
    </xf>
    <xf numFmtId="43" fontId="269" fillId="22" borderId="13" xfId="19" applyFont="1" applyFill="1" applyBorder="1" applyAlignment="1">
      <alignment horizontal="center" vertical="center" wrapText="1"/>
    </xf>
    <xf numFmtId="0" fontId="159" fillId="0" borderId="0" xfId="12"/>
    <xf numFmtId="0" fontId="270" fillId="0" borderId="1" xfId="20" applyNumberFormat="1" applyFont="1" applyBorder="1" applyAlignment="1">
      <alignment horizontal="center" vertical="center" wrapText="1"/>
    </xf>
    <xf numFmtId="0" fontId="270" fillId="0" borderId="1" xfId="20" applyNumberFormat="1" applyFont="1" applyBorder="1" applyAlignment="1">
      <alignment horizontal="left" vertical="center" wrapText="1"/>
    </xf>
    <xf numFmtId="196" fontId="271" fillId="0" borderId="1" xfId="19" applyNumberFormat="1" applyFont="1" applyFill="1" applyBorder="1" applyAlignment="1">
      <alignment horizontal="center" vertical="center"/>
    </xf>
    <xf numFmtId="43" fontId="272" fillId="0" borderId="1" xfId="19" applyFont="1" applyFill="1" applyBorder="1" applyAlignment="1" applyProtection="1">
      <alignment horizontal="center" vertical="center" wrapText="1"/>
    </xf>
    <xf numFmtId="43" fontId="271" fillId="0" borderId="1" xfId="19" applyFont="1" applyFill="1" applyBorder="1" applyAlignment="1">
      <alignment horizontal="center" vertical="center" wrapText="1"/>
    </xf>
    <xf numFmtId="43" fontId="271" fillId="0" borderId="1" xfId="19" applyFont="1" applyFill="1" applyBorder="1" applyAlignment="1" applyProtection="1">
      <alignment horizontal="center" vertical="center" wrapText="1"/>
    </xf>
    <xf numFmtId="0" fontId="270" fillId="0" borderId="32" xfId="20" applyNumberFormat="1" applyFont="1" applyBorder="1" applyAlignment="1">
      <alignment horizontal="center" vertical="center" wrapText="1"/>
    </xf>
    <xf numFmtId="0" fontId="270" fillId="0" borderId="32" xfId="20" applyNumberFormat="1" applyFont="1" applyBorder="1" applyAlignment="1">
      <alignment horizontal="left" vertical="center" wrapText="1"/>
    </xf>
    <xf numFmtId="196" fontId="271" fillId="0" borderId="32" xfId="19" applyNumberFormat="1" applyFont="1" applyFill="1" applyBorder="1" applyAlignment="1">
      <alignment horizontal="center" vertical="center"/>
    </xf>
    <xf numFmtId="43" fontId="272" fillId="0" borderId="32" xfId="19" applyFont="1" applyFill="1" applyBorder="1" applyAlignment="1" applyProtection="1">
      <alignment horizontal="center" vertical="center" wrapText="1"/>
    </xf>
    <xf numFmtId="43" fontId="271" fillId="0" borderId="32" xfId="19" applyFont="1" applyFill="1" applyBorder="1" applyAlignment="1" applyProtection="1">
      <alignment horizontal="center" vertical="center" wrapText="1"/>
    </xf>
    <xf numFmtId="0" fontId="272" fillId="0" borderId="1" xfId="12" applyFont="1" applyBorder="1" applyAlignment="1">
      <alignment horizontal="left" vertical="center"/>
    </xf>
    <xf numFmtId="0" fontId="270" fillId="0" borderId="2" xfId="20" applyNumberFormat="1" applyFont="1" applyBorder="1" applyAlignment="1">
      <alignment horizontal="center" vertical="center" wrapText="1"/>
    </xf>
    <xf numFmtId="196" fontId="271" fillId="0" borderId="2" xfId="19" applyNumberFormat="1" applyFont="1" applyFill="1" applyBorder="1" applyAlignment="1">
      <alignment horizontal="center" vertical="center"/>
    </xf>
    <xf numFmtId="43" fontId="271" fillId="0" borderId="2" xfId="19" applyFont="1" applyFill="1" applyBorder="1" applyAlignment="1" applyProtection="1">
      <alignment horizontal="center" vertical="center" wrapText="1"/>
    </xf>
    <xf numFmtId="43" fontId="159" fillId="0" borderId="0" xfId="12" applyNumberFormat="1"/>
    <xf numFmtId="0" fontId="270" fillId="9" borderId="1" xfId="20" applyNumberFormat="1" applyFont="1" applyFill="1" applyBorder="1" applyAlignment="1">
      <alignment horizontal="center" vertical="center" wrapText="1"/>
    </xf>
    <xf numFmtId="0" fontId="270" fillId="9" borderId="1" xfId="20" applyNumberFormat="1" applyFont="1" applyFill="1" applyBorder="1" applyAlignment="1">
      <alignment horizontal="left" vertical="center" wrapText="1"/>
    </xf>
    <xf numFmtId="196" fontId="271" fillId="9" borderId="1" xfId="19" applyNumberFormat="1" applyFont="1" applyFill="1" applyBorder="1" applyAlignment="1">
      <alignment horizontal="center" vertical="center"/>
    </xf>
    <xf numFmtId="43" fontId="272" fillId="9" borderId="1" xfId="19" applyFont="1" applyFill="1" applyBorder="1" applyAlignment="1" applyProtection="1">
      <alignment horizontal="center" vertical="center" wrapText="1"/>
    </xf>
    <xf numFmtId="43" fontId="271" fillId="9" borderId="1" xfId="19" applyFont="1" applyFill="1" applyBorder="1" applyAlignment="1">
      <alignment horizontal="center" vertical="center" wrapText="1"/>
    </xf>
    <xf numFmtId="43" fontId="271" fillId="9" borderId="1" xfId="19" applyFont="1" applyFill="1" applyBorder="1" applyAlignment="1" applyProtection="1">
      <alignment horizontal="center" vertical="center" wrapText="1"/>
    </xf>
    <xf numFmtId="0" fontId="159" fillId="9" borderId="0" xfId="12" applyFill="1"/>
    <xf numFmtId="0" fontId="270" fillId="9" borderId="9" xfId="20" applyNumberFormat="1" applyFont="1" applyFill="1" applyBorder="1" applyAlignment="1">
      <alignment horizontal="center" vertical="center" wrapText="1"/>
    </xf>
    <xf numFmtId="0" fontId="270" fillId="9" borderId="9" xfId="20" applyNumberFormat="1" applyFont="1" applyFill="1" applyBorder="1" applyAlignment="1">
      <alignment horizontal="left" vertical="center" wrapText="1"/>
    </xf>
    <xf numFmtId="196" fontId="271" fillId="9" borderId="9" xfId="19" applyNumberFormat="1" applyFont="1" applyFill="1" applyBorder="1" applyAlignment="1">
      <alignment horizontal="center" vertical="center"/>
    </xf>
    <xf numFmtId="43" fontId="272" fillId="9" borderId="9" xfId="19" applyFont="1" applyFill="1" applyBorder="1" applyAlignment="1" applyProtection="1">
      <alignment horizontal="center" vertical="center" wrapText="1"/>
    </xf>
    <xf numFmtId="43" fontId="271" fillId="9" borderId="9" xfId="19" applyFont="1" applyFill="1" applyBorder="1" applyAlignment="1" applyProtection="1">
      <alignment horizontal="center" vertical="center" wrapText="1"/>
    </xf>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274" fillId="23" borderId="176" xfId="0" applyFont="1" applyFill="1" applyBorder="1" applyAlignment="1">
      <alignment vertical="center"/>
    </xf>
    <xf numFmtId="0" fontId="0" fillId="0" borderId="176" xfId="0" applyBorder="1" applyAlignment="1">
      <alignment vertical="center"/>
    </xf>
    <xf numFmtId="0" fontId="19" fillId="24" borderId="176" xfId="0" applyFont="1" applyFill="1" applyBorder="1" applyAlignment="1">
      <alignment vertical="center"/>
    </xf>
    <xf numFmtId="31" fontId="19" fillId="24" borderId="176" xfId="0" applyNumberFormat="1" applyFont="1" applyFill="1" applyBorder="1" applyAlignment="1">
      <alignment vertical="center"/>
    </xf>
    <xf numFmtId="9" fontId="19" fillId="24" borderId="176" xfId="0" applyNumberFormat="1" applyFont="1" applyFill="1" applyBorder="1" applyAlignment="1">
      <alignment vertical="center"/>
    </xf>
    <xf numFmtId="0" fontId="275" fillId="25" borderId="176" xfId="0" applyFont="1" applyFill="1" applyBorder="1" applyAlignment="1">
      <alignment vertical="center"/>
    </xf>
    <xf numFmtId="31" fontId="275" fillId="25" borderId="176" xfId="0" applyNumberFormat="1" applyFont="1" applyFill="1" applyBorder="1" applyAlignment="1">
      <alignment vertical="center"/>
    </xf>
    <xf numFmtId="9" fontId="275" fillId="25"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3" fillId="5" borderId="176" xfId="0" applyFont="1" applyFill="1" applyBorder="1" applyAlignment="1">
      <alignment vertical="center"/>
    </xf>
    <xf numFmtId="0" fontId="0" fillId="0" borderId="0" xfId="0" applyAlignme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5" fillId="9" borderId="176" xfId="0" applyFont="1" applyFill="1" applyBorder="1" applyAlignment="1">
      <alignment vertical="center"/>
    </xf>
    <xf numFmtId="31" fontId="129" fillId="9" borderId="176" xfId="0" applyNumberFormat="1" applyFont="1" applyFill="1" applyBorder="1" applyAlignment="1">
      <alignment vertical="center"/>
    </xf>
    <xf numFmtId="31" fontId="275"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xf numFmtId="0" fontId="0" fillId="5" borderId="0" xfId="0" applyFill="1" applyAlignment="1">
      <alignment vertical="center"/>
    </xf>
    <xf numFmtId="0" fontId="129" fillId="26" borderId="176" xfId="0" applyFont="1" applyFill="1" applyBorder="1" applyAlignment="1">
      <alignment vertical="center"/>
    </xf>
    <xf numFmtId="31" fontId="129" fillId="26" borderId="176" xfId="0" applyNumberFormat="1" applyFont="1" applyFill="1" applyBorder="1" applyAlignment="1">
      <alignment vertical="center"/>
    </xf>
    <xf numFmtId="9" fontId="129" fillId="26" borderId="176" xfId="0" applyNumberFormat="1" applyFont="1" applyFill="1" applyBorder="1" applyAlignment="1">
      <alignment vertical="center"/>
    </xf>
    <xf numFmtId="0" fontId="273" fillId="26" borderId="176" xfId="0" applyFont="1" applyFill="1" applyBorder="1" applyAlignment="1">
      <alignment vertical="center"/>
    </xf>
    <xf numFmtId="0" fontId="0" fillId="10" borderId="0" xfId="0" applyFill="1" applyAlignment="1">
      <alignment vertical="center"/>
    </xf>
    <xf numFmtId="0" fontId="95" fillId="5" borderId="0" xfId="0" applyFont="1" applyFill="1" applyAlignment="1">
      <alignment vertical="center"/>
    </xf>
    <xf numFmtId="49" fontId="94" fillId="0" borderId="3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1809750</xdr:colOff>
      <xdr:row>15</xdr:row>
      <xdr:rowOff>190500</xdr:rowOff>
    </xdr:from>
    <xdr:to>
      <xdr:col>5</xdr:col>
      <xdr:colOff>561996</xdr:colOff>
      <xdr:row>50</xdr:row>
      <xdr:rowOff>141943</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5334000"/>
          <a:ext cx="5467371" cy="6133168"/>
        </a:xfrm>
        <a:prstGeom prst="rect">
          <a:avLst/>
        </a:prstGeom>
      </xdr:spPr>
    </xdr:pic>
    <xdr:clientData/>
  </xdr:twoCellAnchor>
  <xdr:twoCellAnchor editAs="oneCell">
    <xdr:from>
      <xdr:col>5</xdr:col>
      <xdr:colOff>631171</xdr:colOff>
      <xdr:row>15</xdr:row>
      <xdr:rowOff>190500</xdr:rowOff>
    </xdr:from>
    <xdr:to>
      <xdr:col>7</xdr:col>
      <xdr:colOff>1227924</xdr:colOff>
      <xdr:row>49</xdr:row>
      <xdr:rowOff>18147</xdr:rowOff>
    </xdr:to>
    <xdr:pic>
      <xdr:nvPicPr>
        <xdr:cNvPr id="3" name="图片 2"/>
        <xdr:cNvPicPr>
          <a:picLocks noChangeAspect="1"/>
        </xdr:cNvPicPr>
      </xdr:nvPicPr>
      <xdr:blipFill>
        <a:blip xmlns:r="http://schemas.openxmlformats.org/officeDocument/2006/relationships" r:embed="rId2"/>
        <a:stretch>
          <a:fillRect/>
        </a:stretch>
      </xdr:blipFill>
      <xdr:spPr>
        <a:xfrm>
          <a:off x="9051271" y="5334000"/>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151518</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45755.04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183193</v>
      </c>
    </row>
    <row r="21" spans="1:2" s="1203" customFormat="1">
      <c r="A21" s="1201" t="s">
        <v>537</v>
      </c>
      <c r="B21" s="1202">
        <f ca="1">'预评函-2'!D7</f>
        <v>40038</v>
      </c>
    </row>
    <row r="22" spans="1:2" s="1203" customFormat="1">
      <c r="A22" s="1201" t="s">
        <v>538</v>
      </c>
      <c r="B22" s="1202" t="str">
        <f ca="1">'预评函-2'!D6</f>
        <v>壹拾捌亿叁仟壹佰玖拾叁万元整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183193</v>
      </c>
    </row>
    <row r="31" spans="1:2" s="1203" customFormat="1">
      <c r="A31" s="1201" t="s">
        <v>576</v>
      </c>
      <c r="B31" s="1202">
        <f ca="1">'预评函-2'!D15</f>
        <v>40038</v>
      </c>
    </row>
    <row r="32" spans="1:2" s="1203" customFormat="1">
      <c r="A32" s="1201" t="s">
        <v>543</v>
      </c>
      <c r="B32" s="1202" t="str">
        <f ca="1">'预评函-2'!D14</f>
        <v>壹拾捌亿叁仟壹佰玖拾叁万元整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45755.040000000001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139410</v>
      </c>
    </row>
    <row r="48" spans="1:2" s="1203" customFormat="1">
      <c r="A48" s="1201" t="s">
        <v>549</v>
      </c>
      <c r="B48" s="1202">
        <f ca="1">'预评函-3'!E4</f>
        <v>30469</v>
      </c>
    </row>
    <row r="49" spans="1:2" s="1203" customFormat="1">
      <c r="A49" s="1201" t="s">
        <v>550</v>
      </c>
      <c r="B49" s="1202" t="str">
        <f ca="1">'预评函-3'!D5</f>
        <v>壹拾叁亿玖仟肆佰壹拾万元整</v>
      </c>
    </row>
    <row r="50" spans="1:2" s="1203" customFormat="1">
      <c r="A50" s="1201" t="s">
        <v>574</v>
      </c>
      <c r="B50" s="1202" t="str">
        <f>'预评函-3'!F2</f>
        <v>在建建筑物价值</v>
      </c>
    </row>
    <row r="51" spans="1:2" s="1203" customFormat="1">
      <c r="A51" s="1201" t="s">
        <v>551</v>
      </c>
      <c r="B51" s="1202">
        <f ca="1">'预评函-3'!F4</f>
        <v>43783</v>
      </c>
    </row>
    <row r="52" spans="1:2" s="1203" customFormat="1">
      <c r="A52" s="1201" t="s">
        <v>552</v>
      </c>
      <c r="B52" s="1202">
        <f ca="1">'预评函-3'!G4</f>
        <v>9569</v>
      </c>
    </row>
    <row r="53" spans="1:2" s="1203" customFormat="1">
      <c r="A53" s="1201" t="s">
        <v>580</v>
      </c>
      <c r="B53" s="1202" t="str">
        <f ca="1">'预评函-3'!F5</f>
        <v>肆亿叁仟柒佰捌拾叁万元整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1554" t="s">
        <v>385</v>
      </c>
      <c r="C54" s="1551" t="s">
        <v>583</v>
      </c>
    </row>
    <row r="55" spans="1:4">
      <c r="A55" s="3572"/>
      <c r="B55" s="1554" t="s">
        <v>386</v>
      </c>
      <c r="C55" s="1551" t="s">
        <v>584</v>
      </c>
    </row>
    <row r="56" spans="1:4">
      <c r="A56" s="3572"/>
      <c r="B56" s="1554" t="s">
        <v>387</v>
      </c>
      <c r="C56" s="1551" t="s">
        <v>588</v>
      </c>
    </row>
    <row r="57" spans="1:4">
      <c r="A57" s="357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73" t="s">
        <v>2569</v>
      </c>
      <c r="J2" s="3573"/>
      <c r="K2" s="3573"/>
      <c r="L2" s="3573"/>
      <c r="M2" s="3573"/>
      <c r="N2" s="3573"/>
      <c r="O2" s="3573"/>
      <c r="P2" s="3573"/>
      <c r="Q2" s="3573"/>
      <c r="R2" s="3573"/>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74"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575"/>
      <c r="D1" s="3575"/>
      <c r="E1" s="3575"/>
      <c r="F1" s="3575"/>
      <c r="G1" s="3575"/>
      <c r="H1" s="3575"/>
      <c r="I1" s="3576"/>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577"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578"/>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3579</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584"/>
      <c r="C16" s="3585"/>
      <c r="D16" s="3586"/>
      <c r="E16" s="2412" t="s">
        <v>2192</v>
      </c>
      <c r="F16" s="3587"/>
      <c r="G16" s="3588"/>
      <c r="H16" s="3588"/>
      <c r="I16" s="3589"/>
      <c r="J16" s="2438"/>
      <c r="K16" s="2611"/>
      <c r="L16" s="2450"/>
      <c r="M16" s="2450"/>
      <c r="N16" s="2503"/>
      <c r="O16" s="2450"/>
      <c r="P16" s="2503"/>
      <c r="Q16" s="2438"/>
      <c r="R16" s="2438"/>
    </row>
    <row r="17" spans="1:28">
      <c r="A17" s="313" t="s">
        <v>2193</v>
      </c>
      <c r="B17" s="302" t="s">
        <v>2194</v>
      </c>
      <c r="C17" s="8">
        <f>'数据-汇总表'!E3</f>
        <v>45755.040000000001</v>
      </c>
      <c r="D17" s="2322" t="s">
        <v>2195</v>
      </c>
      <c r="E17" s="3590" t="s">
        <v>2196</v>
      </c>
      <c r="F17" s="3591"/>
      <c r="G17" s="3591"/>
      <c r="H17" s="3591"/>
      <c r="I17" s="3592"/>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593" t="s">
        <v>2200</v>
      </c>
      <c r="F18" s="3594"/>
      <c r="G18" s="3594"/>
      <c r="H18" s="3594"/>
      <c r="I18" s="3595"/>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580" t="s">
        <v>2204</v>
      </c>
      <c r="C20" s="3581"/>
      <c r="D20" s="3582" t="s">
        <v>2205</v>
      </c>
      <c r="E20" s="3583"/>
      <c r="F20" s="2641" t="s">
        <v>1056</v>
      </c>
      <c r="G20" s="2658"/>
      <c r="H20" s="2658"/>
      <c r="I20" s="2658"/>
      <c r="J20" s="2438"/>
      <c r="K20" s="3579"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3571</v>
      </c>
      <c r="C21" s="2628" t="s">
        <v>3570</v>
      </c>
      <c r="D21" s="1568"/>
      <c r="E21" s="2629"/>
      <c r="F21" s="2642"/>
      <c r="G21" s="2658"/>
      <c r="H21" s="2658"/>
      <c r="I21" s="2658"/>
      <c r="J21" s="2438"/>
      <c r="K21" s="357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7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97" t="s">
        <v>2209</v>
      </c>
      <c r="B27" s="320" t="s">
        <v>2210</v>
      </c>
      <c r="C27" s="2415" t="s">
        <v>3572</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97"/>
      <c r="B28" s="302" t="s">
        <v>2211</v>
      </c>
      <c r="C28" s="2417" t="s">
        <v>3573</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97"/>
      <c r="B29" s="302" t="s">
        <v>2212</v>
      </c>
      <c r="C29" s="2419" t="s">
        <v>3445</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98"/>
      <c r="B30" s="302" t="s">
        <v>2213</v>
      </c>
      <c r="C30" s="3599"/>
      <c r="D30" s="3600"/>
      <c r="E30" s="2658"/>
      <c r="F30" s="2658"/>
      <c r="G30" s="2658"/>
      <c r="H30" s="2658"/>
      <c r="I30" s="2658"/>
      <c r="J30" s="2438"/>
      <c r="K30" s="2610"/>
      <c r="L30" s="2607"/>
      <c r="M30" s="2607"/>
      <c r="N30" s="2438"/>
      <c r="O30" s="2449"/>
      <c r="P30" s="2438"/>
      <c r="Q30" s="2438"/>
      <c r="R30" s="2438"/>
      <c r="S30" s="2438"/>
      <c r="T30" s="2438"/>
      <c r="U30" s="2438"/>
      <c r="V30" s="2438"/>
    </row>
    <row r="31" spans="1:28">
      <c r="A31" s="3601" t="s">
        <v>2214</v>
      </c>
      <c r="B31" s="2421" t="s">
        <v>3574</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602"/>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602"/>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3433</v>
      </c>
      <c r="C34" s="2026" t="s">
        <v>3434</v>
      </c>
      <c r="D34" s="2026" t="s">
        <v>3435</v>
      </c>
      <c r="E34" s="2026" t="s">
        <v>3436</v>
      </c>
      <c r="F34" s="2026" t="s">
        <v>3437</v>
      </c>
      <c r="G34" s="2026"/>
      <c r="H34" s="2026"/>
      <c r="I34" s="2658"/>
      <c r="J34" s="2438"/>
      <c r="K34" s="2426">
        <f>COUNTIF(B34:H34,"——")</f>
        <v>0</v>
      </c>
      <c r="L34" s="323" t="s">
        <v>2216</v>
      </c>
      <c r="M34" s="323" t="s">
        <v>2217</v>
      </c>
      <c r="N34" s="323" t="s">
        <v>2218</v>
      </c>
      <c r="O34" s="323" t="s">
        <v>2219</v>
      </c>
      <c r="P34" s="323" t="s">
        <v>2220</v>
      </c>
      <c r="Q34" s="323" t="s">
        <v>2221</v>
      </c>
      <c r="R34" s="323" t="s">
        <v>2222</v>
      </c>
      <c r="S34" s="3596" t="s">
        <v>2223</v>
      </c>
      <c r="T34" s="2427" t="str">
        <f>NUMBERSTRING(7-K34,1)&amp;"通"</f>
        <v>七通</v>
      </c>
      <c r="U34" s="2438"/>
      <c r="V34" s="2438"/>
    </row>
    <row r="35" spans="1:30">
      <c r="A35" s="2428"/>
      <c r="B35" s="3603" t="s">
        <v>2224</v>
      </c>
      <c r="C35" s="3603"/>
      <c r="D35" s="3603"/>
      <c r="E35" s="3603"/>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96"/>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49" sqref="M49"/>
      <selection pane="topRight" activeCell="M49" sqref="M49"/>
      <selection pane="bottomLeft" activeCell="M49" sqref="M49"/>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45755.040000000001</v>
      </c>
      <c r="BA5" s="15">
        <f t="shared" si="1"/>
        <v>45755.040000000001</v>
      </c>
      <c r="BB5" s="15">
        <f t="shared" si="1"/>
        <v>45755.040000000001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3372</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29074.58</v>
      </c>
      <c r="BA14" s="13">
        <f>SUM(BB14:BK14)</f>
        <v>29074.58</v>
      </c>
      <c r="BB14" s="13">
        <f>IF($D14="是",I14-J14,0)</f>
        <v>29074.58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13" t="s">
        <v>1129</v>
      </c>
      <c r="B2" s="3613"/>
      <c r="C2" s="3613"/>
      <c r="D2" s="796" t="s">
        <v>1105</v>
      </c>
      <c r="E2" s="1639" t="s">
        <v>1106</v>
      </c>
      <c r="F2" s="2653"/>
      <c r="G2" s="2644"/>
      <c r="H2" s="2645"/>
      <c r="I2" s="2325" t="s">
        <v>1130</v>
      </c>
      <c r="J2" s="2653"/>
      <c r="K2" s="2653"/>
      <c r="L2" s="2653"/>
      <c r="M2" s="2653"/>
      <c r="N2" s="2655"/>
      <c r="O2" s="2653"/>
      <c r="P2" s="2653"/>
    </row>
    <row r="3" spans="1:16" ht="15.75" thickBot="1">
      <c r="A3" s="3614" t="s">
        <v>1103</v>
      </c>
      <c r="B3" s="3614"/>
      <c r="C3" s="3614"/>
      <c r="D3" s="43">
        <f>'数据-基础表'!AY6</f>
        <v>0</v>
      </c>
      <c r="E3" s="43">
        <f>'数据-基础表'!AZ5</f>
        <v>45755.040000000001</v>
      </c>
      <c r="F3" s="2653"/>
      <c r="G3" s="1145"/>
      <c r="H3" s="1026" t="s">
        <v>1104</v>
      </c>
      <c r="I3" s="855" t="e">
        <f>ROUND('数据-基础表'!B3/'数据-基础表'!A3,2)</f>
        <v>#DIV/0!</v>
      </c>
      <c r="J3" s="2653"/>
      <c r="K3" s="2653"/>
      <c r="L3" s="2653"/>
      <c r="M3" s="2653"/>
      <c r="N3" s="2655"/>
      <c r="O3" s="2653"/>
      <c r="P3" s="2653"/>
    </row>
    <row r="4" spans="1:16" ht="15">
      <c r="A4" s="3615"/>
      <c r="B4" s="3616"/>
      <c r="C4" s="3617"/>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618" t="s">
        <v>1108</v>
      </c>
      <c r="C5" s="3618"/>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618" t="s">
        <v>1109</v>
      </c>
      <c r="C6" s="3618"/>
      <c r="D6" s="45">
        <f>ROUND($D$3*E6/$E$3,2)</f>
        <v>0</v>
      </c>
      <c r="E6" s="46">
        <f>E3-E5</f>
        <v>45755.040000000001</v>
      </c>
      <c r="F6" s="2653"/>
      <c r="G6" s="2647" t="s">
        <v>1110</v>
      </c>
      <c r="H6" s="1146" t="s">
        <v>1111</v>
      </c>
      <c r="I6" s="2648" t="e">
        <f>ROUND(F31/D31,2)</f>
        <v>#DIV/0!</v>
      </c>
      <c r="J6" s="2653"/>
      <c r="K6" s="2653"/>
      <c r="L6" s="2653"/>
      <c r="M6" s="2653"/>
      <c r="N6" s="2653"/>
      <c r="O6" s="2653"/>
      <c r="P6" s="2653"/>
    </row>
    <row r="7" spans="1:16" ht="15.75" thickBot="1">
      <c r="A7" s="3610"/>
      <c r="B7" s="3611"/>
      <c r="C7" s="3612"/>
      <c r="D7" s="1641" t="s">
        <v>1105</v>
      </c>
      <c r="E7" s="1645" t="s">
        <v>1112</v>
      </c>
      <c r="F7" s="2653"/>
      <c r="G7" s="2649" t="s">
        <v>1113</v>
      </c>
      <c r="H7" s="2650"/>
      <c r="I7" s="2651">
        <v>4.2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45755.040000000001</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45755.040000000001</v>
      </c>
      <c r="F16" s="2653"/>
      <c r="G16" s="2654"/>
      <c r="H16" s="1648" t="s">
        <v>1133</v>
      </c>
      <c r="I16" s="1649"/>
      <c r="J16" s="1139"/>
      <c r="K16" s="3607" t="s">
        <v>1133</v>
      </c>
      <c r="L16" s="3608"/>
      <c r="M16" s="3608"/>
      <c r="N16" s="3608"/>
      <c r="O16" s="3608"/>
      <c r="P16" s="3609"/>
    </row>
    <row r="17" spans="1:19" ht="15">
      <c r="A17" s="1650" t="s">
        <v>1134</v>
      </c>
      <c r="B17" s="1651" t="s">
        <v>1135</v>
      </c>
      <c r="C17" s="1652" t="s">
        <v>1136</v>
      </c>
      <c r="D17" s="1653" t="s">
        <v>1124</v>
      </c>
      <c r="E17" s="1654" t="s">
        <v>1125</v>
      </c>
      <c r="F17" s="1655"/>
      <c r="G17" s="1656"/>
      <c r="H17" s="1657" t="s">
        <v>1137</v>
      </c>
      <c r="I17" s="1658" t="s">
        <v>1122</v>
      </c>
      <c r="J17" s="1139"/>
      <c r="K17" s="3604" t="s">
        <v>1138</v>
      </c>
      <c r="L17" s="3605"/>
      <c r="M17" s="3606"/>
      <c r="N17" s="3604" t="s">
        <v>1139</v>
      </c>
      <c r="O17" s="3605"/>
      <c r="P17" s="3606"/>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45755.040000000001</v>
      </c>
      <c r="F19" s="2789">
        <f>'数据-基础表'!I5</f>
        <v>45755.040000000001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45755.040000000001</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45755.040000000001</v>
      </c>
      <c r="F27" s="1140">
        <f>IF(SUM(F19:F26)=E8,SUM(F19:F26),"地上面积有误")</f>
        <v>45755.040000000001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45755.040000000001</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45755.040000000001</v>
      </c>
      <c r="F31" s="677">
        <f>F27+F30</f>
        <v>45755.040000000001</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M49" sqref="M49"/>
      <selection pane="topRight" activeCell="M49" sqref="M49"/>
      <selection pane="bottomLeft" activeCell="M49" sqref="M49"/>
      <selection pane="bottomRight" activeCell="Y31" sqref="Y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7.0000000000000007E-2</v>
      </c>
      <c r="K6" s="1030">
        <f>SUMIF('数据-汇总表'!C$19:C$33,A6,'数据-汇总表'!E$19:E$33)</f>
        <v>45755.040000000001</v>
      </c>
      <c r="L6" s="733">
        <v>5000</v>
      </c>
      <c r="M6" s="67">
        <f t="shared" ref="M6:M14" si="0">ROUND(K6*L6/10000,0)</f>
        <v>22878</v>
      </c>
      <c r="N6" s="731">
        <f>N20</f>
        <v>0.91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7.3</v>
      </c>
      <c r="V6" s="70">
        <v>2.5000000000000001E-2</v>
      </c>
      <c r="W6" s="70">
        <v>0.1</v>
      </c>
      <c r="X6" s="1040"/>
      <c r="Y6" s="71">
        <f>N6</f>
        <v>0.91</v>
      </c>
      <c r="Z6" s="72"/>
      <c r="AA6" s="66"/>
      <c r="AB6" s="66"/>
      <c r="AC6" s="1040"/>
      <c r="AD6" s="73"/>
      <c r="AE6" s="1041">
        <f ca="1">IF(AN6="",0,SUMIF(INDIRECT("'"&amp;AN6&amp;"'"&amp;"!E:E"),$AE$5,INDIRECT("'"&amp;AN6&amp;"'"&amp;"!F:F")))</f>
        <v>33.58</v>
      </c>
      <c r="AF6" s="1348"/>
      <c r="AG6" s="138">
        <f>IF(AF6="",0,AE6-AF6)</f>
        <v>0</v>
      </c>
      <c r="AH6" s="74"/>
      <c r="AI6" s="76">
        <v>365</v>
      </c>
      <c r="AJ6" s="77"/>
      <c r="AK6" s="78">
        <v>0.01</v>
      </c>
      <c r="AL6" s="79">
        <v>1E-3</v>
      </c>
      <c r="AM6" s="80">
        <v>0.01</v>
      </c>
      <c r="AN6" s="1715" t="s">
        <v>3428</v>
      </c>
      <c r="AO6" s="52">
        <f ca="1">SUMIF(INDIRECT("'"&amp;AN6&amp;"'"&amp;"!A:A"),"总价",INDIRECT("'"&amp;AN6&amp;"'"&amp;"!B:B"))</f>
        <v>180702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45755.040000000001</v>
      </c>
      <c r="L16" s="93">
        <f>ROUND(M16*10000/SUM(K6:K14),0)</f>
        <v>5000</v>
      </c>
      <c r="M16" s="93">
        <f>SUM(M6:M14)</f>
        <v>22878</v>
      </c>
      <c r="N16" s="94">
        <f>ROUND(SUMPRODUCT(M6:M14,N6:N14)/M16,3)</f>
        <v>0.91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3566</v>
      </c>
      <c r="O17" s="2665" t="s">
        <v>3568</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3567</v>
      </c>
      <c r="M19" s="3447" t="s">
        <v>3381</v>
      </c>
      <c r="N19" s="2665">
        <f>ROUND(1-(1-0%)*(2023-N18)/60,2)</f>
        <v>0.9</v>
      </c>
      <c r="O19" s="2665">
        <f>ROUND(1-(1-0%)*(2023-O18)/60,2)</f>
        <v>0.92</v>
      </c>
      <c r="P19" s="2665"/>
      <c r="Q19" s="2665"/>
      <c r="R19" s="2665"/>
      <c r="S19" s="2665"/>
      <c r="T19" s="2665"/>
      <c r="U19" s="3447" t="s">
        <v>3446</v>
      </c>
      <c r="V19" s="3447" t="s">
        <v>3447</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3569</v>
      </c>
      <c r="N20" s="2665">
        <f>ROUND((N19*'数据-基础表'!I13+'数据-基础表'!I14*'数据-取费表'!O19)/'数据-取费表'!K16,2)</f>
        <v>0.91</v>
      </c>
      <c r="O20" s="2665"/>
      <c r="P20" s="2665"/>
      <c r="Q20" s="2665"/>
      <c r="R20" s="2665"/>
      <c r="S20" s="2665"/>
      <c r="T20" s="2665"/>
      <c r="U20" s="3480">
        <f>租赁台账!H17</f>
        <v>11827.029999999999</v>
      </c>
      <c r="V20" s="2665">
        <f>租赁台账!L17</f>
        <v>7.3</v>
      </c>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80">
        <f>K16-U20</f>
        <v>33928.01</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6.7</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915</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3429</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619" t="s">
        <v>2272</v>
      </c>
      <c r="B1" s="3620"/>
      <c r="C1" s="3620"/>
      <c r="D1" s="3620"/>
      <c r="E1" s="3620"/>
      <c r="F1" s="3620"/>
      <c r="G1" s="362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81" t="s">
        <v>3451</v>
      </c>
      <c r="D3" s="2463"/>
      <c r="E3" s="2441" t="s">
        <v>2271</v>
      </c>
      <c r="F3" s="2464" t="s">
        <v>2248</v>
      </c>
      <c r="G3" s="3500" t="s">
        <v>3549</v>
      </c>
      <c r="H3" s="799"/>
      <c r="I3" s="799"/>
      <c r="J3" s="799"/>
      <c r="K3" s="799"/>
      <c r="L3" s="799"/>
      <c r="M3" s="799"/>
      <c r="N3" s="799"/>
      <c r="O3" s="799"/>
      <c r="P3" s="799"/>
      <c r="Q3" s="799"/>
      <c r="R3" s="799"/>
    </row>
    <row r="4" spans="1:29">
      <c r="A4" s="2441"/>
      <c r="B4" s="323" t="s">
        <v>2249</v>
      </c>
      <c r="C4" s="3482" t="s">
        <v>3452</v>
      </c>
      <c r="D4" s="2463"/>
      <c r="E4" s="2465"/>
      <c r="F4" s="1373" t="s">
        <v>2250</v>
      </c>
      <c r="G4" s="3483" t="s">
        <v>3550</v>
      </c>
      <c r="H4" s="799"/>
      <c r="I4" s="799"/>
      <c r="J4" s="799"/>
      <c r="K4" s="799"/>
      <c r="L4" s="799"/>
      <c r="M4" s="799"/>
      <c r="N4" s="799"/>
      <c r="O4" s="799"/>
      <c r="P4" s="799"/>
      <c r="Q4" s="799"/>
      <c r="R4" s="799"/>
    </row>
    <row r="5" spans="1:29">
      <c r="A5" s="2441"/>
      <c r="B5" s="323" t="s">
        <v>2251</v>
      </c>
      <c r="C5" s="3482" t="s">
        <v>3452</v>
      </c>
      <c r="D5" s="2463"/>
      <c r="E5" s="2465"/>
      <c r="F5" s="323" t="s">
        <v>2252</v>
      </c>
      <c r="G5" s="3483" t="s">
        <v>3550</v>
      </c>
      <c r="H5" s="799"/>
      <c r="I5" s="799"/>
      <c r="J5" s="799"/>
      <c r="K5" s="799"/>
      <c r="L5" s="799"/>
      <c r="M5" s="799"/>
      <c r="N5" s="799"/>
      <c r="O5" s="799"/>
      <c r="P5" s="799"/>
      <c r="Q5" s="799"/>
      <c r="R5" s="799"/>
    </row>
    <row r="6" spans="1:29">
      <c r="A6" s="2441"/>
      <c r="B6" s="323" t="s">
        <v>2253</v>
      </c>
      <c r="C6" s="3483" t="s">
        <v>3451</v>
      </c>
      <c r="D6" s="2463"/>
      <c r="E6" s="2465"/>
      <c r="F6" s="323" t="s">
        <v>2254</v>
      </c>
      <c r="G6" s="3483" t="s">
        <v>3552</v>
      </c>
      <c r="H6" s="799"/>
      <c r="I6" s="799"/>
      <c r="J6" s="799"/>
      <c r="K6" s="799"/>
      <c r="L6" s="799"/>
      <c r="M6" s="799"/>
      <c r="N6" s="799"/>
      <c r="O6" s="799"/>
      <c r="P6" s="799"/>
      <c r="Q6" s="799"/>
      <c r="R6" s="799"/>
    </row>
    <row r="7" spans="1:29" ht="15" thickBot="1">
      <c r="A7" s="2441"/>
      <c r="B7" s="323" t="s">
        <v>2252</v>
      </c>
      <c r="C7" s="3483" t="s">
        <v>3451</v>
      </c>
      <c r="D7" s="2466"/>
      <c r="E7" s="2467"/>
      <c r="F7" s="2468" t="s">
        <v>2255</v>
      </c>
      <c r="G7" s="3501" t="s">
        <v>3550</v>
      </c>
      <c r="H7" s="799"/>
      <c r="I7" s="799"/>
      <c r="J7" s="799"/>
      <c r="K7" s="799"/>
      <c r="L7" s="799"/>
      <c r="M7" s="799"/>
      <c r="N7" s="799"/>
      <c r="O7" s="799"/>
      <c r="P7" s="799"/>
      <c r="Q7" s="799"/>
      <c r="R7" s="799"/>
    </row>
    <row r="8" spans="1:29">
      <c r="A8" s="2441"/>
      <c r="B8" s="323" t="s">
        <v>2254</v>
      </c>
      <c r="C8" s="3483" t="s">
        <v>3453</v>
      </c>
      <c r="D8" s="2466"/>
      <c r="E8" s="2466"/>
      <c r="F8" s="2469"/>
      <c r="G8" s="2469"/>
      <c r="H8" s="799"/>
      <c r="I8" s="799"/>
      <c r="J8" s="799"/>
      <c r="K8" s="799"/>
      <c r="L8" s="799"/>
      <c r="M8" s="799"/>
      <c r="N8" s="799"/>
      <c r="O8" s="799"/>
      <c r="P8" s="799"/>
      <c r="Q8" s="799"/>
      <c r="R8" s="799"/>
    </row>
    <row r="9" spans="1:29">
      <c r="A9" s="2441"/>
      <c r="B9" s="323" t="s">
        <v>2256</v>
      </c>
      <c r="C9" s="3482" t="s">
        <v>3451</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c r="A18" s="2445"/>
      <c r="B18" s="2496" t="s">
        <v>2253</v>
      </c>
      <c r="C18" s="2497" t="str">
        <f>C6</f>
        <v>较好</v>
      </c>
      <c r="D18" s="2466"/>
      <c r="E18" s="2446"/>
      <c r="F18" s="2496" t="s">
        <v>2255</v>
      </c>
      <c r="G18" s="2497" t="str">
        <f>G7</f>
        <v>较好</v>
      </c>
    </row>
    <row r="19" spans="1:18">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45755.040000000001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183193</v>
      </c>
      <c r="C5" s="2506">
        <f ca="1">IF(B5=D14,结果表!H102,ROUND(B5*10000/$B$1,0))</f>
        <v>40038</v>
      </c>
      <c r="D5" s="2506" t="e">
        <f ca="1">ROUND(B5*10000/$B$2,0)</f>
        <v>#DIV/0!</v>
      </c>
      <c r="E5" s="2680"/>
      <c r="F5" s="2681"/>
      <c r="G5" s="2681"/>
      <c r="H5" s="2682"/>
      <c r="I5" s="2682"/>
      <c r="J5" s="2682"/>
      <c r="K5" s="2682"/>
    </row>
    <row r="6" spans="1:11" ht="16.5">
      <c r="A6" s="2506" t="s">
        <v>656</v>
      </c>
      <c r="B6" s="2506">
        <f ca="1">SUM(G14:G23)</f>
        <v>183193</v>
      </c>
      <c r="C6" s="2506">
        <f ca="1">IF(B6=G14,结果表!H108,ROUND(B6*10000/$B$1,0))</f>
        <v>40038</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45755.040000000001</v>
      </c>
      <c r="C14" s="2512"/>
      <c r="D14" s="2512">
        <f ca="1">结果表!H118</f>
        <v>183193</v>
      </c>
      <c r="E14" s="2512">
        <f ca="1">ROUND(D14*10000/B14,0)</f>
        <v>40038</v>
      </c>
      <c r="F14" s="2512" t="e">
        <f ca="1">ROUND(D14*10000/C14,0)</f>
        <v>#DIV/0!</v>
      </c>
      <c r="G14" s="2512">
        <f ca="1">结果表!D122</f>
        <v>183193</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SheetLayoutView="9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3574</v>
      </c>
      <c r="H1" s="1750" t="str">
        <f>IF(G1="现房","——","估价对象范围")</f>
        <v>——</v>
      </c>
      <c r="I1" s="1751" t="s">
        <v>3578</v>
      </c>
    </row>
    <row r="2" spans="1:12" ht="21.75" customHeight="1" thickBot="1">
      <c r="A2" s="3688" t="str">
        <f>项目基本情况!S2</f>
        <v>北京市朝阳区酒仙桥路6号院4号楼1至15层101房地产</v>
      </c>
      <c r="B2" s="3689"/>
      <c r="C2" s="3689"/>
      <c r="D2" s="3689"/>
      <c r="E2" s="3689"/>
      <c r="F2" s="3689"/>
      <c r="G2" s="3689"/>
      <c r="H2" s="3689"/>
      <c r="I2" s="3690"/>
    </row>
    <row r="3" spans="1:12" ht="12.75">
      <c r="A3" s="3692" t="s">
        <v>1262</v>
      </c>
      <c r="B3" s="3693"/>
      <c r="C3" s="3693"/>
      <c r="D3" s="3693"/>
      <c r="E3" s="3693"/>
      <c r="F3" s="3693"/>
      <c r="G3" s="3693"/>
      <c r="H3" s="3693"/>
      <c r="I3" s="3693"/>
    </row>
    <row r="4" spans="1:12" ht="14.25">
      <c r="A4" s="1754" t="s">
        <v>1263</v>
      </c>
      <c r="B4" s="1755" t="s">
        <v>1264</v>
      </c>
      <c r="C4" s="1756" t="s">
        <v>3454</v>
      </c>
      <c r="D4" s="1756" t="s">
        <v>3428</v>
      </c>
      <c r="E4" s="3697" t="s">
        <v>1265</v>
      </c>
      <c r="F4" s="3698"/>
      <c r="G4" s="3698"/>
      <c r="H4" s="3698"/>
      <c r="I4" s="36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6" t="s">
        <v>1266</v>
      </c>
      <c r="B5" s="3691">
        <v>25</v>
      </c>
      <c r="C5" s="3694"/>
      <c r="D5" s="3682"/>
      <c r="E5" s="131" t="s">
        <v>1267</v>
      </c>
      <c r="F5" s="1757"/>
      <c r="G5" s="1757"/>
      <c r="H5" s="1757"/>
      <c r="I5" s="1373"/>
    </row>
    <row r="6" spans="1:12" ht="12.75">
      <c r="A6" s="3636"/>
      <c r="B6" s="3691"/>
      <c r="C6" s="3696"/>
      <c r="D6" s="3682"/>
      <c r="E6" s="131" t="s">
        <v>1268</v>
      </c>
      <c r="F6" s="1757"/>
      <c r="G6" s="1757"/>
      <c r="H6" s="1757"/>
      <c r="I6" s="1373"/>
    </row>
    <row r="7" spans="1:12" ht="12.75">
      <c r="A7" s="3636"/>
      <c r="B7" s="3691"/>
      <c r="C7" s="3695"/>
      <c r="D7" s="3682"/>
      <c r="E7" s="131" t="s">
        <v>1269</v>
      </c>
      <c r="F7" s="1757"/>
      <c r="G7" s="1757"/>
      <c r="H7" s="1757"/>
      <c r="I7" s="1373"/>
    </row>
    <row r="8" spans="1:12" ht="12.75">
      <c r="A8" s="3636" t="s">
        <v>1270</v>
      </c>
      <c r="B8" s="3691">
        <v>15</v>
      </c>
      <c r="C8" s="3694"/>
      <c r="D8" s="3682"/>
      <c r="E8" s="131" t="s">
        <v>1271</v>
      </c>
      <c r="F8" s="1757"/>
      <c r="G8" s="1757"/>
      <c r="H8" s="1757"/>
      <c r="I8" s="1373"/>
    </row>
    <row r="9" spans="1:12" ht="12.75">
      <c r="A9" s="3636"/>
      <c r="B9" s="3691"/>
      <c r="C9" s="3695"/>
      <c r="D9" s="3682"/>
      <c r="E9" s="131" t="s">
        <v>1272</v>
      </c>
      <c r="F9" s="1757"/>
      <c r="G9" s="1757"/>
      <c r="H9" s="1757"/>
      <c r="I9" s="1373"/>
    </row>
    <row r="10" spans="1:12" ht="12.75">
      <c r="A10" s="3636" t="s">
        <v>1273</v>
      </c>
      <c r="B10" s="3691">
        <v>15</v>
      </c>
      <c r="C10" s="3694"/>
      <c r="D10" s="3682"/>
      <c r="E10" s="131" t="s">
        <v>1274</v>
      </c>
      <c r="F10" s="1757"/>
      <c r="G10" s="1757"/>
      <c r="H10" s="1757"/>
      <c r="I10" s="1373"/>
    </row>
    <row r="11" spans="1:12" ht="12.75">
      <c r="A11" s="3636"/>
      <c r="B11" s="3691"/>
      <c r="C11" s="3695"/>
      <c r="D11" s="3682"/>
      <c r="E11" s="131" t="s">
        <v>1275</v>
      </c>
      <c r="F11" s="1757"/>
      <c r="G11" s="1757"/>
      <c r="H11" s="1757"/>
      <c r="I11" s="1373"/>
    </row>
    <row r="12" spans="1:12" ht="12.75">
      <c r="A12" s="3636" t="s">
        <v>1276</v>
      </c>
      <c r="B12" s="3691">
        <v>15</v>
      </c>
      <c r="C12" s="3694"/>
      <c r="D12" s="3682"/>
      <c r="E12" s="131" t="s">
        <v>1277</v>
      </c>
      <c r="F12" s="1757"/>
      <c r="G12" s="1757"/>
      <c r="H12" s="1757"/>
      <c r="I12" s="1373"/>
    </row>
    <row r="13" spans="1:12" ht="12.75">
      <c r="A13" s="3636"/>
      <c r="B13" s="3691"/>
      <c r="C13" s="3695"/>
      <c r="D13" s="3682"/>
      <c r="E13" s="131" t="s">
        <v>1278</v>
      </c>
      <c r="F13" s="1757"/>
      <c r="G13" s="1757"/>
      <c r="H13" s="1757"/>
      <c r="I13" s="1373"/>
    </row>
    <row r="14" spans="1:12" ht="12.75">
      <c r="A14" s="3636" t="s">
        <v>1279</v>
      </c>
      <c r="B14" s="3691">
        <v>30</v>
      </c>
      <c r="C14" s="3694">
        <v>5</v>
      </c>
      <c r="D14" s="3682">
        <v>5</v>
      </c>
      <c r="E14" s="131" t="s">
        <v>1280</v>
      </c>
      <c r="F14" s="1757"/>
      <c r="G14" s="1757"/>
      <c r="H14" s="1757"/>
      <c r="I14" s="1373"/>
    </row>
    <row r="15" spans="1:12" ht="12.75">
      <c r="A15" s="3636"/>
      <c r="B15" s="3691"/>
      <c r="C15" s="3696"/>
      <c r="D15" s="3682"/>
      <c r="E15" s="131" t="s">
        <v>1281</v>
      </c>
      <c r="F15" s="1757"/>
      <c r="G15" s="1757"/>
      <c r="H15" s="1757"/>
      <c r="I15" s="1373"/>
    </row>
    <row r="16" spans="1:12" ht="12.75">
      <c r="A16" s="3636"/>
      <c r="B16" s="3691"/>
      <c r="C16" s="3695"/>
      <c r="D16" s="3682"/>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713" t="s">
        <v>2129</v>
      </c>
      <c r="F18" s="3714"/>
      <c r="G18" s="3714"/>
      <c r="H18" s="3714"/>
      <c r="I18" s="3714"/>
      <c r="K18" s="302" t="s">
        <v>1287</v>
      </c>
      <c r="L18" s="302">
        <f>IF(C1="",'数据-汇总表'!E3,SUMIF(项目类型,C1,'数据-汇总表'!E17:E26)+SUMIF(项目类型,C1,'数据-汇总表'!I17:I26))</f>
        <v>45755.040000000001</v>
      </c>
      <c r="M18" s="302">
        <f>IF(C1="",'数据-汇总表'!E3,SUMIF(项目类型,C1,'数据-汇总表'!E17:E26))</f>
        <v>45755.040000000001</v>
      </c>
    </row>
    <row r="19" spans="1:36" ht="15">
      <c r="A19" s="1761" t="s">
        <v>1288</v>
      </c>
      <c r="B19" s="1762" t="s">
        <v>1289</v>
      </c>
      <c r="C19" s="134">
        <f ca="1">SUMIF(INDIRECT("'"&amp;C4&amp;"'"&amp;"!A:A"),结果表!B19,INDIRECT("'"&amp;C4&amp;"'"&amp;"!B:B"))</f>
        <v>185683</v>
      </c>
      <c r="D19" s="135">
        <f ca="1">SUMIF(INDIRECT("'"&amp;D4&amp;"'"&amp;"!A:A"),结果表!B19,INDIRECT("'"&amp;D4&amp;"'"&amp;"!B:B"))</f>
        <v>180702</v>
      </c>
      <c r="E19" s="1761" t="s">
        <v>1290</v>
      </c>
      <c r="F19" s="1762" t="s">
        <v>1289</v>
      </c>
      <c r="G19" s="136">
        <f ca="1">ROUND(C19*$C$18+D19*$D$18,0)</f>
        <v>183193</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40582</v>
      </c>
      <c r="D20" s="138">
        <f ca="1">SUMIF(INDIRECT("'"&amp;D4&amp;"'"&amp;"!A:A"),结果表!B20,INDIRECT("'"&amp;D4&amp;"'"&amp;"!B:B"))</f>
        <v>39493</v>
      </c>
      <c r="E20" s="1764"/>
      <c r="F20" s="1026" t="s">
        <v>1293</v>
      </c>
      <c r="G20" s="139">
        <f ca="1">ROUND(C20*$C$18+D20*$D$18,0)</f>
        <v>40038</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K21" s="3484">
        <v>-0.1</v>
      </c>
      <c r="L21" s="3510" t="s">
        <v>3575</v>
      </c>
      <c r="M21" s="3511"/>
      <c r="N21" s="3512"/>
    </row>
    <row r="22" spans="1:36" ht="15" thickBot="1">
      <c r="A22" s="1688" t="s">
        <v>1296</v>
      </c>
      <c r="B22" s="1767"/>
      <c r="C22" s="1768"/>
      <c r="D22" s="721">
        <f ca="1">IF(C19&lt;D19,D19/C19-1,C19/D19-1)</f>
        <v>2.7564719814944016E-2</v>
      </c>
      <c r="E22" s="129"/>
      <c r="F22" s="129"/>
      <c r="G22" s="129"/>
      <c r="H22" s="129"/>
      <c r="I22" s="129"/>
      <c r="K22" s="725">
        <f ca="1">G19*0.9</f>
        <v>164873.70000000001</v>
      </c>
      <c r="L22" s="3508" t="s">
        <v>3457</v>
      </c>
      <c r="M22" s="3507">
        <v>160000</v>
      </c>
      <c r="N22" s="1841">
        <v>180000</v>
      </c>
    </row>
    <row r="23" spans="1:36" ht="13.5" thickBot="1">
      <c r="A23" s="1747"/>
      <c r="B23" s="1747"/>
      <c r="C23" s="1747"/>
      <c r="D23" s="1747"/>
      <c r="E23" s="129"/>
      <c r="F23" s="129"/>
      <c r="G23" s="129"/>
      <c r="H23" s="129"/>
      <c r="I23" s="129"/>
      <c r="L23" s="3509" t="s">
        <v>3458</v>
      </c>
      <c r="M23" s="1848">
        <f>ROUND(M22*10000/L18,0)</f>
        <v>34969</v>
      </c>
      <c r="N23" s="1846">
        <f>ROUND(N22*10000/M18,0)</f>
        <v>39340</v>
      </c>
    </row>
    <row r="24" spans="1:36" ht="14.25">
      <c r="A24" s="3706" t="s">
        <v>1297</v>
      </c>
      <c r="B24" s="1762" t="s">
        <v>1289</v>
      </c>
      <c r="C24" s="136">
        <f>IF(B30=0,0,D30)</f>
        <v>0</v>
      </c>
      <c r="D24" s="1769"/>
      <c r="E24" s="129"/>
      <c r="F24" s="129"/>
      <c r="G24" s="129"/>
      <c r="H24" s="129"/>
      <c r="I24" s="129"/>
    </row>
    <row r="25" spans="1:36" ht="14.25">
      <c r="A25" s="3707"/>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183193</v>
      </c>
      <c r="D32" s="1775" t="s">
        <v>3576</v>
      </c>
      <c r="E32" s="129"/>
      <c r="F32" s="129"/>
      <c r="G32" s="129"/>
      <c r="H32" s="129"/>
      <c r="I32" s="129"/>
    </row>
    <row r="33" spans="1:15" ht="15">
      <c r="A33" s="786" t="s">
        <v>1304</v>
      </c>
      <c r="B33" s="1776"/>
      <c r="C33" s="1777" t="s">
        <v>3577</v>
      </c>
      <c r="D33" s="1778" t="s">
        <v>3428</v>
      </c>
      <c r="E33" s="1779" t="s">
        <v>1305</v>
      </c>
      <c r="F33" s="1780" t="str">
        <f>IF(D32="楼面单价","取值（单价）","取值（总价）")</f>
        <v>取值（总价）</v>
      </c>
      <c r="G33" s="129"/>
      <c r="H33" s="129"/>
      <c r="I33" s="129"/>
    </row>
    <row r="34" spans="1:15" ht="15">
      <c r="A34" s="1781"/>
      <c r="B34" s="1782" t="s">
        <v>1306</v>
      </c>
      <c r="C34" s="148">
        <f ca="1">IF(C33="自定义",F34,C32-C35)</f>
        <v>139410</v>
      </c>
      <c r="D34" s="861">
        <f ca="1">IF(C33="自定义",ROUND(C34/C32,3),IF(C33="收益比率",SUMIF(INDIRECT("'"&amp;D33&amp;"'"&amp;"!b:b"),"土地收益比率",INDIRECT("'"&amp;D33&amp;"'"&amp;"!c:c")),SUMIF(INDIRECT("'"&amp;D33&amp;"'"&amp;"!b:b"),"土地成本比率",INDIRECT("'"&amp;D33&amp;"'"&amp;"!c:c"))))</f>
        <v>0.76100000000000001</v>
      </c>
      <c r="E34" s="1783" t="s">
        <v>1307</v>
      </c>
      <c r="F34" s="1330"/>
      <c r="G34" s="129"/>
      <c r="H34" s="129"/>
      <c r="I34" s="129"/>
    </row>
    <row r="35" spans="1:15" ht="15.75" thickBot="1">
      <c r="A35" s="1784"/>
      <c r="B35" s="1785" t="s">
        <v>1308</v>
      </c>
      <c r="C35" s="1170">
        <f ca="1">IF(C33="自定义",F35,ROUND(C32*D35,0))</f>
        <v>43783</v>
      </c>
      <c r="D35" s="1171">
        <f ca="1">IF(C33="自定义",ROUND(C35/C32,3),IF(C33="收益比率",SUMIF(INDIRECT("'"&amp;D33&amp;"'"&amp;"!b:b"),"建筑物收益比率",INDIRECT("'"&amp;D33&amp;"'"&amp;"!c:c")),SUMIF(INDIRECT("'"&amp;D33&amp;"'"&amp;"!b:b"),"建筑物成本比率",INDIRECT("'"&amp;D33&amp;"'"&amp;"!c:c"))))</f>
        <v>0.23899999999999999</v>
      </c>
      <c r="E35" s="1786" t="s">
        <v>1309</v>
      </c>
      <c r="F35" s="154"/>
      <c r="G35" s="129"/>
      <c r="H35" s="129"/>
      <c r="I35" s="129"/>
    </row>
    <row r="36" spans="1:15" ht="15.75" thickBot="1">
      <c r="A36" s="3683" t="s">
        <v>1310</v>
      </c>
      <c r="B36" s="1787" t="s">
        <v>1311</v>
      </c>
      <c r="C36" s="145"/>
      <c r="D36" s="1788"/>
      <c r="E36" s="1789"/>
      <c r="F36" s="1790"/>
      <c r="G36" s="129"/>
      <c r="H36" s="129"/>
      <c r="I36" s="129"/>
    </row>
    <row r="37" spans="1:15" ht="15.75" thickBot="1">
      <c r="A37" s="3684"/>
      <c r="B37" s="1674" t="s">
        <v>1312</v>
      </c>
      <c r="C37" s="147"/>
      <c r="D37" s="1139"/>
      <c r="E37" s="1139"/>
      <c r="F37" s="1790"/>
      <c r="G37" s="129"/>
      <c r="H37" s="129"/>
      <c r="I37" s="129"/>
    </row>
    <row r="38" spans="1:15" ht="15.75" thickBot="1">
      <c r="A38" s="3685"/>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703" t="s">
        <v>1324</v>
      </c>
      <c r="B45" s="3704"/>
      <c r="C45" s="3705"/>
      <c r="D45" s="155">
        <f ca="1">ROUND(H101*F45,0)</f>
        <v>183193</v>
      </c>
      <c r="E45" s="156" t="s">
        <v>1325</v>
      </c>
      <c r="F45" s="157">
        <v>1</v>
      </c>
      <c r="G45" s="158" t="s">
        <v>1326</v>
      </c>
      <c r="H45" s="129"/>
      <c r="I45" s="129"/>
      <c r="J45" s="3623" t="s">
        <v>1327</v>
      </c>
      <c r="K45" s="3623"/>
      <c r="L45" s="3623"/>
      <c r="M45" s="3623"/>
      <c r="N45" s="3623"/>
      <c r="O45" s="3623"/>
    </row>
    <row r="46" spans="1:15" ht="14.25" hidden="1" customHeight="1">
      <c r="A46" s="3700" t="s">
        <v>1328</v>
      </c>
      <c r="B46" s="3701"/>
      <c r="C46" s="3701"/>
      <c r="D46" s="3701"/>
      <c r="E46" s="3701"/>
      <c r="F46" s="3701"/>
      <c r="G46" s="3702"/>
      <c r="H46" s="1806"/>
      <c r="I46" s="159"/>
      <c r="J46" s="2517">
        <v>1</v>
      </c>
      <c r="K46" s="3624" t="s">
        <v>1329</v>
      </c>
      <c r="L46" s="3624"/>
      <c r="M46" s="3625"/>
      <c r="N46" s="3625"/>
      <c r="O46" s="3625"/>
    </row>
    <row r="47" spans="1:15" ht="12" hidden="1" customHeight="1">
      <c r="A47" s="160" t="s">
        <v>1330</v>
      </c>
      <c r="B47" s="161"/>
      <c r="C47" s="162"/>
      <c r="D47" s="1087" t="s">
        <v>1331</v>
      </c>
      <c r="E47" s="302" t="s">
        <v>1332</v>
      </c>
      <c r="F47" s="163" t="s">
        <v>1333</v>
      </c>
      <c r="G47" s="2540" t="s">
        <v>1334</v>
      </c>
      <c r="H47" s="2541"/>
      <c r="I47" s="159"/>
      <c r="J47" s="2517">
        <v>2</v>
      </c>
      <c r="K47" s="3624" t="s">
        <v>1335</v>
      </c>
      <c r="L47" s="3624"/>
      <c r="M47" s="3626">
        <f>'数据-取费表'!B2</f>
        <v>45063</v>
      </c>
      <c r="N47" s="3626"/>
      <c r="O47" s="3626"/>
    </row>
    <row r="48" spans="1:15" ht="25.5" hidden="1">
      <c r="A48" s="3686" t="s">
        <v>1336</v>
      </c>
      <c r="B48" s="3687"/>
      <c r="C48" s="3687"/>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24" t="s">
        <v>1338</v>
      </c>
      <c r="L48" s="3624"/>
      <c r="M48" s="3627">
        <f ca="1">H101</f>
        <v>183193</v>
      </c>
      <c r="N48" s="3627"/>
      <c r="O48" s="3627"/>
    </row>
    <row r="49" spans="1:35" ht="25.5" hidden="1" customHeight="1">
      <c r="A49" s="2333" t="s">
        <v>1339</v>
      </c>
      <c r="B49" s="3672" t="s">
        <v>1340</v>
      </c>
      <c r="C49" s="3672"/>
      <c r="D49" s="1590">
        <v>0</v>
      </c>
      <c r="E49" s="324" t="s">
        <v>1341</v>
      </c>
      <c r="F49" s="2423" t="s">
        <v>28</v>
      </c>
      <c r="G49" s="3655"/>
      <c r="H49" s="2310" t="s">
        <v>2132</v>
      </c>
      <c r="I49" s="2311"/>
      <c r="J49" s="2517">
        <v>4</v>
      </c>
      <c r="K49" s="3624" t="str">
        <f>IF(项目基本情况!E8="房地产抵押价值","房地产抵押价值","抵押担保权已注销时的房地产抵押价值")</f>
        <v>房地产抵押价值</v>
      </c>
      <c r="L49" s="3624"/>
      <c r="M49" s="3627">
        <f ca="1">IF(项目基本情况!E8="房地产抵押价值",H107,H109)</f>
        <v>183193</v>
      </c>
      <c r="N49" s="3627"/>
      <c r="O49" s="3627"/>
    </row>
    <row r="50" spans="1:35" ht="25.5" hidden="1" customHeight="1">
      <c r="A50" s="2545"/>
      <c r="B50" s="3672" t="s">
        <v>1342</v>
      </c>
      <c r="C50" s="3672"/>
      <c r="D50" s="2546"/>
      <c r="E50" s="332"/>
      <c r="F50" s="2423"/>
      <c r="G50" s="3656"/>
      <c r="H50" s="2312" t="s">
        <v>2133</v>
      </c>
      <c r="I50" s="2311"/>
      <c r="J50" s="3623" t="s">
        <v>1343</v>
      </c>
      <c r="K50" s="3623"/>
      <c r="L50" s="3623"/>
      <c r="M50" s="3623"/>
      <c r="N50" s="3623"/>
      <c r="O50" s="3623"/>
    </row>
    <row r="51" spans="1:35" ht="20.45" hidden="1" customHeight="1">
      <c r="A51" s="2547"/>
      <c r="B51" s="3672" t="s">
        <v>1344</v>
      </c>
      <c r="C51" s="3672"/>
      <c r="D51" s="1087"/>
      <c r="E51" s="327"/>
      <c r="F51" s="2423"/>
      <c r="G51" s="3657"/>
      <c r="H51" s="2312" t="s">
        <v>2134</v>
      </c>
      <c r="I51" s="2311"/>
      <c r="J51" s="2518" t="s">
        <v>1345</v>
      </c>
      <c r="K51" s="3624" t="s">
        <v>1346</v>
      </c>
      <c r="L51" s="3624"/>
      <c r="M51" s="2518" t="s">
        <v>1347</v>
      </c>
      <c r="N51" s="2518" t="s">
        <v>1348</v>
      </c>
      <c r="O51" s="2518" t="s">
        <v>1349</v>
      </c>
    </row>
    <row r="52" spans="1:35" ht="24" hidden="1" customHeight="1">
      <c r="A52" s="2335" t="s">
        <v>1350</v>
      </c>
      <c r="B52" s="3672" t="s">
        <v>1351</v>
      </c>
      <c r="C52" s="3672"/>
      <c r="D52" s="1087">
        <f ca="1">ROUND(D45*'数据-取费表'!B41/(1+'数据-取费表'!C42),0)</f>
        <v>9770</v>
      </c>
      <c r="E52" s="2334" t="s">
        <v>1352</v>
      </c>
      <c r="F52" s="2548">
        <f>'数据-取费表'!B41</f>
        <v>5.6000000000000001E-2</v>
      </c>
      <c r="G52" s="2549"/>
      <c r="H52" s="2538"/>
      <c r="I52" s="1807"/>
      <c r="J52" s="2517">
        <v>1</v>
      </c>
      <c r="K52" s="3649" t="s">
        <v>1353</v>
      </c>
      <c r="L52" s="3649"/>
      <c r="M52" s="2519" t="b">
        <f>D48</f>
        <v>0</v>
      </c>
      <c r="N52" s="2517" t="str">
        <f>E48</f>
        <v>销售额×税（费）率</v>
      </c>
      <c r="O52" s="2520">
        <f>F48</f>
        <v>5.6000000000000001E-2</v>
      </c>
    </row>
    <row r="53" spans="1:35" ht="12" hidden="1" customHeight="1">
      <c r="A53" s="2335" t="s">
        <v>1354</v>
      </c>
      <c r="B53" s="3673" t="s">
        <v>2277</v>
      </c>
      <c r="C53" s="3674"/>
      <c r="D53" s="1087">
        <f ca="1">ROUND(D45*'数据-取费表'!B41/(1+'数据-取费表'!C42),0)</f>
        <v>9770</v>
      </c>
      <c r="E53" s="2334" t="s">
        <v>1352</v>
      </c>
      <c r="F53" s="2548">
        <f>'数据-取费表'!B41</f>
        <v>5.6000000000000001E-2</v>
      </c>
      <c r="G53" s="2549"/>
      <c r="H53" s="2538"/>
      <c r="I53" s="1807"/>
      <c r="J53" s="2517">
        <v>2</v>
      </c>
      <c r="K53" s="3649" t="s">
        <v>1355</v>
      </c>
      <c r="L53" s="3649"/>
      <c r="M53" s="2519">
        <f t="shared" ref="M53:O54" ca="1" si="0">D55</f>
        <v>92</v>
      </c>
      <c r="N53" s="2517" t="str">
        <f t="shared" si="0"/>
        <v>销售额×税（费）率</v>
      </c>
      <c r="O53" s="2520" t="str">
        <f t="shared" si="0"/>
        <v>免征</v>
      </c>
    </row>
    <row r="54" spans="1:35" ht="12" hidden="1" customHeight="1">
      <c r="A54" s="2335" t="s">
        <v>1356</v>
      </c>
      <c r="B54" s="3673" t="s">
        <v>2278</v>
      </c>
      <c r="C54" s="3674"/>
      <c r="D54" s="1087">
        <f ca="1">C68</f>
        <v>9770</v>
      </c>
      <c r="E54" s="327" t="s">
        <v>1357</v>
      </c>
      <c r="F54" s="2548">
        <f>'数据-取费表'!B41</f>
        <v>5.6000000000000001E-2</v>
      </c>
      <c r="G54" s="2549"/>
      <c r="H54" s="2550"/>
      <c r="I54" s="1807"/>
      <c r="J54" s="2517">
        <v>3</v>
      </c>
      <c r="K54" s="3649" t="s">
        <v>1358</v>
      </c>
      <c r="L54" s="3649"/>
      <c r="M54" s="2519">
        <f t="shared" ca="1" si="0"/>
        <v>103687</v>
      </c>
      <c r="N54" s="2517" t="str">
        <f t="shared" si="0"/>
        <v>增值额×税（费）率</v>
      </c>
      <c r="O54" s="2521" t="str">
        <f t="shared" si="0"/>
        <v>免征</v>
      </c>
    </row>
    <row r="55" spans="1:35" ht="24" hidden="1" customHeight="1">
      <c r="A55" s="3709" t="s">
        <v>1359</v>
      </c>
      <c r="B55" s="3687"/>
      <c r="C55" s="3687"/>
      <c r="D55" s="2324">
        <f ca="1">IF(H55="个人住宅",0,ROUND(D45*I55,0))</f>
        <v>92</v>
      </c>
      <c r="E55" s="2334" t="s">
        <v>1360</v>
      </c>
      <c r="F55" s="2548" t="str">
        <f>IF(H55="正常",I55,"免征")</f>
        <v>免征</v>
      </c>
      <c r="G55" s="2549"/>
      <c r="H55" s="2544"/>
      <c r="I55" s="165">
        <f>'数据-取费表'!B49</f>
        <v>5.0000000000000001E-4</v>
      </c>
      <c r="J55" s="2517">
        <f>IF(H59="非个人房产","",4)</f>
        <v>4</v>
      </c>
      <c r="K55" s="3649" t="str">
        <f>IF(H59="非个人房产","——","个人所得税")</f>
        <v>个人所得税</v>
      </c>
      <c r="L55" s="3649"/>
      <c r="M55" s="2522">
        <f ca="1">D59</f>
        <v>1745</v>
      </c>
      <c r="N55" s="2040" t="str">
        <f>E59</f>
        <v>差额计税</v>
      </c>
      <c r="O55" s="2523">
        <f>F59</f>
        <v>0.01</v>
      </c>
    </row>
    <row r="56" spans="1:35" ht="24.75" hidden="1">
      <c r="A56" s="3709" t="s">
        <v>1361</v>
      </c>
      <c r="B56" s="3687"/>
      <c r="C56" s="3687"/>
      <c r="D56" s="2324">
        <f ca="1">IF(H56="个人住宅",D57,D58)</f>
        <v>103687</v>
      </c>
      <c r="E56" s="2334" t="s">
        <v>1362</v>
      </c>
      <c r="F56" s="2548" t="str">
        <f>IF(H56="正常",F58,"免征")</f>
        <v>免征</v>
      </c>
      <c r="G56" s="2551" t="s">
        <v>1363</v>
      </c>
      <c r="H56" s="2552"/>
      <c r="I56" s="1808"/>
      <c r="J56" s="2517" t="str">
        <f>IF(项目基本情况!K6="上海银行",IF(J55="",4,J55+1),"")</f>
        <v/>
      </c>
      <c r="K56" s="3630" t="str">
        <f>IF(项目基本情况!K6="上海银行","其他处置费用","")</f>
        <v/>
      </c>
      <c r="L56" s="3631"/>
      <c r="M56" s="2519" t="str">
        <f>IF(项目基本情况!K6="上海银行",M69,"")</f>
        <v/>
      </c>
      <c r="N56" s="3630" t="str">
        <f>IF(项目基本情况!K6="上海银行","包含处置中涉及的律师、诉讼、拍卖、评估等费用","")</f>
        <v/>
      </c>
      <c r="O56" s="3633"/>
    </row>
    <row r="57" spans="1:35" ht="12.75" hidden="1">
      <c r="A57" s="2335" t="s">
        <v>1339</v>
      </c>
      <c r="B57" s="3673" t="s">
        <v>1364</v>
      </c>
      <c r="C57" s="3674"/>
      <c r="D57" s="1590">
        <v>0</v>
      </c>
      <c r="E57" s="324" t="s">
        <v>1341</v>
      </c>
      <c r="F57" s="302"/>
      <c r="G57" s="2549"/>
      <c r="H57" s="2553"/>
      <c r="I57" s="1808"/>
      <c r="J57" s="3649">
        <f>IF(AND(J55="",J56=""),4,IF(项目基本情况!K6="上海银行",结果表!J56+1,结果表!J55+1))</f>
        <v>5</v>
      </c>
      <c r="K57" s="3649" t="s">
        <v>1365</v>
      </c>
      <c r="L57" s="2524" t="s">
        <v>1366</v>
      </c>
      <c r="M57" s="2525"/>
      <c r="N57" s="2526">
        <f ca="1">SUMIF(M52:M56,"&lt;9e307")</f>
        <v>105524</v>
      </c>
      <c r="O57" s="2527"/>
      <c r="P57" s="2684">
        <f ca="1">N57/M49</f>
        <v>0.57602637655368927</v>
      </c>
    </row>
    <row r="58" spans="1:35" ht="24.75" hidden="1">
      <c r="A58" s="2335" t="s">
        <v>1350</v>
      </c>
      <c r="B58" s="3673" t="s">
        <v>1367</v>
      </c>
      <c r="C58" s="3672"/>
      <c r="D58" s="2324">
        <f ca="1">IF(H58="转让取得",C81,C97)</f>
        <v>103687</v>
      </c>
      <c r="E58" s="2334" t="s">
        <v>1362</v>
      </c>
      <c r="F58" s="302" t="s">
        <v>28</v>
      </c>
      <c r="G58" s="2549"/>
      <c r="H58" s="2552"/>
      <c r="I58" s="1808"/>
      <c r="J58" s="3649"/>
      <c r="K58" s="3649"/>
      <c r="L58" s="2524" t="s">
        <v>1368</v>
      </c>
      <c r="M58" s="2528"/>
      <c r="N58" s="2529" t="str">
        <f ca="1">NUMBERSTRING(INT(N57*10000),2)&amp;"元整"</f>
        <v>壹拾亿伍仟伍佰贰拾肆万元整</v>
      </c>
      <c r="O58" s="2530"/>
    </row>
    <row r="59" spans="1:35" ht="24.75" hidden="1" thickBot="1">
      <c r="A59" s="3653" t="s">
        <v>1369</v>
      </c>
      <c r="B59" s="3654"/>
      <c r="C59" s="3654"/>
      <c r="D59" s="2554">
        <f ca="1">IF(H59="非个人房产","——",IF(H59="个人住宅（满五唯一有凭证）",0,IF(H59="个人其他（无凭证）",ROUND(D45*F59,0),ROUND(C67*F59,0))))</f>
        <v>1745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51">
        <f>J57+1</f>
        <v>6</v>
      </c>
      <c r="K59" s="3649" t="s">
        <v>1370</v>
      </c>
      <c r="L59" s="2517" t="s">
        <v>1366</v>
      </c>
      <c r="M59" s="2531"/>
      <c r="N59" s="2532">
        <f ca="1">M49-N57</f>
        <v>77669</v>
      </c>
      <c r="O59" s="2533"/>
    </row>
    <row r="60" spans="1:35" ht="12" hidden="1" customHeight="1">
      <c r="A60" s="1809"/>
      <c r="B60" s="1747"/>
      <c r="C60" s="1747"/>
      <c r="D60" s="1747"/>
      <c r="E60" s="1578"/>
      <c r="F60" s="1808"/>
      <c r="G60" s="1808"/>
      <c r="H60" s="1810"/>
      <c r="I60" s="129"/>
      <c r="J60" s="3652"/>
      <c r="K60" s="3649"/>
      <c r="L60" s="2524" t="s">
        <v>1368</v>
      </c>
      <c r="M60" s="2528"/>
      <c r="N60" s="2529" t="str">
        <f ca="1">NUMBERSTRING(INT(N59*10000),2)&amp;"元整"</f>
        <v>柒亿柒仟陆佰陆拾玖万元整</v>
      </c>
      <c r="O60" s="2530"/>
    </row>
    <row r="61" spans="1:35" ht="13.5" hidden="1" thickBot="1">
      <c r="A61" s="3708" t="s">
        <v>1371</v>
      </c>
      <c r="B61" s="3708"/>
      <c r="C61" s="3708"/>
      <c r="D61" s="3708"/>
      <c r="E61" s="3708"/>
      <c r="F61" s="1808"/>
      <c r="G61" s="1808"/>
      <c r="H61" s="1810"/>
      <c r="I61" s="129"/>
      <c r="J61" s="2517">
        <f>J59+1</f>
        <v>7</v>
      </c>
      <c r="K61" s="3649" t="s">
        <v>1372</v>
      </c>
      <c r="L61" s="3649"/>
      <c r="M61" s="2534"/>
      <c r="N61" s="2535">
        <f ca="1">ROUND(N59*10000/'数据-汇总表'!E3,0)</f>
        <v>16975</v>
      </c>
      <c r="O61" s="2536"/>
    </row>
    <row r="62" spans="1:35" ht="12.75" hidden="1">
      <c r="A62" s="3668" t="s">
        <v>1373</v>
      </c>
      <c r="B62" s="3669"/>
      <c r="C62" s="2021"/>
      <c r="D62" s="2021" t="s">
        <v>1374</v>
      </c>
      <c r="E62" s="166" t="s">
        <v>1375</v>
      </c>
      <c r="F62" s="1808"/>
      <c r="G62" s="1808"/>
      <c r="H62" s="1810"/>
      <c r="I62" s="129"/>
    </row>
    <row r="63" spans="1:35" ht="12.75" hidden="1">
      <c r="A63" s="173" t="s">
        <v>330</v>
      </c>
      <c r="B63" s="167" t="s">
        <v>1376</v>
      </c>
      <c r="C63" s="2558">
        <f ca="1">ROUND((C64+C65)/(1+'数据-取费表'!C42),0)</f>
        <v>174470</v>
      </c>
      <c r="D63" s="167"/>
      <c r="E63" s="168"/>
      <c r="F63" s="1808"/>
      <c r="G63" s="1808"/>
      <c r="H63" s="1810"/>
      <c r="I63" s="129"/>
      <c r="J63" s="3632" t="s">
        <v>1377</v>
      </c>
      <c r="K63" s="1332" t="s">
        <v>1378</v>
      </c>
      <c r="L63" s="1332">
        <f ca="1">IF(M49&gt;10000,M49*0.5%,IF(AND(M49&gt;1000,M49&lt;=10000),M49*1%,IF(AND(M49&gt;100,M49&lt;=1000),M49*3%,IF(AND(M49&gt;10,M49&lt;=100),M49*5%,M49*8%))))</f>
        <v>915.96500000000003</v>
      </c>
      <c r="M63" s="302">
        <f ca="1">ROUND(L63,1)</f>
        <v>916</v>
      </c>
      <c r="N63" s="2537"/>
      <c r="Z63" s="1752"/>
      <c r="AI63" s="1753"/>
    </row>
    <row r="64" spans="1:35" ht="14.25" hidden="1" customHeight="1">
      <c r="A64" s="169" t="s">
        <v>325</v>
      </c>
      <c r="B64" s="170" t="s">
        <v>1379</v>
      </c>
      <c r="C64" s="2559">
        <f ca="1">D45</f>
        <v>183193</v>
      </c>
      <c r="D64" s="170" t="s">
        <v>26</v>
      </c>
      <c r="E64" s="172"/>
      <c r="F64" s="1808"/>
      <c r="G64" s="1808"/>
      <c r="H64" s="1810"/>
      <c r="I64" s="129"/>
      <c r="J64" s="3632"/>
      <c r="K64" s="1332" t="s">
        <v>1380</v>
      </c>
      <c r="L64" s="1332">
        <f ca="1">IF(M49&gt;2000,M49*0.5%,IF(AND(M49&gt;1000,M49&lt;=2000),M49*0.6%,IF(AND(M49&gt;500,M49&lt;=1000),M49*0.7%,IF(AND(M49&gt;200,M49&lt;=500),M49*0.8%,IF(AND(M49&gt;100,M49&lt;=200),M49*0.9%,IF(AND(M49&gt;50,M49&lt;=100),M49*1%,IF(AND(M49&gt;20,M49&lt;=50),M49*1.5%,IF(AND(M49&gt;10,M49&lt;=20),M49*2%,IF(AND(M49&gt;1,M49&lt;=10),M49*2.5%)))))))))</f>
        <v>915.96500000000003</v>
      </c>
      <c r="M64" s="302">
        <f t="shared" ref="M64:M65" ca="1" si="1">ROUND(L64,1)</f>
        <v>916</v>
      </c>
      <c r="N64" s="2538" t="s">
        <v>1381</v>
      </c>
      <c r="Z64" s="1752"/>
      <c r="AI64" s="1753"/>
    </row>
    <row r="65" spans="1:35" ht="14.25" hidden="1" customHeight="1">
      <c r="A65" s="169" t="s">
        <v>326</v>
      </c>
      <c r="B65" s="170" t="s">
        <v>1382</v>
      </c>
      <c r="C65" s="2560"/>
      <c r="D65" s="170"/>
      <c r="E65" s="172"/>
      <c r="F65" s="1808"/>
      <c r="G65" s="1808"/>
      <c r="H65" s="1810"/>
      <c r="I65" s="129"/>
      <c r="J65" s="3632"/>
      <c r="K65" s="1332" t="s">
        <v>1383</v>
      </c>
      <c r="L65" s="1332">
        <f ca="1">IF(M49&gt;1000,M49*0.1%,IF(AND(M49&gt;500,M49&lt;=1000),M49*0.5%,IF(AND(M49&gt;50,M49&lt;=500),M49*1%,IF(AND(M49&gt;1,M49&lt;=50),M49*1.5%))))</f>
        <v>183.19300000000001</v>
      </c>
      <c r="M65" s="302">
        <f t="shared" ca="1" si="1"/>
        <v>183.2</v>
      </c>
      <c r="N65" s="2538" t="s">
        <v>1381</v>
      </c>
      <c r="Z65" s="1752"/>
      <c r="AI65" s="1753"/>
    </row>
    <row r="66" spans="1:35" ht="14.25" hidden="1" customHeight="1">
      <c r="A66" s="173" t="s">
        <v>327</v>
      </c>
      <c r="B66" s="174" t="s">
        <v>1384</v>
      </c>
      <c r="C66" s="2561"/>
      <c r="D66" s="174" t="s">
        <v>26</v>
      </c>
      <c r="E66" s="1338" t="s">
        <v>671</v>
      </c>
      <c r="F66" s="1808"/>
      <c r="G66" s="1808"/>
      <c r="H66" s="1810"/>
      <c r="I66" s="129"/>
      <c r="J66" s="3632"/>
      <c r="K66" s="1332" t="s">
        <v>1385</v>
      </c>
      <c r="L66" s="1332">
        <f ca="1">M49*0.5%</f>
        <v>915.96500000000003</v>
      </c>
      <c r="M66" s="302">
        <f ca="1">IF(L66&gt;0.5,0.5,ROUND(L66,0))</f>
        <v>0.5</v>
      </c>
      <c r="N66" s="2538" t="s">
        <v>1386</v>
      </c>
      <c r="Z66" s="1752"/>
      <c r="AI66" s="1753"/>
    </row>
    <row r="67" spans="1:35" ht="14.25" hidden="1" customHeight="1">
      <c r="A67" s="173" t="s">
        <v>328</v>
      </c>
      <c r="B67" s="174" t="s">
        <v>1387</v>
      </c>
      <c r="C67" s="2562">
        <f ca="1">C63-C66</f>
        <v>174470</v>
      </c>
      <c r="D67" s="170" t="s">
        <v>26</v>
      </c>
      <c r="E67" s="172"/>
      <c r="F67" s="1808"/>
      <c r="G67" s="1808"/>
      <c r="H67" s="1810"/>
      <c r="I67" s="129"/>
      <c r="J67" s="3632"/>
      <c r="K67" s="1332" t="s">
        <v>1388</v>
      </c>
      <c r="L67" s="1332">
        <f ca="1">IF(M49&gt;=10000,(8.25+(M49-10000)*0.01%),IF(AND(M49&gt;=8000,M49&lt;10000),(7.85+(M49-8000)*0.02%),IF(AND(M49&gt;=5000,M49&lt;8000),(6.65+(M49-5000)*0.04%),IF(AND(M49&gt;=2000,M49&lt;5000),(4.25+(PM49-2000)*0.08%),IF(AND(M49&gt;=1000,M49&lt;2000),(2.75+(M49-1000)*0.15%),IF(AND(M49&gt;=100,M49&lt;1000),(0.5+(M49-100)*0.25%),IF(AND(M49&gt;0,M49&lt;100),M49*0.5%)))))))</f>
        <v>25.569300000000002</v>
      </c>
      <c r="M67" s="302">
        <f ca="1">ROUND(L67*0.9,1)</f>
        <v>23</v>
      </c>
      <c r="N67" s="2537"/>
      <c r="Z67" s="1752"/>
      <c r="AI67" s="1753"/>
    </row>
    <row r="68" spans="1:35" ht="14.25" hidden="1" customHeight="1" thickBot="1">
      <c r="A68" s="176" t="s">
        <v>329</v>
      </c>
      <c r="B68" s="177" t="s">
        <v>1389</v>
      </c>
      <c r="C68" s="2563">
        <f ca="1">IF(C67&lt;=0,0,ROUND(C67*D68,0))</f>
        <v>9770</v>
      </c>
      <c r="D68" s="2564">
        <f>'数据-取费表'!B41</f>
        <v>5.6000000000000001E-2</v>
      </c>
      <c r="E68" s="178"/>
      <c r="F68" s="1808"/>
      <c r="G68" s="1808"/>
      <c r="H68" s="1810"/>
      <c r="I68" s="129"/>
      <c r="J68" s="3632"/>
      <c r="K68" s="1332" t="s">
        <v>1390</v>
      </c>
      <c r="L68" s="1332">
        <f ca="1">IF(M49&gt;10000,M49*0.5%,IF(AND(M49&gt;5000,M49&lt;=10000),M49*1%,IF(AND(M49&gt;1000,M49&lt;=5000),M49*2%,IF(AND(M49&gt;200,M49&lt;=1000),M49*3%,M49*5%))))</f>
        <v>915.96500000000003</v>
      </c>
      <c r="M68" s="302">
        <f ca="1">ROUND(L68,1)</f>
        <v>916</v>
      </c>
      <c r="N68" s="2537"/>
      <c r="Z68" s="1752"/>
      <c r="AI68" s="1753"/>
    </row>
    <row r="69" spans="1:35" s="1772" customFormat="1" ht="16.5" hidden="1" customHeight="1">
      <c r="A69" s="1811"/>
      <c r="B69" s="1812"/>
      <c r="C69" s="1813"/>
      <c r="D69" s="1814"/>
      <c r="E69" s="1815"/>
      <c r="F69" s="1578"/>
      <c r="G69" s="1578"/>
      <c r="H69" s="1577"/>
      <c r="I69" s="1747"/>
      <c r="J69" s="3632"/>
      <c r="K69" s="1332" t="s">
        <v>1391</v>
      </c>
      <c r="L69" s="1332"/>
      <c r="M69" s="302">
        <f ca="1">ROUND(SUM(M63:M68),0)</f>
        <v>2955</v>
      </c>
      <c r="N69" s="2539">
        <f ca="1">M69/M49</f>
        <v>1.6130529004929228E-2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76" t="s">
        <v>1392</v>
      </c>
      <c r="B70" s="3677"/>
      <c r="C70" s="3677"/>
      <c r="D70" s="3677"/>
      <c r="E70" s="3677"/>
      <c r="F70" s="3677"/>
      <c r="G70" s="3677"/>
      <c r="H70" s="3677"/>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8" t="s">
        <v>1373</v>
      </c>
      <c r="B71" s="3669"/>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174470</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1047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73" t="s">
        <v>1400</v>
      </c>
      <c r="F76" s="3672"/>
      <c r="G76" s="3672"/>
      <c r="H76" s="367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1047</v>
      </c>
      <c r="D78" s="2571">
        <f>'数据-取费表'!B43</f>
        <v>6.000000000000001E-3</v>
      </c>
      <c r="E78" s="3665" t="s">
        <v>1404</v>
      </c>
      <c r="F78" s="3666"/>
      <c r="G78" s="3666"/>
      <c r="H78" s="36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173423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165.63801337153774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103687</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76" t="s">
        <v>1408</v>
      </c>
      <c r="B83" s="3677"/>
      <c r="C83" s="3677"/>
      <c r="D83" s="3677"/>
      <c r="E83" s="3677"/>
      <c r="F83" s="3677"/>
      <c r="G83" s="3677"/>
      <c r="H83" s="367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8" t="s">
        <v>1373</v>
      </c>
      <c r="B84" s="3669"/>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174470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1047</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634" t="s">
        <v>2127</v>
      </c>
      <c r="H90" s="3635"/>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665" t="s">
        <v>1417</v>
      </c>
      <c r="F91" s="3666"/>
      <c r="G91" s="36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665" t="s">
        <v>1420</v>
      </c>
      <c r="F92" s="3666"/>
      <c r="G92" s="3666"/>
      <c r="H92" s="3667"/>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1047</v>
      </c>
      <c r="D93" s="2571">
        <f>'数据-取费表'!B43</f>
        <v>6.000000000000001E-3</v>
      </c>
      <c r="E93" s="3665" t="s">
        <v>1404</v>
      </c>
      <c r="F93" s="3666"/>
      <c r="G93" s="3666"/>
      <c r="H93" s="36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710" t="s">
        <v>1424</v>
      </c>
      <c r="F94" s="3711"/>
      <c r="G94" s="3711"/>
      <c r="H94" s="37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173423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165.63801337153774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103687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519"/>
      <c r="L99" s="3521" t="s">
        <v>3580</v>
      </c>
      <c r="M99" s="3521" t="s">
        <v>3581</v>
      </c>
      <c r="N99" s="3518" t="s">
        <v>3582</v>
      </c>
    </row>
    <row r="100" spans="1:35" ht="18.75" customHeight="1" thickBot="1">
      <c r="A100" s="3615" t="s">
        <v>1426</v>
      </c>
      <c r="B100" s="3616"/>
      <c r="C100" s="3616"/>
      <c r="D100" s="3650"/>
      <c r="E100" s="3616" t="s">
        <v>1427</v>
      </c>
      <c r="F100" s="3616"/>
      <c r="G100" s="3616"/>
      <c r="H100" s="3650"/>
      <c r="I100" s="129"/>
      <c r="K100" s="3519" t="s">
        <v>3583</v>
      </c>
      <c r="L100" s="3519">
        <f>'数据-基础表'!I13</f>
        <v>16680.46</v>
      </c>
      <c r="M100" s="3519">
        <f ca="1">H102</f>
        <v>40038</v>
      </c>
      <c r="N100" s="3522">
        <f ca="1">ROUND(M100*L100/10000,0)</f>
        <v>66785</v>
      </c>
    </row>
    <row r="101" spans="1:35" ht="18.75" customHeight="1" thickBot="1">
      <c r="A101" s="3658" t="s">
        <v>1428</v>
      </c>
      <c r="B101" s="3659"/>
      <c r="C101" s="2579" t="str">
        <f>C4</f>
        <v>比较法-工业</v>
      </c>
      <c r="D101" s="2580" t="str">
        <f>D4</f>
        <v>收益法</v>
      </c>
      <c r="E101" s="3628" t="s">
        <v>1429</v>
      </c>
      <c r="F101" s="3629"/>
      <c r="G101" s="1827" t="s">
        <v>1430</v>
      </c>
      <c r="H101" s="2589">
        <f ca="1">H118</f>
        <v>183193</v>
      </c>
      <c r="I101" s="129"/>
      <c r="K101" s="3519" t="s">
        <v>3584</v>
      </c>
      <c r="L101" s="3519">
        <f>'数据-基础表'!I14</f>
        <v>29074.58</v>
      </c>
      <c r="M101" s="3519">
        <f ca="1">M100</f>
        <v>40038</v>
      </c>
      <c r="N101" s="3522">
        <f ca="1">H101-N100</f>
        <v>116408</v>
      </c>
    </row>
    <row r="102" spans="1:35" ht="18.75" customHeight="1" thickBot="1">
      <c r="A102" s="3660" t="s">
        <v>1431</v>
      </c>
      <c r="B102" s="2578" t="s">
        <v>1430</v>
      </c>
      <c r="C102" s="2579">
        <f ca="1">IF(D32="楼面单价",ROUND(C19,0),C19)</f>
        <v>185683</v>
      </c>
      <c r="D102" s="2580">
        <f ca="1">IF(D32="楼面单价",ROUND(D19,0),D19)</f>
        <v>180702</v>
      </c>
      <c r="E102" s="3628"/>
      <c r="F102" s="3629"/>
      <c r="G102" s="1827" t="s">
        <v>1432</v>
      </c>
      <c r="H102" s="2549">
        <f ca="1">I118</f>
        <v>40038</v>
      </c>
      <c r="I102" s="129"/>
      <c r="K102" s="3523" t="s">
        <v>3585</v>
      </c>
      <c r="L102" s="3520">
        <f>L101+L100</f>
        <v>45755.040000000001</v>
      </c>
      <c r="M102" s="3520" t="s">
        <v>3586</v>
      </c>
      <c r="N102" s="3517">
        <f ca="1">N101+N100</f>
        <v>183193</v>
      </c>
    </row>
    <row r="103" spans="1:35" ht="42.75" customHeight="1">
      <c r="A103" s="3660"/>
      <c r="B103" s="2578" t="s">
        <v>1432</v>
      </c>
      <c r="C103" s="2581">
        <f ca="1">C20</f>
        <v>40582</v>
      </c>
      <c r="D103" s="2582">
        <f ca="1">D20</f>
        <v>39493</v>
      </c>
      <c r="E103" s="3621" t="s">
        <v>1433</v>
      </c>
      <c r="F103" s="3622"/>
      <c r="G103" s="1828" t="s">
        <v>1434</v>
      </c>
      <c r="H103" s="2589">
        <f>IF(D36="正常操作",H104+H105+H106,H105+H106)</f>
        <v>0</v>
      </c>
      <c r="I103" s="129"/>
    </row>
    <row r="104" spans="1:35" ht="18.75" customHeight="1">
      <c r="A104" s="3660" t="s">
        <v>1435</v>
      </c>
      <c r="B104" s="2583" t="s">
        <v>1430</v>
      </c>
      <c r="C104" s="2584">
        <f ca="1">H118</f>
        <v>183193</v>
      </c>
      <c r="D104" s="2585"/>
      <c r="E104" s="1674" t="s">
        <v>1436</v>
      </c>
      <c r="F104" s="1666"/>
      <c r="G104" s="1828" t="s">
        <v>1434</v>
      </c>
      <c r="H104" s="2590">
        <f>IF(D36="同一抵押权人同一抵押物续贷",C36&amp;"（续贷，未扣减，详见特别提示）",C36)</f>
        <v>0</v>
      </c>
      <c r="I104" s="129"/>
    </row>
    <row r="105" spans="1:35" ht="18.75" customHeight="1" thickBot="1">
      <c r="A105" s="3670"/>
      <c r="B105" s="2586" t="s">
        <v>1432</v>
      </c>
      <c r="C105" s="2587">
        <f ca="1">I118</f>
        <v>40038</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61" t="str">
        <f>IF(项目基本情况!E8="已注销","——","3.房地产抵押价值")</f>
        <v>3.房地产抵押价值</v>
      </c>
      <c r="F107" s="3629"/>
      <c r="G107" s="1827" t="s">
        <v>1430</v>
      </c>
      <c r="H107" s="2589">
        <f ca="1">IF(E107="——","——",H101-H103)</f>
        <v>183193</v>
      </c>
      <c r="I107" s="129"/>
    </row>
    <row r="108" spans="1:35" ht="18.75" customHeight="1">
      <c r="A108" s="129"/>
      <c r="B108" s="129"/>
      <c r="C108" s="129"/>
      <c r="D108" s="129"/>
      <c r="E108" s="3661"/>
      <c r="F108" s="3629"/>
      <c r="G108" s="1827" t="s">
        <v>1432</v>
      </c>
      <c r="H108" s="2549">
        <f ca="1">IF(H107=H101,H102,ROUND(H107*10000/'数据-汇总表'!E3,0))</f>
        <v>40038</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v>
      </c>
      <c r="F109" s="3629"/>
      <c r="G109" s="1827" t="s">
        <v>1430</v>
      </c>
      <c r="H109" s="2592" t="str">
        <f>IF(E109="——","——",H101-H105-H106)</f>
        <v>——</v>
      </c>
      <c r="I109" s="129"/>
    </row>
    <row r="110" spans="1:35" ht="18.75" customHeight="1">
      <c r="A110" s="129"/>
      <c r="B110" s="129"/>
      <c r="C110" s="129"/>
      <c r="D110" s="129"/>
      <c r="E110" s="3661"/>
      <c r="F110" s="3629"/>
      <c r="G110" s="1827" t="s">
        <v>1432</v>
      </c>
      <c r="H110" s="2549" t="str">
        <f>IF(H109="——","——",ROUND(H109*10000/'数据-汇总表'!E3,0))</f>
        <v>——</v>
      </c>
      <c r="I110" s="129"/>
    </row>
    <row r="111" spans="1:35" ht="18.75" customHeight="1">
      <c r="A111" s="129"/>
      <c r="B111" s="129"/>
      <c r="C111" s="129"/>
      <c r="D111" s="129"/>
      <c r="E111" s="3662" t="str">
        <f>IF(项目基本情况!E9="抵押净值",IF(OR(项目基本情况!E8="已注销",项目基本情况!E8="房地产抵押价值"),"4.抵押净值","5.抵押净值"),"——")</f>
        <v>——</v>
      </c>
      <c r="F111" s="3648"/>
      <c r="G111" s="1827" t="s">
        <v>1430</v>
      </c>
      <c r="H111" s="2589" t="str">
        <f>IF(E111="——","——",N59)</f>
        <v>——</v>
      </c>
      <c r="I111" s="129"/>
    </row>
    <row r="112" spans="1:35" ht="18.75" customHeight="1" thickBot="1">
      <c r="A112" s="129"/>
      <c r="B112" s="129"/>
      <c r="C112" s="129"/>
      <c r="D112" s="129"/>
      <c r="E112" s="3663"/>
      <c r="F112" s="3664"/>
      <c r="G112" s="1830" t="s">
        <v>1432</v>
      </c>
      <c r="H112" s="2593" t="str">
        <f>IF(E111="——","——",N61)</f>
        <v>——</v>
      </c>
      <c r="I112" s="129"/>
    </row>
    <row r="113" spans="1:27" ht="18.75" customHeight="1">
      <c r="A113" s="129"/>
      <c r="B113" s="129"/>
      <c r="C113" s="129"/>
      <c r="D113" s="129"/>
      <c r="E113" s="3671" t="s">
        <v>1438</v>
      </c>
      <c r="F113" s="3671"/>
      <c r="G113" s="3671"/>
      <c r="H113" s="3671"/>
      <c r="I113" s="129"/>
    </row>
    <row r="114" spans="1:27" ht="3.75" customHeight="1">
      <c r="A114" s="1747"/>
      <c r="B114" s="1747"/>
      <c r="C114" s="1747"/>
      <c r="D114" s="1747"/>
      <c r="E114" s="1809"/>
      <c r="F114" s="1809"/>
      <c r="G114" s="1809"/>
      <c r="H114" s="1809"/>
      <c r="I114" s="1747"/>
    </row>
    <row r="115" spans="1:27" ht="18.75" customHeight="1">
      <c r="A115" s="3679" t="s">
        <v>1440</v>
      </c>
      <c r="B115" s="3680"/>
      <c r="C115" s="3680"/>
      <c r="D115" s="3680"/>
      <c r="E115" s="3680"/>
      <c r="F115" s="3680"/>
      <c r="G115" s="3680"/>
      <c r="H115" s="3680"/>
      <c r="I115" s="3681"/>
    </row>
    <row r="116" spans="1:27" ht="27" customHeight="1">
      <c r="A116" s="3636" t="s">
        <v>1441</v>
      </c>
      <c r="B116" s="3640" t="s">
        <v>1442</v>
      </c>
      <c r="C116" s="3640" t="s">
        <v>1443</v>
      </c>
      <c r="D116" s="3646" t="s">
        <v>1444</v>
      </c>
      <c r="E116" s="3647"/>
      <c r="F116" s="3678" t="s">
        <v>1445</v>
      </c>
      <c r="G116" s="3678"/>
      <c r="H116" s="3636" t="s">
        <v>1446</v>
      </c>
      <c r="I116" s="3636"/>
    </row>
    <row r="117" spans="1:27" ht="18.75" customHeight="1">
      <c r="A117" s="3636"/>
      <c r="B117" s="3641"/>
      <c r="C117" s="3641"/>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45755.040000000001</v>
      </c>
      <c r="C118" s="2329">
        <f>M19</f>
        <v>0</v>
      </c>
      <c r="D118" s="2329">
        <f ca="1">ROUND(IF(D32="总价",C34,E118*B118/10000),0)</f>
        <v>139410</v>
      </c>
      <c r="E118" s="2329">
        <f ca="1">ROUND(IF(C33="自定义",IF(D32="楼面单价",C34,D118*10000/B118),I118-G118),0)</f>
        <v>30469</v>
      </c>
      <c r="F118" s="2329">
        <f ca="1">ROUND(IF(D32="总价",C35,G118*B118/10000),0)</f>
        <v>43783</v>
      </c>
      <c r="G118" s="2329">
        <f ca="1">ROUND(IF(D32="楼面单价",C35,F118*10000/B118),0)</f>
        <v>9569</v>
      </c>
      <c r="H118" s="2329">
        <f ca="1">ROUND(IF(D32="总价",C32,I118*B118/10000),0)</f>
        <v>183193</v>
      </c>
      <c r="I118" s="2329">
        <f ca="1">ROUND(IF(D32="楼面单价",C32,H118*10000/B118),0)</f>
        <v>40038</v>
      </c>
    </row>
    <row r="119" spans="1:27" ht="18.75" customHeight="1">
      <c r="A119" s="3636" t="s">
        <v>1450</v>
      </c>
      <c r="B119" s="3636"/>
      <c r="C119" s="3636"/>
      <c r="D119" s="3642" t="str">
        <f ca="1">NUMBERSTRING(INT(D118*10000),2)&amp;"元整"</f>
        <v>壹拾叁亿玖仟肆佰壹拾万元整</v>
      </c>
      <c r="E119" s="3643"/>
      <c r="F119" s="3642" t="str">
        <f ca="1">NUMBERSTRING(INT(F118*10000),2)&amp;"元整"</f>
        <v>肆亿叁仟柒佰捌拾叁万元整</v>
      </c>
      <c r="G119" s="3643"/>
      <c r="H119" s="3642" t="str">
        <f ca="1">NUMBERSTRING(INT(H118*10000),2)&amp;"元整"</f>
        <v>壹拾捌亿叁仟壹佰玖拾叁万元整</v>
      </c>
      <c r="I119" s="3643"/>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2" t="s">
        <v>1450</v>
      </c>
      <c r="B121" s="3644"/>
      <c r="C121" s="3643"/>
      <c r="D121" s="3642" t="str">
        <f>IF(D120=0,"零元整",NUMBERSTRING(INT(D120*10000),2)&amp;"元整")</f>
        <v>零元整</v>
      </c>
      <c r="E121" s="3644"/>
      <c r="F121" s="3644"/>
      <c r="G121" s="3644"/>
      <c r="H121" s="3644"/>
      <c r="I121" s="3643"/>
      <c r="AA121" s="725"/>
    </row>
    <row r="122" spans="1:27" ht="18.75" customHeight="1">
      <c r="A122" s="3648" t="str">
        <f>IF(项目基本情况!B9="房地产市场价值","",MID(E107,3,LEN(E107)-2))</f>
        <v>房地产抵押价值</v>
      </c>
      <c r="B122" s="3648"/>
      <c r="C122" s="3648"/>
      <c r="D122" s="3637">
        <f ca="1">H107</f>
        <v>183193</v>
      </c>
      <c r="E122" s="3638"/>
      <c r="F122" s="3638"/>
      <c r="G122" s="3638"/>
      <c r="H122" s="3638"/>
      <c r="I122" s="3639"/>
      <c r="AA122" s="725"/>
    </row>
    <row r="123" spans="1:27" ht="18.75" customHeight="1">
      <c r="A123" s="3636" t="s">
        <v>1450</v>
      </c>
      <c r="B123" s="3636"/>
      <c r="C123" s="3636"/>
      <c r="D123" s="3642" t="str">
        <f ca="1">NUMBERSTRING(INT(D122*10000),2)&amp;"元整"</f>
        <v>壹拾捌亿叁仟壹佰玖拾叁万元整</v>
      </c>
      <c r="E123" s="3644"/>
      <c r="F123" s="3644"/>
      <c r="G123" s="3644"/>
      <c r="H123" s="3644"/>
      <c r="I123" s="3643"/>
      <c r="AA123" s="725"/>
    </row>
    <row r="124" spans="1:27" ht="18.75" customHeight="1">
      <c r="A124" s="3648" t="str">
        <f>IF(项目基本情况!B9="房地产市场价值","",MID(E109,3,LEN(E109)-2))</f>
        <v/>
      </c>
      <c r="B124" s="3648"/>
      <c r="C124" s="3648"/>
      <c r="D124" s="3637" t="str">
        <f>H109</f>
        <v>——</v>
      </c>
      <c r="E124" s="3638"/>
      <c r="F124" s="3638"/>
      <c r="G124" s="3638"/>
      <c r="H124" s="3638"/>
      <c r="I124" s="3639"/>
      <c r="AA124" s="725"/>
    </row>
    <row r="125" spans="1:27" ht="18.75" customHeight="1">
      <c r="A125" s="3636" t="s">
        <v>1450</v>
      </c>
      <c r="B125" s="3636"/>
      <c r="C125" s="3636"/>
      <c r="D125" s="3642" t="e">
        <f>NUMBERSTRING(INT(D124*10000),2)&amp;"元整"</f>
        <v>#VALUE!</v>
      </c>
      <c r="E125" s="3644"/>
      <c r="F125" s="3644"/>
      <c r="G125" s="3644"/>
      <c r="H125" s="3644"/>
      <c r="I125" s="3643"/>
      <c r="AA125" s="725"/>
    </row>
    <row r="126" spans="1:27" ht="18.75" customHeight="1">
      <c r="A126" s="3648" t="str">
        <f>IF(项目基本情况!B9="房地产市场价值","",MID(E111,3,LEN(E111)-2))</f>
        <v/>
      </c>
      <c r="B126" s="3648"/>
      <c r="C126" s="3648"/>
      <c r="D126" s="3637" t="str">
        <f>H111</f>
        <v>——</v>
      </c>
      <c r="E126" s="3638"/>
      <c r="F126" s="3638"/>
      <c r="G126" s="3638"/>
      <c r="H126" s="3638"/>
      <c r="I126" s="3639"/>
      <c r="AA126" s="725"/>
    </row>
    <row r="127" spans="1:27" ht="18.75" customHeight="1">
      <c r="A127" s="3636" t="s">
        <v>1450</v>
      </c>
      <c r="B127" s="3636"/>
      <c r="C127" s="3636"/>
      <c r="D127" s="3642" t="e">
        <f>NUMBERSTRING(INT(D126*10000),2)&amp;"元整"</f>
        <v>#VALUE!</v>
      </c>
      <c r="E127" s="3644"/>
      <c r="F127" s="3644"/>
      <c r="G127" s="3644"/>
      <c r="H127" s="3644"/>
      <c r="I127" s="3643"/>
      <c r="AA127" s="725"/>
    </row>
    <row r="128" spans="1:27" ht="21.75" customHeight="1">
      <c r="A128" s="3645" t="s">
        <v>1451</v>
      </c>
      <c r="B128" s="3645"/>
      <c r="C128" s="3645"/>
      <c r="D128" s="3645"/>
      <c r="E128" s="3645"/>
      <c r="F128" s="3645"/>
      <c r="G128" s="3645"/>
      <c r="H128" s="3645"/>
      <c r="I128" s="364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topLeftCell="A2" zoomScale="90" zoomScaleNormal="60" zoomScaleSheetLayoutView="90" workbookViewId="0">
      <selection activeCell="K20" sqref="K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3456</v>
      </c>
      <c r="F1" s="1879" t="s">
        <v>3455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185683</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40582</v>
      </c>
      <c r="C3" s="354" t="s">
        <v>1766</v>
      </c>
      <c r="D3" s="353">
        <f>IF(D1="",'数据-汇总表'!E3,SUMIF('数据-汇总表'!$C19:$C33,D1,'数据-汇总表'!$E19:$E33))</f>
        <v>45755.040000000001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913"/>
      <c r="M4" s="914"/>
      <c r="N4" s="914"/>
      <c r="O4" s="914"/>
      <c r="P4" s="3738" t="s">
        <v>1773</v>
      </c>
      <c r="Q4" s="3739"/>
      <c r="R4" s="3720" t="s">
        <v>1769</v>
      </c>
      <c r="S4" s="3721"/>
      <c r="T4" s="3720" t="s">
        <v>1770</v>
      </c>
      <c r="U4" s="3721"/>
      <c r="V4" s="3746" t="s">
        <v>1771</v>
      </c>
      <c r="W4" s="3746"/>
      <c r="X4" s="1355"/>
      <c r="Y4" s="3720" t="s">
        <v>1773</v>
      </c>
      <c r="Z4" s="3721"/>
      <c r="AA4" s="3715" t="s">
        <v>1769</v>
      </c>
      <c r="AB4" s="3716" t="s">
        <v>1770</v>
      </c>
      <c r="AC4" s="3715" t="s">
        <v>1771</v>
      </c>
    </row>
    <row r="5" spans="1:29" ht="15">
      <c r="A5" s="358"/>
      <c r="B5" s="359"/>
      <c r="C5" s="3726" t="s">
        <v>3540</v>
      </c>
      <c r="D5" s="3727"/>
      <c r="E5" s="3724" t="str">
        <f>大宗案例!B5</f>
        <v>电子城国际电子总部8-10#</v>
      </c>
      <c r="F5" s="3725"/>
      <c r="G5" s="3730" t="str">
        <f>大宗案例!B38</f>
        <v>中关村西三旗(金隅)科技园T5研发设计楼地上1-7层</v>
      </c>
      <c r="H5" s="3727"/>
      <c r="I5" s="3730" t="str">
        <f>大宗案例!B39</f>
        <v>中关村西三旗(金隅)科技园T4研发设计楼地上1-7层</v>
      </c>
      <c r="J5" s="3727"/>
      <c r="K5" s="559"/>
      <c r="L5" s="913"/>
      <c r="M5" s="914"/>
      <c r="N5" s="914"/>
      <c r="O5" s="914"/>
      <c r="P5" s="3740"/>
      <c r="Q5" s="3741"/>
      <c r="R5" s="3722"/>
      <c r="S5" s="3723"/>
      <c r="T5" s="3722"/>
      <c r="U5" s="3723"/>
      <c r="V5" s="3746"/>
      <c r="W5" s="3746"/>
      <c r="X5" s="1355"/>
      <c r="Y5" s="3722"/>
      <c r="Z5" s="3723"/>
      <c r="AA5" s="3716"/>
      <c r="AB5" s="3716"/>
      <c r="AC5" s="3716"/>
    </row>
    <row r="6" spans="1:29" ht="15.75" thickBot="1">
      <c r="A6" s="360"/>
      <c r="B6" s="361"/>
      <c r="C6" s="3728" t="s">
        <v>1675</v>
      </c>
      <c r="D6" s="3729"/>
      <c r="E6" s="3731" t="s">
        <v>1675</v>
      </c>
      <c r="F6" s="3732"/>
      <c r="G6" s="3728" t="s">
        <v>1675</v>
      </c>
      <c r="H6" s="3729"/>
      <c r="I6" s="3728" t="s">
        <v>1675</v>
      </c>
      <c r="J6" s="3729"/>
      <c r="K6" s="559" t="s">
        <v>1676</v>
      </c>
      <c r="L6" s="913"/>
      <c r="M6" s="914"/>
      <c r="N6" s="914"/>
      <c r="O6" s="914"/>
      <c r="P6" s="3742"/>
      <c r="Q6" s="3743"/>
      <c r="R6" s="3722"/>
      <c r="S6" s="3723"/>
      <c r="T6" s="3744"/>
      <c r="U6" s="3745"/>
      <c r="V6" s="3746"/>
      <c r="W6" s="3746"/>
      <c r="X6" s="1355"/>
      <c r="Y6" s="3744"/>
      <c r="Z6" s="3745"/>
      <c r="AA6" s="3717"/>
      <c r="AB6" s="3717"/>
      <c r="AC6" s="3717"/>
    </row>
    <row r="7" spans="1:29" s="108" customFormat="1" ht="15.75" thickBot="1">
      <c r="A7" s="362" t="s">
        <v>1677</v>
      </c>
      <c r="B7" s="363"/>
      <c r="C7" s="364">
        <f>'数据-取费表'!B2</f>
        <v>45063</v>
      </c>
      <c r="D7" s="365">
        <v>100</v>
      </c>
      <c r="E7" s="366">
        <f>大宗案例!P5</f>
        <v>44161</v>
      </c>
      <c r="F7" s="367">
        <f>SUMIF(52:52,YEAR(E7)&amp;"-"&amp;MONTH(E7),53:53)</f>
        <v>98.5</v>
      </c>
      <c r="G7" s="366">
        <v>44531</v>
      </c>
      <c r="H7" s="365">
        <f>SUMIF(52:52,YEAR(G7)&amp;"-"&amp;MONTH(G7),53:53)</f>
        <v>99</v>
      </c>
      <c r="I7" s="366">
        <f>G7</f>
        <v>44531</v>
      </c>
      <c r="J7" s="365">
        <f>SUMIF(52:52,YEAR(I7)&amp;"-"&amp;MONTH(I7),53:53)</f>
        <v>99</v>
      </c>
      <c r="K7" s="560"/>
      <c r="L7" s="915"/>
      <c r="M7" s="916"/>
      <c r="N7" s="916"/>
      <c r="O7" s="916"/>
      <c r="P7" s="3718" t="s">
        <v>1678</v>
      </c>
      <c r="Q7" s="3747"/>
      <c r="R7" s="701" t="s">
        <v>14</v>
      </c>
      <c r="S7" s="702">
        <f t="shared" ref="S7:S15" si="0">F7</f>
        <v>98.5</v>
      </c>
      <c r="T7" s="701" t="s">
        <v>14</v>
      </c>
      <c r="U7" s="702">
        <f t="shared" ref="U7:U15" si="1">H7</f>
        <v>99</v>
      </c>
      <c r="V7" s="701" t="s">
        <v>14</v>
      </c>
      <c r="W7" s="702">
        <f t="shared" ref="W7:W15" si="2">J7</f>
        <v>99</v>
      </c>
      <c r="X7" s="703"/>
      <c r="Y7" s="3718" t="s">
        <v>1678</v>
      </c>
      <c r="Z7" s="3719"/>
      <c r="AA7" s="704">
        <f>D7/F7</f>
        <v>1.015228426395939</v>
      </c>
      <c r="AB7" s="704">
        <f>D7/H7</f>
        <v>1.0101010101010102</v>
      </c>
      <c r="AC7" s="704">
        <f>D7/J7</f>
        <v>1.0101010101010102</v>
      </c>
    </row>
    <row r="8" spans="1:29" s="108" customFormat="1" ht="15.75" thickBot="1">
      <c r="A8" s="362" t="s">
        <v>1679</v>
      </c>
      <c r="B8" s="363"/>
      <c r="C8" s="368" t="s">
        <v>3541</v>
      </c>
      <c r="D8" s="365">
        <v>100</v>
      </c>
      <c r="E8" s="368" t="s">
        <v>3541</v>
      </c>
      <c r="F8" s="367">
        <f>SUMIF(55:55,E8,56:56)-SUMIF(55:55,C8,56:56)+100</f>
        <v>100</v>
      </c>
      <c r="G8" s="368" t="s">
        <v>3541</v>
      </c>
      <c r="H8" s="365">
        <f>SUMIF(55:55,G8,56:56)-SUMIF(55:55,C8,56:56)+100</f>
        <v>100</v>
      </c>
      <c r="I8" s="368" t="s">
        <v>3541</v>
      </c>
      <c r="J8" s="365">
        <f>SUMIF(55:55,I8,56:56)-SUMIF(55:55,C8,56:56)+100</f>
        <v>100</v>
      </c>
      <c r="K8" s="560"/>
      <c r="L8" s="915"/>
      <c r="M8" s="916"/>
      <c r="N8" s="916"/>
      <c r="O8" s="916"/>
      <c r="P8" s="3718" t="s">
        <v>1681</v>
      </c>
      <c r="Q8" s="3719"/>
      <c r="R8" s="701" t="s">
        <v>14</v>
      </c>
      <c r="S8" s="702">
        <f t="shared" si="0"/>
        <v>100</v>
      </c>
      <c r="T8" s="701" t="s">
        <v>14</v>
      </c>
      <c r="U8" s="702">
        <f t="shared" si="1"/>
        <v>100</v>
      </c>
      <c r="V8" s="701" t="s">
        <v>14</v>
      </c>
      <c r="W8" s="702">
        <f t="shared" si="2"/>
        <v>100</v>
      </c>
      <c r="X8" s="703"/>
      <c r="Y8" s="3718" t="s">
        <v>1681</v>
      </c>
      <c r="Z8" s="3719"/>
      <c r="AA8" s="704">
        <f t="shared" ref="AA8:AA40" si="3">D8/F8</f>
        <v>1</v>
      </c>
      <c r="AB8" s="704">
        <f t="shared" ref="AB8:AB40" si="4">D8/H8</f>
        <v>1</v>
      </c>
      <c r="AC8" s="704">
        <f t="shared" ref="AC8:AC40" si="5">D8/J8</f>
        <v>1</v>
      </c>
    </row>
    <row r="9" spans="1:29" s="108" customFormat="1">
      <c r="A9" s="369" t="s">
        <v>1682</v>
      </c>
      <c r="B9" s="63" t="s">
        <v>1683</v>
      </c>
      <c r="C9" s="3497" t="s">
        <v>3542</v>
      </c>
      <c r="D9" s="126">
        <v>100</v>
      </c>
      <c r="E9" s="373" t="s">
        <v>3492</v>
      </c>
      <c r="F9" s="126">
        <f>SUMIF(57:57,E9,58:58)-SUMIF(57:57,C9,58:58)+100</f>
        <v>100</v>
      </c>
      <c r="G9" s="371" t="s">
        <v>3492</v>
      </c>
      <c r="H9" s="126">
        <f>SUMIF(57:57,G9,58:58)-SUMIF(57:57,C9,58:58)+100</f>
        <v>100</v>
      </c>
      <c r="I9" s="371" t="s">
        <v>3492</v>
      </c>
      <c r="J9" s="126">
        <f>SUMIF(57:57,I9,58:58)-SUMIF(57:57,C9,58:58)+100</f>
        <v>100</v>
      </c>
      <c r="K9" s="560"/>
      <c r="L9" s="915"/>
      <c r="M9" s="916"/>
      <c r="N9" s="916"/>
      <c r="O9" s="917"/>
      <c r="P9" s="3733" t="s">
        <v>1684</v>
      </c>
      <c r="Q9" s="1343" t="str">
        <f t="shared" ref="Q9:Q15" si="6">B9</f>
        <v>用途</v>
      </c>
      <c r="R9" s="701" t="s">
        <v>14</v>
      </c>
      <c r="S9" s="702">
        <f t="shared" si="0"/>
        <v>100</v>
      </c>
      <c r="T9" s="701" t="s">
        <v>14</v>
      </c>
      <c r="U9" s="702">
        <f t="shared" si="1"/>
        <v>100</v>
      </c>
      <c r="V9" s="701" t="s">
        <v>14</v>
      </c>
      <c r="W9" s="702">
        <f t="shared" si="2"/>
        <v>100</v>
      </c>
      <c r="X9" s="703"/>
      <c r="Y9" s="3691" t="s">
        <v>1685</v>
      </c>
      <c r="Z9" s="52" t="str">
        <f t="shared" ref="Z9:Z15" si="7">Q9</f>
        <v>用途</v>
      </c>
      <c r="AA9" s="704">
        <f t="shared" si="3"/>
        <v>1</v>
      </c>
      <c r="AB9" s="704">
        <f t="shared" si="4"/>
        <v>1</v>
      </c>
      <c r="AC9" s="704">
        <f t="shared" si="5"/>
        <v>1</v>
      </c>
    </row>
    <row r="10" spans="1:29" s="378" customFormat="1" ht="27">
      <c r="A10" s="374"/>
      <c r="B10" s="375" t="s">
        <v>1686</v>
      </c>
      <c r="C10" s="3428" t="str">
        <f>D59</f>
        <v>30-40</v>
      </c>
      <c r="D10" s="127">
        <v>100</v>
      </c>
      <c r="E10" s="3428" t="s">
        <v>3545</v>
      </c>
      <c r="F10" s="127">
        <f>SUMIF(59:59,E10,60:60)-SUMIF(59:59,C10,60:60)+100</f>
        <v>100</v>
      </c>
      <c r="G10" s="3429" t="s">
        <v>3597</v>
      </c>
      <c r="H10" s="127">
        <f>SUMIF(59:59,G10,60:60)-SUMIF(59:59,C10,60:60)+100</f>
        <v>101</v>
      </c>
      <c r="I10" s="3428" t="str">
        <f>G10</f>
        <v>40-50</v>
      </c>
      <c r="J10" s="127">
        <f>SUMIF(59:59,I10,60:60)-SUMIF(59:59,C10,60:60)+100</f>
        <v>101</v>
      </c>
      <c r="K10" s="560"/>
      <c r="L10" s="918"/>
      <c r="M10" s="919"/>
      <c r="N10" s="919"/>
      <c r="O10" s="920"/>
      <c r="P10" s="3733"/>
      <c r="Q10" s="1343" t="str">
        <f t="shared" si="6"/>
        <v>土地使用年限（年）</v>
      </c>
      <c r="R10" s="701" t="s">
        <v>14</v>
      </c>
      <c r="S10" s="702">
        <f t="shared" si="0"/>
        <v>100</v>
      </c>
      <c r="T10" s="701" t="s">
        <v>14</v>
      </c>
      <c r="U10" s="702">
        <f t="shared" si="1"/>
        <v>101</v>
      </c>
      <c r="V10" s="701" t="s">
        <v>14</v>
      </c>
      <c r="W10" s="702">
        <f t="shared" si="2"/>
        <v>101</v>
      </c>
      <c r="X10" s="703"/>
      <c r="Y10" s="3691"/>
      <c r="Z10" s="52" t="str">
        <f t="shared" si="7"/>
        <v>土地使用年限（年）</v>
      </c>
      <c r="AA10" s="704">
        <f t="shared" si="3"/>
        <v>1</v>
      </c>
      <c r="AB10" s="704">
        <f t="shared" si="4"/>
        <v>0.99009900990099009</v>
      </c>
      <c r="AC10" s="704">
        <f t="shared" si="5"/>
        <v>0.99009900990099009</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9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3448</v>
      </c>
      <c r="F15" s="394">
        <f>SUMIF(70:70,E16,71:71)-SUMIF(70:70,C16,71:71)+100</f>
        <v>100</v>
      </c>
      <c r="G15" s="393" t="s">
        <v>3448</v>
      </c>
      <c r="H15" s="392">
        <f>SUMIF(70:70,G16,71:71)-SUMIF(70:70,C16,71:71)+100</f>
        <v>100</v>
      </c>
      <c r="I15" s="393" t="s">
        <v>3448</v>
      </c>
      <c r="J15" s="392">
        <f>SUMIF(70:70,I16,71:71)-SUMIF(70:70,C16,71:71)+100</f>
        <v>100</v>
      </c>
      <c r="K15" s="563">
        <v>2</v>
      </c>
      <c r="L15" s="923"/>
      <c r="M15" s="914"/>
      <c r="N15" s="914"/>
      <c r="O15" s="922"/>
      <c r="P15" s="3748" t="s">
        <v>1689</v>
      </c>
      <c r="Q15" s="1352" t="str">
        <f t="shared" si="6"/>
        <v>产业集聚程度</v>
      </c>
      <c r="R15" s="705" t="s">
        <v>14</v>
      </c>
      <c r="S15" s="706">
        <f t="shared" si="0"/>
        <v>100</v>
      </c>
      <c r="T15" s="705" t="s">
        <v>14</v>
      </c>
      <c r="U15" s="706">
        <f t="shared" si="1"/>
        <v>100</v>
      </c>
      <c r="V15" s="705" t="s">
        <v>14</v>
      </c>
      <c r="W15" s="706">
        <f t="shared" si="2"/>
        <v>100</v>
      </c>
      <c r="X15" s="1355"/>
      <c r="Y15" s="3748" t="s">
        <v>1689</v>
      </c>
      <c r="Z15" s="1356" t="str">
        <f t="shared" si="7"/>
        <v>产业集聚程度</v>
      </c>
      <c r="AA15" s="1353">
        <f t="shared" si="3"/>
        <v>1</v>
      </c>
      <c r="AB15" s="1353">
        <f t="shared" si="4"/>
        <v>1</v>
      </c>
      <c r="AC15" s="1353">
        <f t="shared" si="5"/>
        <v>1</v>
      </c>
    </row>
    <row r="16" spans="1:29" ht="15">
      <c r="A16" s="379"/>
      <c r="B16" s="397"/>
      <c r="C16" s="398" t="s">
        <v>3448</v>
      </c>
      <c r="D16" s="399"/>
      <c r="E16" s="398" t="s">
        <v>3448</v>
      </c>
      <c r="F16" s="400"/>
      <c r="G16" s="398" t="s">
        <v>3448</v>
      </c>
      <c r="H16" s="401"/>
      <c r="I16" s="398" t="s">
        <v>3448</v>
      </c>
      <c r="J16" s="399"/>
      <c r="K16" s="564"/>
      <c r="L16" s="923"/>
      <c r="M16" s="914"/>
      <c r="N16" s="914"/>
      <c r="O16" s="922"/>
      <c r="P16" s="3749"/>
      <c r="Q16" s="1352"/>
      <c r="R16" s="705"/>
      <c r="S16" s="706"/>
      <c r="T16" s="705"/>
      <c r="U16" s="706"/>
      <c r="V16" s="705"/>
      <c r="W16" s="706"/>
      <c r="X16" s="1355"/>
      <c r="Y16" s="3749"/>
      <c r="Z16" s="1356"/>
      <c r="AA16" s="1353">
        <v>1</v>
      </c>
      <c r="AB16" s="1353">
        <v>1</v>
      </c>
      <c r="AC16" s="1353">
        <v>1</v>
      </c>
    </row>
    <row r="17" spans="1:29" ht="15">
      <c r="A17" s="379"/>
      <c r="B17" s="402" t="s">
        <v>1257</v>
      </c>
      <c r="C17" s="1900" t="str">
        <f>估价对象房地状况!G4</f>
        <v>较好</v>
      </c>
      <c r="D17" s="401">
        <v>100</v>
      </c>
      <c r="E17" s="403" t="s">
        <v>3448</v>
      </c>
      <c r="F17" s="404">
        <f>SUMIF(72:72,E18,73:73)-SUMIF(72:72,C18,73:73)+100</f>
        <v>100</v>
      </c>
      <c r="G17" s="3531" t="s">
        <v>3599</v>
      </c>
      <c r="H17" s="406">
        <f>SUMIF(72:72,G18,73:73)-SUMIF(72:72,C18,73:73)+100</f>
        <v>97</v>
      </c>
      <c r="I17" s="3531" t="s">
        <v>3599</v>
      </c>
      <c r="J17" s="406">
        <f>SUMIF(72:72,I18,73:73)-SUMIF(72:72,C18,73:73)+100</f>
        <v>97</v>
      </c>
      <c r="K17" s="563">
        <v>3</v>
      </c>
      <c r="L17" s="923"/>
      <c r="M17" s="914"/>
      <c r="N17" s="914"/>
      <c r="O17" s="922"/>
      <c r="P17" s="3749"/>
      <c r="Q17" s="1352" t="str">
        <f>B17</f>
        <v>交通便捷度</v>
      </c>
      <c r="R17" s="705" t="s">
        <v>14</v>
      </c>
      <c r="S17" s="706">
        <f>F17</f>
        <v>100</v>
      </c>
      <c r="T17" s="705" t="s">
        <v>14</v>
      </c>
      <c r="U17" s="706">
        <f>H17</f>
        <v>97</v>
      </c>
      <c r="V17" s="705" t="s">
        <v>14</v>
      </c>
      <c r="W17" s="706">
        <f>J17</f>
        <v>97</v>
      </c>
      <c r="X17" s="1355"/>
      <c r="Y17" s="3749"/>
      <c r="Z17" s="1356" t="str">
        <f>Q17</f>
        <v>交通便捷度</v>
      </c>
      <c r="AA17" s="1353">
        <f t="shared" si="3"/>
        <v>1</v>
      </c>
      <c r="AB17" s="1353">
        <f t="shared" si="4"/>
        <v>1.0309278350515463</v>
      </c>
      <c r="AC17" s="1353">
        <f t="shared" si="5"/>
        <v>1.0309278350515463</v>
      </c>
    </row>
    <row r="18" spans="1:29" ht="15">
      <c r="A18" s="379"/>
      <c r="B18" s="407"/>
      <c r="C18" s="1901" t="s">
        <v>3448</v>
      </c>
      <c r="D18" s="401"/>
      <c r="E18" s="1903" t="s">
        <v>3448</v>
      </c>
      <c r="F18" s="404"/>
      <c r="G18" s="1903" t="s">
        <v>3449</v>
      </c>
      <c r="H18" s="399"/>
      <c r="I18" s="1903" t="s">
        <v>3449</v>
      </c>
      <c r="J18" s="399"/>
      <c r="K18" s="564"/>
      <c r="L18" s="923"/>
      <c r="M18" s="914"/>
      <c r="N18" s="914"/>
      <c r="O18" s="922"/>
      <c r="P18" s="3749"/>
      <c r="Q18" s="1352"/>
      <c r="R18" s="705"/>
      <c r="S18" s="706"/>
      <c r="T18" s="705"/>
      <c r="U18" s="706"/>
      <c r="V18" s="705"/>
      <c r="W18" s="706"/>
      <c r="X18" s="1355"/>
      <c r="Y18" s="3749"/>
      <c r="Z18" s="1356"/>
      <c r="AA18" s="1353">
        <v>1</v>
      </c>
      <c r="AB18" s="1353">
        <v>1</v>
      </c>
      <c r="AC18" s="1353">
        <v>1</v>
      </c>
    </row>
    <row r="19" spans="1:29" ht="15">
      <c r="A19" s="379"/>
      <c r="B19" s="402" t="s">
        <v>1810</v>
      </c>
      <c r="C19" s="1900" t="str">
        <f>估价对象房地状况!G5</f>
        <v>较好</v>
      </c>
      <c r="D19" s="406">
        <v>100</v>
      </c>
      <c r="E19" s="408" t="s">
        <v>3448</v>
      </c>
      <c r="F19" s="409">
        <f>SUMIF(74:74,E20,75:75)-SUMIF(74:74,C20,75:75)+100</f>
        <v>100</v>
      </c>
      <c r="G19" s="3531" t="s">
        <v>3599</v>
      </c>
      <c r="H19" s="401">
        <f>SUMIF(74:74,G20,75:75)-SUMIF(74:74,C20,75:75)+100</f>
        <v>98</v>
      </c>
      <c r="I19" s="3531" t="s">
        <v>3599</v>
      </c>
      <c r="J19" s="401">
        <f>SUMIF(74:74,I20,75:75)-SUMIF(74:74,C20,75:75)+100</f>
        <v>98</v>
      </c>
      <c r="K19" s="563">
        <v>2</v>
      </c>
      <c r="L19" s="923"/>
      <c r="M19" s="914"/>
      <c r="N19" s="914"/>
      <c r="O19" s="922"/>
      <c r="P19" s="3749"/>
      <c r="Q19" s="1352" t="str">
        <f>B19</f>
        <v>公共配套设施</v>
      </c>
      <c r="R19" s="705" t="s">
        <v>14</v>
      </c>
      <c r="S19" s="706">
        <f>F19</f>
        <v>100</v>
      </c>
      <c r="T19" s="705" t="s">
        <v>14</v>
      </c>
      <c r="U19" s="706">
        <f>H19</f>
        <v>98</v>
      </c>
      <c r="V19" s="705" t="s">
        <v>14</v>
      </c>
      <c r="W19" s="706">
        <f>J19</f>
        <v>98</v>
      </c>
      <c r="X19" s="1355"/>
      <c r="Y19" s="3749"/>
      <c r="Z19" s="1356" t="str">
        <f>Q19</f>
        <v>公共配套设施</v>
      </c>
      <c r="AA19" s="1353">
        <f t="shared" si="3"/>
        <v>1</v>
      </c>
      <c r="AB19" s="1353">
        <f t="shared" si="4"/>
        <v>1.0204081632653061</v>
      </c>
      <c r="AC19" s="1353">
        <f t="shared" si="5"/>
        <v>1.0204081632653061</v>
      </c>
    </row>
    <row r="20" spans="1:29" ht="15">
      <c r="A20" s="379"/>
      <c r="B20" s="407"/>
      <c r="C20" s="398" t="s">
        <v>3448</v>
      </c>
      <c r="D20" s="399"/>
      <c r="E20" s="1898" t="s">
        <v>3448</v>
      </c>
      <c r="F20" s="400"/>
      <c r="G20" s="1903" t="s">
        <v>3449</v>
      </c>
      <c r="H20" s="399"/>
      <c r="I20" s="1903" t="s">
        <v>3449</v>
      </c>
      <c r="J20" s="399"/>
      <c r="K20" s="564"/>
      <c r="L20" s="923"/>
      <c r="M20" s="914"/>
      <c r="N20" s="914"/>
      <c r="O20" s="922"/>
      <c r="P20" s="3749"/>
      <c r="Q20" s="1352"/>
      <c r="R20" s="705"/>
      <c r="S20" s="706"/>
      <c r="T20" s="705"/>
      <c r="U20" s="706"/>
      <c r="V20" s="705"/>
      <c r="W20" s="706"/>
      <c r="X20" s="1355"/>
      <c r="Y20" s="3749"/>
      <c r="Z20" s="1356"/>
      <c r="AA20" s="1353">
        <v>1</v>
      </c>
      <c r="AB20" s="1353">
        <v>1</v>
      </c>
      <c r="AC20" s="1353">
        <v>1</v>
      </c>
    </row>
    <row r="21" spans="1:29" ht="15">
      <c r="A21" s="379"/>
      <c r="B21" s="1131" t="s">
        <v>1811</v>
      </c>
      <c r="C21" s="1900" t="str">
        <f>估价对象房地状况!G6</f>
        <v>七通</v>
      </c>
      <c r="D21" s="401">
        <v>100</v>
      </c>
      <c r="E21" s="408" t="s">
        <v>3551</v>
      </c>
      <c r="F21" s="409">
        <f>SUMIF(76:76,E22,77:77)-SUMIF(76:76,C22,77:77)+100</f>
        <v>100</v>
      </c>
      <c r="G21" s="408" t="s">
        <v>3551</v>
      </c>
      <c r="H21" s="401">
        <f>SUMIF(76:76,G22,77:77)-SUMIF(76:76,C22,77:77)+100</f>
        <v>100</v>
      </c>
      <c r="I21" s="408" t="s">
        <v>3551</v>
      </c>
      <c r="J21" s="401">
        <f>SUMIF(76:76,I22,77:77)-SUMIF(76:76,C22,77:77)+100</f>
        <v>100</v>
      </c>
      <c r="K21" s="563">
        <v>1</v>
      </c>
      <c r="L21" s="923"/>
      <c r="M21" s="914"/>
      <c r="N21" s="914"/>
      <c r="O21" s="922"/>
      <c r="P21" s="3749"/>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t="s">
        <v>3551</v>
      </c>
      <c r="D22" s="399"/>
      <c r="E22" s="398" t="s">
        <v>3551</v>
      </c>
      <c r="F22" s="400"/>
      <c r="G22" s="398" t="s">
        <v>3551</v>
      </c>
      <c r="H22" s="399"/>
      <c r="I22" s="398" t="s">
        <v>3551</v>
      </c>
      <c r="J22" s="399"/>
      <c r="K22" s="1130"/>
      <c r="L22" s="923"/>
      <c r="M22" s="914"/>
      <c r="N22" s="914"/>
      <c r="O22" s="922"/>
      <c r="P22" s="3749"/>
      <c r="Q22" s="1352"/>
      <c r="R22" s="705"/>
      <c r="S22" s="706"/>
      <c r="T22" s="705"/>
      <c r="U22" s="706"/>
      <c r="V22" s="705"/>
      <c r="W22" s="706"/>
      <c r="X22" s="1355"/>
      <c r="Y22" s="3749"/>
      <c r="Z22" s="1356"/>
      <c r="AA22" s="1353">
        <v>1</v>
      </c>
      <c r="AB22" s="1353">
        <v>1</v>
      </c>
      <c r="AC22" s="1353">
        <v>1</v>
      </c>
    </row>
    <row r="23" spans="1:29" ht="15">
      <c r="A23" s="379"/>
      <c r="B23" s="402" t="s">
        <v>1812</v>
      </c>
      <c r="C23" s="1900" t="str">
        <f>估价对象房地状况!G7</f>
        <v>较好</v>
      </c>
      <c r="D23" s="401">
        <v>100</v>
      </c>
      <c r="E23" s="403" t="s">
        <v>3448</v>
      </c>
      <c r="F23" s="404">
        <f>SUMIF(78:78,E24,79:79)-SUMIF(78:78,C24,79:79)+100</f>
        <v>100</v>
      </c>
      <c r="G23" s="3531" t="s">
        <v>3599</v>
      </c>
      <c r="H23" s="401">
        <f>SUMIF(78:78,G24,79:79)-SUMIF(78:78,C24,79:79)+100</f>
        <v>98</v>
      </c>
      <c r="I23" s="3531" t="s">
        <v>3599</v>
      </c>
      <c r="J23" s="401">
        <f>SUMIF(78:78,I24,79:79)-SUMIF(78:78,C24,79:79)+100</f>
        <v>98</v>
      </c>
      <c r="K23" s="563">
        <v>2</v>
      </c>
      <c r="L23" s="923"/>
      <c r="M23" s="914"/>
      <c r="N23" s="914"/>
      <c r="O23" s="922"/>
      <c r="P23" s="3749"/>
      <c r="Q23" s="1352" t="str">
        <f>B23</f>
        <v>环境质量</v>
      </c>
      <c r="R23" s="705" t="s">
        <v>14</v>
      </c>
      <c r="S23" s="706">
        <f>F23</f>
        <v>100</v>
      </c>
      <c r="T23" s="705" t="s">
        <v>14</v>
      </c>
      <c r="U23" s="706">
        <f>H23</f>
        <v>98</v>
      </c>
      <c r="V23" s="705" t="s">
        <v>14</v>
      </c>
      <c r="W23" s="706">
        <f>J23</f>
        <v>98</v>
      </c>
      <c r="X23" s="1355"/>
      <c r="Y23" s="3749"/>
      <c r="Z23" s="1356" t="str">
        <f>Q23</f>
        <v>环境质量</v>
      </c>
      <c r="AA23" s="1353">
        <f t="shared" si="3"/>
        <v>1</v>
      </c>
      <c r="AB23" s="1353">
        <f t="shared" si="4"/>
        <v>1.0204081632653061</v>
      </c>
      <c r="AC23" s="1353">
        <f t="shared" si="5"/>
        <v>1.0204081632653061</v>
      </c>
    </row>
    <row r="24" spans="1:29" ht="15.75" thickBot="1">
      <c r="A24" s="379"/>
      <c r="B24" s="1131"/>
      <c r="C24" s="398" t="s">
        <v>3448</v>
      </c>
      <c r="D24" s="399"/>
      <c r="E24" s="1898" t="s">
        <v>3448</v>
      </c>
      <c r="F24" s="400"/>
      <c r="G24" s="1903" t="s">
        <v>3449</v>
      </c>
      <c r="H24" s="399"/>
      <c r="I24" s="1903" t="s">
        <v>3449</v>
      </c>
      <c r="J24" s="399"/>
      <c r="K24" s="564"/>
      <c r="L24" s="923"/>
      <c r="M24" s="914"/>
      <c r="N24" s="914"/>
      <c r="O24" s="922"/>
      <c r="P24" s="3749"/>
      <c r="Q24" s="1352"/>
      <c r="R24" s="705"/>
      <c r="S24" s="706"/>
      <c r="T24" s="705"/>
      <c r="U24" s="706"/>
      <c r="V24" s="705"/>
      <c r="W24" s="706"/>
      <c r="X24" s="1355"/>
      <c r="Y24" s="3749"/>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9"/>
      <c r="Q25" s="1352">
        <f>B25</f>
        <v>111</v>
      </c>
      <c r="R25" s="705" t="s">
        <v>14</v>
      </c>
      <c r="S25" s="706">
        <f>F25</f>
        <v>100</v>
      </c>
      <c r="T25" s="705" t="s">
        <v>14</v>
      </c>
      <c r="U25" s="706">
        <f>H25</f>
        <v>100</v>
      </c>
      <c r="V25" s="705" t="s">
        <v>14</v>
      </c>
      <c r="W25" s="706">
        <f>J25</f>
        <v>100</v>
      </c>
      <c r="X25" s="1355"/>
      <c r="Y25" s="3749"/>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9"/>
      <c r="Q26" s="1352">
        <f t="shared" ref="Q26:Q40" si="11">B26</f>
        <v>111</v>
      </c>
      <c r="R26" s="705" t="s">
        <v>14</v>
      </c>
      <c r="S26" s="706">
        <f>F26</f>
        <v>100</v>
      </c>
      <c r="T26" s="705" t="s">
        <v>14</v>
      </c>
      <c r="U26" s="706">
        <f>H26</f>
        <v>100</v>
      </c>
      <c r="V26" s="705" t="s">
        <v>14</v>
      </c>
      <c r="W26" s="706">
        <f>J26</f>
        <v>100</v>
      </c>
      <c r="X26" s="1355"/>
      <c r="Y26" s="3749"/>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9"/>
      <c r="Q27" s="1343">
        <f t="shared" si="11"/>
        <v>111</v>
      </c>
      <c r="R27" s="701" t="s">
        <v>14</v>
      </c>
      <c r="S27" s="702">
        <f>F27</f>
        <v>100</v>
      </c>
      <c r="T27" s="701" t="s">
        <v>14</v>
      </c>
      <c r="U27" s="702">
        <f>H27</f>
        <v>100</v>
      </c>
      <c r="V27" s="701" t="s">
        <v>14</v>
      </c>
      <c r="W27" s="702">
        <f>J27</f>
        <v>100</v>
      </c>
      <c r="X27" s="703"/>
      <c r="Y27" s="3749"/>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9"/>
      <c r="Q28" s="1352">
        <f t="shared" si="11"/>
        <v>111</v>
      </c>
      <c r="R28" s="705" t="s">
        <v>14</v>
      </c>
      <c r="S28" s="706">
        <f t="shared" ref="S28:S40" si="12">F28</f>
        <v>100</v>
      </c>
      <c r="T28" s="705" t="s">
        <v>14</v>
      </c>
      <c r="U28" s="706">
        <f t="shared" ref="U28:U40" si="13">H28</f>
        <v>100</v>
      </c>
      <c r="V28" s="705" t="s">
        <v>14</v>
      </c>
      <c r="W28" s="706">
        <f t="shared" ref="W28:W40" si="14">J28</f>
        <v>100</v>
      </c>
      <c r="X28" s="1355"/>
      <c r="Y28" s="3749"/>
      <c r="Z28" s="1356">
        <f t="shared" ref="Z28:Z40" si="15">Q28</f>
        <v>111</v>
      </c>
      <c r="AA28" s="1353">
        <f t="shared" si="3"/>
        <v>1</v>
      </c>
      <c r="AB28" s="1353">
        <f t="shared" si="4"/>
        <v>1</v>
      </c>
      <c r="AC28" s="1353">
        <f t="shared" si="5"/>
        <v>1</v>
      </c>
    </row>
    <row r="29" spans="1:29" ht="28.5">
      <c r="A29" s="417" t="s">
        <v>1692</v>
      </c>
      <c r="B29" s="63" t="s">
        <v>1815</v>
      </c>
      <c r="C29" s="1967" t="s">
        <v>3600</v>
      </c>
      <c r="D29" s="418">
        <v>100</v>
      </c>
      <c r="E29" s="1967" t="s">
        <v>3600</v>
      </c>
      <c r="F29" s="412">
        <f>SUMIF(88:88,E29,89:89)-SUMIF(88:88,C29,89:89)+100</f>
        <v>100</v>
      </c>
      <c r="G29" s="1967" t="s">
        <v>3600</v>
      </c>
      <c r="H29" s="386">
        <f>SUMIF(88:88,G29,89:89)-SUMIF(88:88,C29,89:89)+100</f>
        <v>100</v>
      </c>
      <c r="I29" s="1967" t="s">
        <v>3600</v>
      </c>
      <c r="J29" s="418">
        <f>SUMIF(88:88,I29,89:89)-SUMIF(88:88,C29,89:89)+100</f>
        <v>100</v>
      </c>
      <c r="K29" s="561">
        <v>2</v>
      </c>
      <c r="L29" s="923"/>
      <c r="M29" s="914"/>
      <c r="N29" s="914"/>
      <c r="O29" s="922"/>
      <c r="P29" s="3750" t="s">
        <v>1694</v>
      </c>
      <c r="Q29" s="1352" t="str">
        <f t="shared" si="11"/>
        <v>建筑类型</v>
      </c>
      <c r="R29" s="705" t="s">
        <v>14</v>
      </c>
      <c r="S29" s="706">
        <f t="shared" si="12"/>
        <v>100</v>
      </c>
      <c r="T29" s="705" t="s">
        <v>14</v>
      </c>
      <c r="U29" s="706">
        <f t="shared" si="13"/>
        <v>100</v>
      </c>
      <c r="V29" s="705" t="s">
        <v>14</v>
      </c>
      <c r="W29" s="706">
        <f t="shared" si="14"/>
        <v>100</v>
      </c>
      <c r="X29" s="1355"/>
      <c r="Y29" s="3751"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45755.040000000001</v>
      </c>
      <c r="D30" s="127">
        <v>100</v>
      </c>
      <c r="E30" s="381">
        <f>大宗案例!I5</f>
        <v>66987.539999999994</v>
      </c>
      <c r="F30" s="376">
        <f>LOOKUP(E30,91:91,92:92)-LOOKUP(C30,91:91,92:92)+100</f>
        <v>98</v>
      </c>
      <c r="G30" s="380">
        <f>大宗案例!I38</f>
        <v>11235.4</v>
      </c>
      <c r="H30" s="127">
        <f>LOOKUP(G30,91:91,92:92)-LOOKUP(C30,91:91,92:92)+100</f>
        <v>102</v>
      </c>
      <c r="I30" s="380">
        <f>大宗案例!I39</f>
        <v>11235.4</v>
      </c>
      <c r="J30" s="127">
        <f>LOOKUP(I30,91:91,92:92)-LOOKUP(C30,91:91,92:92)+100</f>
        <v>102</v>
      </c>
      <c r="K30" s="562"/>
      <c r="L30" s="921"/>
      <c r="M30" s="924"/>
      <c r="N30" s="924"/>
      <c r="O30" s="925"/>
      <c r="P30" s="3751"/>
      <c r="Q30" s="707" t="str">
        <f t="shared" si="11"/>
        <v>项目建筑规模</v>
      </c>
      <c r="R30" s="708" t="s">
        <v>14</v>
      </c>
      <c r="S30" s="709">
        <f t="shared" si="12"/>
        <v>98</v>
      </c>
      <c r="T30" s="708" t="s">
        <v>14</v>
      </c>
      <c r="U30" s="709">
        <f t="shared" si="13"/>
        <v>102</v>
      </c>
      <c r="V30" s="708" t="s">
        <v>14</v>
      </c>
      <c r="W30" s="709">
        <f t="shared" si="14"/>
        <v>102</v>
      </c>
      <c r="X30" s="710"/>
      <c r="Y30" s="3751"/>
      <c r="Z30" s="711" t="str">
        <f t="shared" si="15"/>
        <v>项目建筑规模</v>
      </c>
      <c r="AA30" s="1353">
        <f t="shared" si="3"/>
        <v>1.0204081632653061</v>
      </c>
      <c r="AB30" s="1353">
        <f t="shared" si="4"/>
        <v>0.98039215686274506</v>
      </c>
      <c r="AC30" s="1353">
        <f t="shared" si="5"/>
        <v>0.98039215686274506</v>
      </c>
    </row>
    <row r="31" spans="1:29" ht="15">
      <c r="A31" s="423"/>
      <c r="B31" s="375" t="s">
        <v>1696</v>
      </c>
      <c r="C31" s="411" t="s">
        <v>3443</v>
      </c>
      <c r="D31" s="386">
        <v>100</v>
      </c>
      <c r="E31" s="411" t="s">
        <v>3443</v>
      </c>
      <c r="F31" s="412">
        <f>SUMIF(93:93,E31,94:94)-SUMIF(93:93,C31,94:94)+100</f>
        <v>100</v>
      </c>
      <c r="G31" s="411" t="s">
        <v>3443</v>
      </c>
      <c r="H31" s="386">
        <f>SUMIF(93:93,G31,94:94)-SUMIF(93:93,C31,94:94)+100</f>
        <v>100</v>
      </c>
      <c r="I31" s="411" t="s">
        <v>3443</v>
      </c>
      <c r="J31" s="386">
        <f>SUMIF(93:93,I31,94:94)-SUMIF(93:93,C31,94:94)+100</f>
        <v>100</v>
      </c>
      <c r="K31" s="561">
        <v>2</v>
      </c>
      <c r="L31" s="923"/>
      <c r="M31" s="914"/>
      <c r="N31" s="914"/>
      <c r="O31" s="922"/>
      <c r="P31" s="3751"/>
      <c r="Q31" s="1352" t="str">
        <f t="shared" si="11"/>
        <v>建筑结构</v>
      </c>
      <c r="R31" s="705" t="s">
        <v>14</v>
      </c>
      <c r="S31" s="706">
        <f t="shared" si="12"/>
        <v>100</v>
      </c>
      <c r="T31" s="705" t="s">
        <v>14</v>
      </c>
      <c r="U31" s="706">
        <f t="shared" si="13"/>
        <v>100</v>
      </c>
      <c r="V31" s="705" t="s">
        <v>14</v>
      </c>
      <c r="W31" s="706">
        <f t="shared" si="14"/>
        <v>100</v>
      </c>
      <c r="X31" s="1355"/>
      <c r="Y31" s="3751"/>
      <c r="Z31" s="1356" t="str">
        <f t="shared" si="15"/>
        <v>建筑结构</v>
      </c>
      <c r="AA31" s="1353">
        <f t="shared" si="3"/>
        <v>1</v>
      </c>
      <c r="AB31" s="1353">
        <f t="shared" si="4"/>
        <v>1</v>
      </c>
      <c r="AC31" s="1353">
        <f t="shared" si="5"/>
        <v>1</v>
      </c>
    </row>
    <row r="32" spans="1:29" ht="15">
      <c r="A32" s="423"/>
      <c r="B32" s="375" t="s">
        <v>1783</v>
      </c>
      <c r="C32" s="411" t="s">
        <v>3554</v>
      </c>
      <c r="D32" s="386">
        <v>100</v>
      </c>
      <c r="E32" s="411" t="s">
        <v>3554</v>
      </c>
      <c r="F32" s="412">
        <f>SUMIF(95:95,E32,96:96)-SUMIF(95:95,C32,96:96)+100</f>
        <v>100</v>
      </c>
      <c r="G32" s="411" t="s">
        <v>3554</v>
      </c>
      <c r="H32" s="386">
        <f>SUMIF(95:95,G32,96:96)-SUMIF(95:95,C32,96:96)+100</f>
        <v>100</v>
      </c>
      <c r="I32" s="411" t="s">
        <v>3554</v>
      </c>
      <c r="J32" s="386">
        <f>SUMIF(95:95,I32,96:96)-SUMIF(95:95,C32,96:96)+100</f>
        <v>100</v>
      </c>
      <c r="K32" s="561">
        <v>2</v>
      </c>
      <c r="L32" s="923"/>
      <c r="M32" s="914"/>
      <c r="N32" s="914"/>
      <c r="O32" s="922"/>
      <c r="P32" s="3751"/>
      <c r="Q32" s="1352" t="str">
        <f t="shared" si="11"/>
        <v>公共部分装修</v>
      </c>
      <c r="R32" s="705" t="s">
        <v>14</v>
      </c>
      <c r="S32" s="706">
        <f t="shared" si="12"/>
        <v>100</v>
      </c>
      <c r="T32" s="705" t="s">
        <v>14</v>
      </c>
      <c r="U32" s="706">
        <f t="shared" si="13"/>
        <v>100</v>
      </c>
      <c r="V32" s="705" t="s">
        <v>14</v>
      </c>
      <c r="W32" s="706">
        <f t="shared" si="14"/>
        <v>100</v>
      </c>
      <c r="X32" s="1355"/>
      <c r="Y32" s="3751"/>
      <c r="Z32" s="1356" t="str">
        <f t="shared" si="15"/>
        <v>公共部分装修</v>
      </c>
      <c r="AA32" s="1353">
        <f t="shared" si="3"/>
        <v>1</v>
      </c>
      <c r="AB32" s="1353">
        <f t="shared" si="4"/>
        <v>1</v>
      </c>
      <c r="AC32" s="1353">
        <f t="shared" si="5"/>
        <v>1</v>
      </c>
    </row>
    <row r="33" spans="1:29" ht="15">
      <c r="A33" s="423"/>
      <c r="B33" s="375" t="s">
        <v>1784</v>
      </c>
      <c r="C33" s="3506">
        <f>'数据-取费表'!N6</f>
        <v>0.91</v>
      </c>
      <c r="D33" s="386">
        <v>100</v>
      </c>
      <c r="E33" s="3506">
        <f>C33</f>
        <v>0.91</v>
      </c>
      <c r="F33" s="412">
        <f>LOOKUP(E33,98:98,99:99)-LOOKUP(C33,98:98,99:99)+100</f>
        <v>100</v>
      </c>
      <c r="G33" s="425">
        <v>0.95</v>
      </c>
      <c r="H33" s="412">
        <f>LOOKUP(G33,98:98,99:99)-LOOKUP(C33,98:98,99:99)+100</f>
        <v>100</v>
      </c>
      <c r="I33" s="425">
        <v>0.95</v>
      </c>
      <c r="J33" s="386">
        <f>LOOKUP(I33,98:98,99:99)-LOOKUP(C33,98:98,99:99)+100</f>
        <v>100</v>
      </c>
      <c r="K33" s="561">
        <v>1</v>
      </c>
      <c r="L33" s="923"/>
      <c r="M33" s="914"/>
      <c r="N33" s="914"/>
      <c r="O33" s="922"/>
      <c r="P33" s="3751"/>
      <c r="Q33" s="1352" t="str">
        <f t="shared" si="11"/>
        <v>成新度</v>
      </c>
      <c r="R33" s="705" t="s">
        <v>14</v>
      </c>
      <c r="S33" s="706">
        <f t="shared" si="12"/>
        <v>100</v>
      </c>
      <c r="T33" s="705" t="s">
        <v>14</v>
      </c>
      <c r="U33" s="706">
        <f t="shared" si="13"/>
        <v>100</v>
      </c>
      <c r="V33" s="705" t="s">
        <v>14</v>
      </c>
      <c r="W33" s="706">
        <f t="shared" si="14"/>
        <v>100</v>
      </c>
      <c r="X33" s="1355"/>
      <c r="Y33" s="3751"/>
      <c r="Z33" s="1356" t="str">
        <f t="shared" si="15"/>
        <v>成新度</v>
      </c>
      <c r="AA33" s="1353">
        <f t="shared" si="3"/>
        <v>1</v>
      </c>
      <c r="AB33" s="1353">
        <f t="shared" si="4"/>
        <v>1</v>
      </c>
      <c r="AC33" s="1353">
        <f t="shared" si="5"/>
        <v>1</v>
      </c>
    </row>
    <row r="34" spans="1:29" s="108" customFormat="1" ht="15">
      <c r="A34" s="424"/>
      <c r="B34" s="375" t="s">
        <v>1817</v>
      </c>
      <c r="C34" s="411" t="s">
        <v>3560</v>
      </c>
      <c r="D34" s="127">
        <v>100</v>
      </c>
      <c r="E34" s="411" t="s">
        <v>3560</v>
      </c>
      <c r="F34" s="412">
        <f>SUMIF(100:100,E34,101:101)-SUMIF(100:100,C34,101:101)+100</f>
        <v>100</v>
      </c>
      <c r="G34" s="411" t="s">
        <v>3560</v>
      </c>
      <c r="H34" s="386">
        <f>SUMIF(100:100,G34,101:101)-SUMIF(100:100,C34,101:101)+100</f>
        <v>100</v>
      </c>
      <c r="I34" s="411" t="s">
        <v>3560</v>
      </c>
      <c r="J34" s="386">
        <f>SUMIF(100:100,I34,101:101)-SUMIF(100:100,C34,101:101)+100</f>
        <v>100</v>
      </c>
      <c r="K34" s="561">
        <v>2</v>
      </c>
      <c r="L34" s="915"/>
      <c r="M34" s="916"/>
      <c r="N34" s="916"/>
      <c r="O34" s="917"/>
      <c r="P34" s="3751"/>
      <c r="Q34" s="1343" t="str">
        <f t="shared" si="11"/>
        <v>物业管理</v>
      </c>
      <c r="R34" s="701" t="s">
        <v>14</v>
      </c>
      <c r="S34" s="702">
        <f t="shared" si="12"/>
        <v>100</v>
      </c>
      <c r="T34" s="701" t="s">
        <v>14</v>
      </c>
      <c r="U34" s="702">
        <f t="shared" si="13"/>
        <v>100</v>
      </c>
      <c r="V34" s="701" t="s">
        <v>14</v>
      </c>
      <c r="W34" s="702">
        <f t="shared" si="14"/>
        <v>100</v>
      </c>
      <c r="X34" s="703"/>
      <c r="Y34" s="3751"/>
      <c r="Z34" s="52" t="str">
        <f t="shared" si="15"/>
        <v>物业管理</v>
      </c>
      <c r="AA34" s="704">
        <f t="shared" si="3"/>
        <v>1</v>
      </c>
      <c r="AB34" s="704">
        <f t="shared" si="4"/>
        <v>1</v>
      </c>
      <c r="AC34" s="704">
        <f t="shared" si="5"/>
        <v>1</v>
      </c>
    </row>
    <row r="35" spans="1:29" ht="15">
      <c r="A35" s="423"/>
      <c r="B35" s="375" t="s">
        <v>1785</v>
      </c>
      <c r="C35" s="411" t="s">
        <v>3563</v>
      </c>
      <c r="D35" s="386">
        <v>100</v>
      </c>
      <c r="E35" s="411" t="s">
        <v>3563</v>
      </c>
      <c r="F35" s="412">
        <f>SUMIF(102:102,E35,103:103)-SUMIF(102:102,C35,103:103)+100</f>
        <v>100</v>
      </c>
      <c r="G35" s="411" t="s">
        <v>3563</v>
      </c>
      <c r="H35" s="386">
        <f>SUMIF(102:102,G35,103:103)-SUMIF(102:102,C35,103:103)+100</f>
        <v>100</v>
      </c>
      <c r="I35" s="411" t="s">
        <v>3563</v>
      </c>
      <c r="J35" s="386">
        <f>SUMIF(102:102,I35,103:103)-SUMIF(102:102,C35,103:103)+100</f>
        <v>100</v>
      </c>
      <c r="K35" s="561">
        <v>1</v>
      </c>
      <c r="L35" s="923"/>
      <c r="M35" s="914"/>
      <c r="N35" s="914"/>
      <c r="O35" s="922"/>
      <c r="P35" s="3751" t="s">
        <v>1694</v>
      </c>
      <c r="Q35" s="1352" t="str">
        <f t="shared" si="11"/>
        <v>市政基础设施</v>
      </c>
      <c r="R35" s="705" t="s">
        <v>14</v>
      </c>
      <c r="S35" s="706">
        <f t="shared" si="12"/>
        <v>100</v>
      </c>
      <c r="T35" s="705" t="s">
        <v>14</v>
      </c>
      <c r="U35" s="706">
        <f t="shared" si="13"/>
        <v>100</v>
      </c>
      <c r="V35" s="705" t="s">
        <v>14</v>
      </c>
      <c r="W35" s="706">
        <f t="shared" si="14"/>
        <v>100</v>
      </c>
      <c r="X35" s="1355"/>
      <c r="Y35" s="3751" t="s">
        <v>1694</v>
      </c>
      <c r="Z35" s="1356" t="str">
        <f t="shared" si="15"/>
        <v>市政基础设施</v>
      </c>
      <c r="AA35" s="1353">
        <f t="shared" si="3"/>
        <v>1</v>
      </c>
      <c r="AB35" s="1353">
        <f t="shared" si="4"/>
        <v>1</v>
      </c>
      <c r="AC35" s="1353">
        <f t="shared" si="5"/>
        <v>1</v>
      </c>
    </row>
    <row r="36" spans="1:29" ht="15">
      <c r="A36" s="423"/>
      <c r="B36" s="375" t="s">
        <v>1790</v>
      </c>
      <c r="C36" s="411" t="s">
        <v>3556</v>
      </c>
      <c r="D36" s="386">
        <v>100</v>
      </c>
      <c r="E36" s="411" t="s">
        <v>3556</v>
      </c>
      <c r="F36" s="412">
        <f>SUMIF(104:104,E36,105:105)-SUMIF(104:104,C36,105:105)+100</f>
        <v>100</v>
      </c>
      <c r="G36" s="411" t="s">
        <v>3556</v>
      </c>
      <c r="H36" s="386">
        <f>SUMIF(104:104,G36,105:105)-SUMIF(104:104,C36,105:105)+100</f>
        <v>100</v>
      </c>
      <c r="I36" s="411" t="s">
        <v>3556</v>
      </c>
      <c r="J36" s="386">
        <f>SUMIF(104:104,I36,105:105)-SUMIF(104:104,C36,105:105)+100</f>
        <v>100</v>
      </c>
      <c r="K36" s="561">
        <v>2</v>
      </c>
      <c r="L36" s="923"/>
      <c r="M36" s="914"/>
      <c r="N36" s="914"/>
      <c r="O36" s="922"/>
      <c r="P36" s="3751"/>
      <c r="Q36" s="1352" t="str">
        <f t="shared" si="11"/>
        <v>内部装修</v>
      </c>
      <c r="R36" s="705" t="s">
        <v>14</v>
      </c>
      <c r="S36" s="706">
        <f t="shared" si="12"/>
        <v>100</v>
      </c>
      <c r="T36" s="705" t="s">
        <v>14</v>
      </c>
      <c r="U36" s="706">
        <f t="shared" si="13"/>
        <v>100</v>
      </c>
      <c r="V36" s="705" t="s">
        <v>14</v>
      </c>
      <c r="W36" s="706">
        <f t="shared" si="14"/>
        <v>100</v>
      </c>
      <c r="X36" s="1355"/>
      <c r="Y36" s="3751"/>
      <c r="Z36" s="1356" t="str">
        <f t="shared" si="15"/>
        <v>内部装修</v>
      </c>
      <c r="AA36" s="1353">
        <f t="shared" si="3"/>
        <v>1</v>
      </c>
      <c r="AB36" s="1353">
        <f t="shared" si="4"/>
        <v>1</v>
      </c>
      <c r="AC36" s="1353">
        <f t="shared" si="5"/>
        <v>1</v>
      </c>
    </row>
    <row r="37" spans="1:29" ht="15.75" thickBot="1">
      <c r="A37" s="423"/>
      <c r="B37" s="375" t="s">
        <v>1826</v>
      </c>
      <c r="C37" s="565" t="s">
        <v>3448</v>
      </c>
      <c r="D37" s="386">
        <v>100</v>
      </c>
      <c r="E37" s="565" t="s">
        <v>3448</v>
      </c>
      <c r="F37" s="412">
        <f>SUMIF(106:106,E37,107:107)-SUMIF(106:106,C37,107:107)+100</f>
        <v>100</v>
      </c>
      <c r="G37" s="565" t="s">
        <v>3448</v>
      </c>
      <c r="H37" s="386">
        <f>SUMIF(106:106,G37,107:107)-SUMIF(106:106,C37,107:107)+100</f>
        <v>100</v>
      </c>
      <c r="I37" s="565" t="s">
        <v>3448</v>
      </c>
      <c r="J37" s="386">
        <f>SUMIF(106:106,I37,107:107)-SUMIF(106:106,C37,107:107)+100</f>
        <v>100</v>
      </c>
      <c r="K37" s="561">
        <v>2</v>
      </c>
      <c r="L37" s="923"/>
      <c r="M37" s="914"/>
      <c r="N37" s="914"/>
      <c r="O37" s="922"/>
      <c r="P37" s="3751"/>
      <c r="Q37" s="1352" t="str">
        <f t="shared" si="11"/>
        <v>内部装修状况</v>
      </c>
      <c r="R37" s="705" t="s">
        <v>14</v>
      </c>
      <c r="S37" s="706">
        <f t="shared" si="12"/>
        <v>100</v>
      </c>
      <c r="T37" s="705" t="s">
        <v>14</v>
      </c>
      <c r="U37" s="706">
        <f t="shared" si="13"/>
        <v>100</v>
      </c>
      <c r="V37" s="705" t="s">
        <v>14</v>
      </c>
      <c r="W37" s="706">
        <f t="shared" si="14"/>
        <v>100</v>
      </c>
      <c r="X37" s="1355"/>
      <c r="Y37" s="3751"/>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1"/>
      <c r="Q38" s="707">
        <f t="shared" si="11"/>
        <v>111</v>
      </c>
      <c r="R38" s="708" t="s">
        <v>14</v>
      </c>
      <c r="S38" s="709">
        <f t="shared" si="12"/>
        <v>100</v>
      </c>
      <c r="T38" s="708" t="s">
        <v>14</v>
      </c>
      <c r="U38" s="709">
        <f t="shared" si="13"/>
        <v>100</v>
      </c>
      <c r="V38" s="708" t="s">
        <v>14</v>
      </c>
      <c r="W38" s="709">
        <f t="shared" si="14"/>
        <v>100</v>
      </c>
      <c r="X38" s="710"/>
      <c r="Y38" s="3751"/>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1"/>
      <c r="Q39" s="1352">
        <f t="shared" si="11"/>
        <v>111</v>
      </c>
      <c r="R39" s="705" t="s">
        <v>14</v>
      </c>
      <c r="S39" s="706">
        <f t="shared" si="12"/>
        <v>100</v>
      </c>
      <c r="T39" s="705" t="s">
        <v>14</v>
      </c>
      <c r="U39" s="706">
        <f t="shared" si="13"/>
        <v>100</v>
      </c>
      <c r="V39" s="705" t="s">
        <v>14</v>
      </c>
      <c r="W39" s="706">
        <f t="shared" si="14"/>
        <v>100</v>
      </c>
      <c r="X39" s="1355"/>
      <c r="Y39" s="3751"/>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2"/>
      <c r="Q40" s="1352">
        <f t="shared" si="11"/>
        <v>111</v>
      </c>
      <c r="R40" s="705" t="s">
        <v>14</v>
      </c>
      <c r="S40" s="706">
        <f t="shared" si="12"/>
        <v>100</v>
      </c>
      <c r="T40" s="705" t="s">
        <v>14</v>
      </c>
      <c r="U40" s="706">
        <f t="shared" si="13"/>
        <v>100</v>
      </c>
      <c r="V40" s="705" t="s">
        <v>14</v>
      </c>
      <c r="W40" s="706">
        <f t="shared" si="14"/>
        <v>100</v>
      </c>
      <c r="X40" s="1355"/>
      <c r="Y40" s="3752"/>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大宗案例!N38</f>
        <v>38000</v>
      </c>
      <c r="H41" s="1159"/>
      <c r="I41" s="1156">
        <f>大宗案例!N39</f>
        <v>38301</v>
      </c>
      <c r="J41" s="1159"/>
      <c r="K41" s="714"/>
      <c r="L41" s="926"/>
      <c r="M41" s="927"/>
      <c r="N41" s="914"/>
      <c r="O41" s="927"/>
      <c r="P41" s="3733" t="str">
        <f>A41</f>
        <v>成交单价（元/平方米）</v>
      </c>
      <c r="Q41" s="3733"/>
      <c r="R41" s="3753">
        <f>E41</f>
        <v>40000</v>
      </c>
      <c r="S41" s="3753"/>
      <c r="T41" s="3753">
        <f>G41</f>
        <v>38000</v>
      </c>
      <c r="U41" s="3753"/>
      <c r="V41" s="3753">
        <f>I41</f>
        <v>38301</v>
      </c>
      <c r="W41" s="3753"/>
      <c r="X41" s="690"/>
      <c r="Y41" s="712"/>
      <c r="Z41" s="690"/>
      <c r="AA41" s="690"/>
      <c r="AB41" s="690"/>
      <c r="AC41" s="690"/>
    </row>
    <row r="42" spans="1:29" ht="15.75" thickBot="1">
      <c r="A42" s="437" t="s">
        <v>1791</v>
      </c>
      <c r="B42" s="438"/>
      <c r="C42" s="1160">
        <f>R43</f>
        <v>40582</v>
      </c>
      <c r="D42" s="2317" t="s">
        <v>2136</v>
      </c>
      <c r="E42" s="1161">
        <f>R42</f>
        <v>41438</v>
      </c>
      <c r="F42" s="2318"/>
      <c r="G42" s="1160">
        <f>T42</f>
        <v>39995</v>
      </c>
      <c r="H42" s="2318"/>
      <c r="I42" s="1161">
        <f>V42</f>
        <v>40312</v>
      </c>
      <c r="J42" s="2318"/>
      <c r="K42" s="2320">
        <f>F42+H42+J42</f>
        <v>0</v>
      </c>
      <c r="L42" s="926"/>
      <c r="M42" s="927"/>
      <c r="N42" s="914"/>
      <c r="O42" s="927"/>
      <c r="P42" s="3733" t="str">
        <f>A42</f>
        <v>比较价值（元/平方米）</v>
      </c>
      <c r="Q42" s="3733"/>
      <c r="R42" s="3753">
        <f>IF(F1="售价",ROUND(PRODUCT(R41,AA7:AA40),0),ROUND(PRODUCT(R41,AA7:AA40),1))</f>
        <v>41438</v>
      </c>
      <c r="S42" s="3753"/>
      <c r="T42" s="3753">
        <f>IF(F1="售价",ROUND(PRODUCT(T41,AB7:AB40),0),ROUND(PRODUCT(T41,AB7:AB40),1))</f>
        <v>39995</v>
      </c>
      <c r="U42" s="3753"/>
      <c r="V42" s="3753">
        <f>IF(F1="售价",ROUND(PRODUCT(V41,AC7:AC40),0),ROUND(PRODUCT(V41,AC7:AC40),1))</f>
        <v>40312</v>
      </c>
      <c r="W42" s="3753"/>
      <c r="X42" s="690"/>
      <c r="Y42" s="690"/>
      <c r="Z42" s="690"/>
      <c r="AA42" s="690"/>
      <c r="AB42" s="690"/>
      <c r="AC42" s="690"/>
    </row>
    <row r="43" spans="1:29" ht="15.75" thickBot="1">
      <c r="A43" s="441" t="s">
        <v>1792</v>
      </c>
      <c r="B43" s="442"/>
      <c r="C43" s="1163">
        <f>R43</f>
        <v>40582</v>
      </c>
      <c r="D43" s="1163"/>
      <c r="E43" s="1163"/>
      <c r="F43" s="1163"/>
      <c r="G43" s="1163"/>
      <c r="H43" s="1163"/>
      <c r="I43" s="1163"/>
      <c r="J43" s="1163"/>
      <c r="K43" s="715"/>
      <c r="L43" s="926"/>
      <c r="M43" s="927"/>
      <c r="N43" s="927"/>
      <c r="O43" s="927"/>
      <c r="P43" s="3754" t="str">
        <f>A43</f>
        <v>估价对象XX用房的比较价值（楼面单价，元/平方米）</v>
      </c>
      <c r="Q43" s="3755"/>
      <c r="R43" s="3756">
        <f>IF(F1="售价",ROUND(IF(D42="简单平均",AVERAGE(R42:V42),R42*F42+T42*H42+V42*J42),0),ROUND(IF(D42="简单平均",AVERAGE(R42:V42),R42*F42+T42*H42+V42*J42),1))</f>
        <v>40582</v>
      </c>
      <c r="S43" s="3756"/>
      <c r="T43" s="3756"/>
      <c r="U43" s="3756"/>
      <c r="V43" s="3756"/>
      <c r="W43" s="3756"/>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3.5949999999999926E-2</v>
      </c>
      <c r="F46" s="449" t="str">
        <f>IF(OR(E46&gt;=0.3,E46&lt;=-0.3),"超过30%","")</f>
        <v/>
      </c>
      <c r="G46" s="448">
        <f>IF(G41&lt;G42,G42/G41-1,G41/G42-1)</f>
        <v>5.2499999999999991E-2</v>
      </c>
      <c r="H46" s="449" t="str">
        <f>IF(OR(G46&gt;=0.3,G46&lt;=-0.3),"超过30%","")</f>
        <v/>
      </c>
      <c r="I46" s="448">
        <f>IF(I41&lt;I42,I42/I41-1,I41/I42-1)</f>
        <v>5.2505156523328322E-2</v>
      </c>
      <c r="J46" s="449" t="str">
        <f>IF(OR(I46&gt;=0.3,I46&lt;=-0.3),"超过30%","")</f>
        <v/>
      </c>
      <c r="K46" s="2724"/>
      <c r="L46" s="889"/>
      <c r="M46" s="927"/>
      <c r="N46" s="927"/>
      <c r="O46" s="927"/>
    </row>
    <row r="47" spans="1:29" ht="13.5" customHeight="1">
      <c r="A47" s="2719"/>
      <c r="B47" s="2719"/>
      <c r="C47" s="446" t="s">
        <v>1794</v>
      </c>
      <c r="D47" s="450"/>
      <c r="E47" s="448">
        <f>IF(E42&lt;G42,G42/E42-1,E42/G42-1)</f>
        <v>3.6079509938742316E-2</v>
      </c>
      <c r="F47" s="449" t="str">
        <f>IF(OR(E47&gt;=0.2,E47&lt;=-0.2),"超过20%","")</f>
        <v/>
      </c>
      <c r="G47" s="448">
        <f>IF(G42&lt;I42,I42/G42-1,G42/I42-1)</f>
        <v>7.9259907488435921E-3</v>
      </c>
      <c r="H47" s="449" t="str">
        <f>IF(OR(G47&gt;=0.2,G47&lt;=-0.2),"超过20%","")</f>
        <v/>
      </c>
      <c r="I47" s="448">
        <f>IF(I42&lt;E42,E42/I42-1,I42/E42-1)</f>
        <v>2.7932129390752181E-2</v>
      </c>
      <c r="J47" s="449" t="str">
        <f>IF(OR(I47&gt;=0.2,I47&lt;=-0.2),"超过20%","")</f>
        <v/>
      </c>
      <c r="K47" s="2724"/>
      <c r="L47" s="889"/>
      <c r="M47" s="927"/>
      <c r="N47" s="927"/>
      <c r="O47" s="927"/>
    </row>
    <row r="48" spans="1:29" s="451" customFormat="1" ht="13.5" customHeight="1">
      <c r="A48" s="2722"/>
      <c r="B48" s="2722"/>
      <c r="C48" s="446" t="s">
        <v>1795</v>
      </c>
      <c r="D48" s="450"/>
      <c r="E48" s="448">
        <f>IF(E41&lt;G41,G41/E41-1,E41/G41-1)</f>
        <v>5.2631578947368363E-2</v>
      </c>
      <c r="F48" s="449" t="str">
        <f>IF(OR(E48&gt;=0.3,E48&lt;=-0.3),"超过30%","")</f>
        <v/>
      </c>
      <c r="G48" s="448">
        <f>IF(G41&lt;I41,I41/G41-1,G41/I41-1)</f>
        <v>7.9210526315789398E-3</v>
      </c>
      <c r="H48" s="449" t="str">
        <f>IF(OR(G48&gt;=0.3,G48&lt;=-0.3),"超过30%","")</f>
        <v/>
      </c>
      <c r="I48" s="448">
        <f>IF(I41&lt;E41,E41/I41-1,I41/E41-1)</f>
        <v>4.435915511344346E-2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3596</v>
      </c>
      <c r="Q52" s="456" t="s">
        <v>3564</v>
      </c>
      <c r="R52" s="457" t="s">
        <v>3565</v>
      </c>
    </row>
    <row r="53" spans="1:18" s="108" customFormat="1" ht="15">
      <c r="A53" s="458"/>
      <c r="B53" s="459"/>
      <c r="C53" s="1183">
        <v>100</v>
      </c>
      <c r="D53" s="461">
        <v>100</v>
      </c>
      <c r="E53" s="461">
        <v>100</v>
      </c>
      <c r="F53" s="461">
        <v>100</v>
      </c>
      <c r="G53" s="461">
        <v>100</v>
      </c>
      <c r="H53" s="461">
        <f>G53-0.5</f>
        <v>99.5</v>
      </c>
      <c r="I53" s="461">
        <f t="shared" ref="I53:O53" si="17">H53</f>
        <v>99.5</v>
      </c>
      <c r="J53" s="461">
        <f t="shared" si="17"/>
        <v>99.5</v>
      </c>
      <c r="K53" s="461">
        <f t="shared" si="17"/>
        <v>99.5</v>
      </c>
      <c r="L53" s="461">
        <f t="shared" si="17"/>
        <v>99.5</v>
      </c>
      <c r="M53" s="462">
        <f t="shared" si="17"/>
        <v>99.5</v>
      </c>
      <c r="N53" s="461">
        <f t="shared" si="17"/>
        <v>99.5</v>
      </c>
      <c r="O53" s="463">
        <f t="shared" si="17"/>
        <v>99.5</v>
      </c>
      <c r="P53" s="453">
        <f>O53-0.5</f>
        <v>99</v>
      </c>
      <c r="Q53" s="3504">
        <f>P53</f>
        <v>99</v>
      </c>
      <c r="R53" s="350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498" t="s">
        <v>3543</v>
      </c>
      <c r="E57" s="3498" t="s">
        <v>3544</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3546</v>
      </c>
      <c r="D59" s="532" t="s">
        <v>3545</v>
      </c>
      <c r="E59" s="532" t="s">
        <v>3547</v>
      </c>
      <c r="F59" s="3499" t="s">
        <v>3548</v>
      </c>
      <c r="G59" s="532"/>
      <c r="H59" s="532"/>
      <c r="I59" s="532"/>
      <c r="J59" s="532"/>
      <c r="K59" s="533"/>
      <c r="L59" s="534"/>
      <c r="M59" s="535"/>
      <c r="N59" s="933"/>
      <c r="O59" s="933"/>
      <c r="P59" s="42"/>
      <c r="Q59" s="453"/>
    </row>
    <row r="60" spans="1:18" ht="15.75" thickBot="1">
      <c r="A60" s="483"/>
      <c r="B60" s="492"/>
      <c r="C60" s="485">
        <v>100</v>
      </c>
      <c r="D60" s="485">
        <f>C60-1</f>
        <v>99</v>
      </c>
      <c r="E60" s="485">
        <f t="shared" ref="E60:F60" si="18">D60-1</f>
        <v>98</v>
      </c>
      <c r="F60" s="485">
        <f t="shared" si="18"/>
        <v>97</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9">D62&amp;"（含）"&amp;"-"&amp;E62</f>
        <v>2（含）-</v>
      </c>
      <c r="E61" s="496" t="str">
        <f t="shared" si="19"/>
        <v>（含）-</v>
      </c>
      <c r="F61" s="496" t="str">
        <f t="shared" si="19"/>
        <v>（含）-</v>
      </c>
      <c r="G61" s="496" t="str">
        <f t="shared" si="19"/>
        <v>（含）-</v>
      </c>
      <c r="H61" s="496" t="str">
        <f t="shared" si="19"/>
        <v>（含）-</v>
      </c>
      <c r="I61" s="496" t="str">
        <f t="shared" si="19"/>
        <v>（含）-</v>
      </c>
      <c r="J61" s="496" t="str">
        <f t="shared" si="19"/>
        <v>（含）-</v>
      </c>
      <c r="K61" s="496" t="str">
        <f t="shared" si="19"/>
        <v>（含）-</v>
      </c>
      <c r="L61" s="496" t="str">
        <f t="shared" si="19"/>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20">C63-$K11</f>
        <v>100</v>
      </c>
      <c r="E63" s="493">
        <f t="shared" si="20"/>
        <v>100</v>
      </c>
      <c r="F63" s="493">
        <f t="shared" si="20"/>
        <v>100</v>
      </c>
      <c r="G63" s="493">
        <f t="shared" si="20"/>
        <v>100</v>
      </c>
      <c r="H63" s="493">
        <f t="shared" si="20"/>
        <v>100</v>
      </c>
      <c r="I63" s="493">
        <f t="shared" si="20"/>
        <v>100</v>
      </c>
      <c r="J63" s="493">
        <f t="shared" si="20"/>
        <v>100</v>
      </c>
      <c r="K63" s="493">
        <f t="shared" si="20"/>
        <v>100</v>
      </c>
      <c r="L63" s="493">
        <f t="shared" si="20"/>
        <v>100</v>
      </c>
      <c r="M63" s="494">
        <f t="shared" si="20"/>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498" t="s">
        <v>3601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1">C89-$K29</f>
        <v>98</v>
      </c>
      <c r="E89" s="493">
        <f t="shared" si="21"/>
        <v>96</v>
      </c>
      <c r="F89" s="493">
        <f t="shared" si="21"/>
        <v>94</v>
      </c>
      <c r="G89" s="493">
        <f t="shared" si="21"/>
        <v>92</v>
      </c>
      <c r="H89" s="493">
        <f t="shared" si="21"/>
        <v>90</v>
      </c>
      <c r="I89" s="493">
        <f t="shared" si="21"/>
        <v>88</v>
      </c>
      <c r="J89" s="493">
        <f t="shared" si="21"/>
        <v>86</v>
      </c>
      <c r="K89" s="493">
        <f t="shared" si="21"/>
        <v>84</v>
      </c>
      <c r="L89" s="493">
        <f t="shared" si="21"/>
        <v>82</v>
      </c>
      <c r="M89" s="494">
        <f t="shared" si="21"/>
        <v>80</v>
      </c>
      <c r="N89" s="934"/>
      <c r="O89" s="934"/>
      <c r="P89" s="42"/>
      <c r="Q89" s="453"/>
    </row>
    <row r="90" spans="1:17" ht="29.25" thickTop="1">
      <c r="A90" s="483"/>
      <c r="B90" s="487" t="s">
        <v>1735</v>
      </c>
      <c r="C90" s="527" t="str">
        <f>C91&amp;"(含)"&amp;"-"&amp;D91</f>
        <v>0(含)-1000</v>
      </c>
      <c r="D90" s="527" t="str">
        <f t="shared" ref="D90:L90" si="22">D91&amp;"(含)"&amp;"-"&amp;E91</f>
        <v>1000(含)-5000</v>
      </c>
      <c r="E90" s="527" t="str">
        <f t="shared" si="22"/>
        <v>5000(含)-10000</v>
      </c>
      <c r="F90" s="527" t="str">
        <f t="shared" si="22"/>
        <v>10000(含)-20000</v>
      </c>
      <c r="G90" s="527" t="str">
        <f t="shared" si="22"/>
        <v>20000(含)-50000</v>
      </c>
      <c r="H90" s="527" t="str">
        <f t="shared" si="22"/>
        <v>50000(含)-100000</v>
      </c>
      <c r="I90" s="527" t="str">
        <f t="shared" si="22"/>
        <v>100000(含)-</v>
      </c>
      <c r="J90" s="527" t="str">
        <f t="shared" si="22"/>
        <v>(含)-</v>
      </c>
      <c r="K90" s="527" t="str">
        <f t="shared" si="22"/>
        <v>(含)-</v>
      </c>
      <c r="L90" s="527" t="str">
        <f t="shared" si="22"/>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502" t="s">
        <v>3553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1738</v>
      </c>
      <c r="C95" s="3502" t="s">
        <v>3555</v>
      </c>
      <c r="D95" s="3502" t="s">
        <v>3557</v>
      </c>
      <c r="E95" s="3502" t="s">
        <v>3558</v>
      </c>
      <c r="F95" s="3503" t="s">
        <v>3559</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1739</v>
      </c>
      <c r="C100" s="3502" t="s">
        <v>3561</v>
      </c>
      <c r="D100" s="3502" t="s">
        <v>3562</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2" t="str">
        <f>项目基本情况!B1</f>
        <v>北京市朝阳区酒仙桥路6号院4号楼1至15层101房地产抵押价值预评估</v>
      </c>
      <c r="C37" s="3532"/>
      <c r="D37" s="3532"/>
      <c r="E37" s="3532"/>
      <c r="F37" s="3532"/>
      <c r="G37" s="3532"/>
      <c r="H37" s="3532"/>
      <c r="I37" s="353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37"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180702</v>
      </c>
      <c r="C2" s="1387" t="s">
        <v>805</v>
      </c>
      <c r="D2" s="1387"/>
      <c r="E2" s="1388"/>
      <c r="F2" s="1389"/>
      <c r="G2" s="2700"/>
      <c r="H2" s="2689"/>
      <c r="I2" s="2689"/>
      <c r="J2" s="2689"/>
      <c r="K2" s="2690"/>
      <c r="L2" s="2689"/>
      <c r="M2" s="2689"/>
    </row>
    <row r="3" spans="1:37" ht="18" customHeight="1" thickBot="1">
      <c r="A3" s="1390" t="s">
        <v>806</v>
      </c>
      <c r="B3" s="1391">
        <f ca="1">IF(ISERROR(B2*10000/F43),0,ROUND(B2*10000/F43,0))</f>
        <v>39493</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10986</v>
      </c>
      <c r="D5" s="1364" t="s">
        <v>693</v>
      </c>
      <c r="E5" s="1071"/>
      <c r="F5" s="1072"/>
      <c r="G5" s="1384"/>
      <c r="H5" s="299">
        <v>1</v>
      </c>
      <c r="I5" s="300" t="s">
        <v>692</v>
      </c>
      <c r="J5" s="1070">
        <f ca="1">J6+J10+J12</f>
        <v>0</v>
      </c>
      <c r="K5" s="1364" t="s">
        <v>693</v>
      </c>
      <c r="L5" s="1071"/>
      <c r="M5" s="1072"/>
    </row>
    <row r="6" spans="1:37" ht="18" customHeight="1">
      <c r="A6" s="1069" t="s">
        <v>398</v>
      </c>
      <c r="B6" s="3759" t="s">
        <v>694</v>
      </c>
      <c r="C6" s="1074">
        <f ca="1">ROUND(F6*F8*F7*(1-F9)/10000,0)</f>
        <v>10972</v>
      </c>
      <c r="D6" s="155" t="s">
        <v>2107</v>
      </c>
      <c r="E6" s="302" t="s">
        <v>696</v>
      </c>
      <c r="F6" s="303">
        <f ca="1">INDIRECT("'数据-取费表'!u"&amp;$G$1)</f>
        <v>7.3</v>
      </c>
      <c r="G6" s="1384"/>
      <c r="H6" s="1069" t="s">
        <v>398</v>
      </c>
      <c r="I6" s="3759" t="s">
        <v>694</v>
      </c>
      <c r="J6" s="301">
        <f ca="1">ROUND(M6*M8*M7*(1-M9)/10000,0)</f>
        <v>0</v>
      </c>
      <c r="K6" s="155" t="s">
        <v>2106</v>
      </c>
      <c r="L6" s="302" t="s">
        <v>696</v>
      </c>
      <c r="M6" s="303">
        <f ca="1">INDIRECT("'数据-取费表'!z"&amp;$G$1)</f>
        <v>0</v>
      </c>
    </row>
    <row r="7" spans="1:37" ht="18" customHeight="1">
      <c r="A7" s="1073"/>
      <c r="B7" s="3760"/>
      <c r="C7" s="1075"/>
      <c r="D7" s="307"/>
      <c r="E7" s="1076" t="s">
        <v>697</v>
      </c>
      <c r="F7" s="303">
        <f ca="1">IF(INDIRECT("'数据-取费表'!ah"&amp;$G$1)="",INDIRECT("'数据-取费表'!k"&amp;$G$1),INDIRECT("'数据-取费表'!ah"&amp;$G$1))</f>
        <v>45755.040000000001</v>
      </c>
      <c r="G7" s="1384"/>
      <c r="H7" s="304"/>
      <c r="I7" s="3760"/>
      <c r="J7" s="306"/>
      <c r="K7" s="307"/>
      <c r="L7" s="302" t="s">
        <v>697</v>
      </c>
      <c r="M7" s="303">
        <f ca="1">F7</f>
        <v>45755.040000000001</v>
      </c>
    </row>
    <row r="8" spans="1:37" ht="18" customHeight="1">
      <c r="A8" s="304"/>
      <c r="B8" s="3760"/>
      <c r="C8" s="306"/>
      <c r="D8" s="307"/>
      <c r="E8" s="302" t="s">
        <v>698</v>
      </c>
      <c r="F8" s="303">
        <f ca="1">INDIRECT("'数据-取费表'!ai"&amp;$G$1)</f>
        <v>365</v>
      </c>
      <c r="G8" s="1384"/>
      <c r="H8" s="304"/>
      <c r="I8" s="3760"/>
      <c r="J8" s="306"/>
      <c r="K8" s="307"/>
      <c r="L8" s="302" t="s">
        <v>698</v>
      </c>
      <c r="M8" s="303">
        <f ca="1">INDIRECT("'数据-取费表'!ai"&amp;$G$1)</f>
        <v>365</v>
      </c>
    </row>
    <row r="9" spans="1:37" ht="18" customHeight="1">
      <c r="A9" s="304"/>
      <c r="B9" s="3761"/>
      <c r="C9" s="306"/>
      <c r="D9" s="307"/>
      <c r="E9" s="302" t="s">
        <v>699</v>
      </c>
      <c r="F9" s="312">
        <f ca="1">INDIRECT("'数据-取费表'!w"&amp;$G$1)</f>
        <v>0.1</v>
      </c>
      <c r="G9" s="1384"/>
      <c r="H9" s="304"/>
      <c r="I9" s="3761"/>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2115</v>
      </c>
      <c r="E10" s="313" t="s">
        <v>701</v>
      </c>
      <c r="F10" s="1116" t="s">
        <v>3442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22878</v>
      </c>
      <c r="D14" s="1345" t="s">
        <v>708</v>
      </c>
      <c r="E14" s="1342"/>
      <c r="F14" s="319"/>
      <c r="G14" s="1384"/>
      <c r="H14" s="982" t="s">
        <v>398</v>
      </c>
      <c r="I14" s="302" t="s">
        <v>709</v>
      </c>
      <c r="J14" s="21">
        <f ca="1">C29</f>
        <v>32568</v>
      </c>
      <c r="K14" s="12"/>
      <c r="L14" s="807"/>
      <c r="M14" s="808"/>
    </row>
    <row r="15" spans="1:37" s="1397" customFormat="1" ht="18" customHeight="1" thickBot="1">
      <c r="A15" s="982" t="s">
        <v>399</v>
      </c>
      <c r="B15" s="302" t="s">
        <v>710</v>
      </c>
      <c r="C15" s="21">
        <f ca="1">ROUND(C14*F15,0)</f>
        <v>686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326</v>
      </c>
      <c r="K16" s="1087" t="s">
        <v>715</v>
      </c>
      <c r="L16" s="1088"/>
      <c r="M16" s="1072"/>
    </row>
    <row r="17" spans="1:37" s="1397" customFormat="1" ht="18" customHeight="1">
      <c r="A17" s="982" t="s">
        <v>681</v>
      </c>
      <c r="B17" s="302" t="s">
        <v>716</v>
      </c>
      <c r="C17" s="21">
        <f ca="1">ROUND(F17*(F43+INDIRECT("'数据-取费表'!S"&amp;$G$1))/10000,0)</f>
        <v>824</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24731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495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325.68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-326</v>
      </c>
      <c r="K25" s="1095" t="s">
        <v>753</v>
      </c>
      <c r="L25" s="1096"/>
      <c r="M25" s="1097"/>
    </row>
    <row r="26" spans="1:37">
      <c r="A26" s="982" t="s">
        <v>397</v>
      </c>
      <c r="B26" s="302" t="s">
        <v>754</v>
      </c>
      <c r="C26" s="21">
        <f ca="1">ROUND((C19+C20)*F26,0)</f>
        <v>3784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32568</v>
      </c>
      <c r="D29" s="1092"/>
      <c r="E29" s="1090"/>
      <c r="F29" s="1093"/>
      <c r="G29" s="1396"/>
      <c r="H29" s="334" t="s">
        <v>396</v>
      </c>
      <c r="I29" s="335" t="s">
        <v>768</v>
      </c>
      <c r="J29" s="336">
        <f ca="1">ROUND(J26/(1+F40)^F41,0)</f>
        <v>0</v>
      </c>
      <c r="K29" s="337" t="s">
        <v>769</v>
      </c>
      <c r="L29" s="338"/>
      <c r="M29" s="339">
        <f ca="1">INDIRECT("'数据-取费表'!k"&amp;$G$1)</f>
        <v>45755.040000000001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2304</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1839.11</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585.16999999999996</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1253.94</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325.68</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ROUND(C13*F37,2)</f>
        <v>29.64</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109.86</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8682</v>
      </c>
      <c r="D39" s="1095" t="s">
        <v>773</v>
      </c>
      <c r="E39" s="1096"/>
      <c r="F39" s="1097"/>
      <c r="G39" s="1384"/>
      <c r="H39" s="2694"/>
      <c r="I39" s="1398"/>
      <c r="J39" s="1399"/>
      <c r="K39" s="2698"/>
      <c r="L39" s="2694"/>
      <c r="M39" s="2694"/>
    </row>
    <row r="40" spans="1:18" ht="18" customHeight="1">
      <c r="A40" s="299" t="s">
        <v>395</v>
      </c>
      <c r="B40" s="300" t="s">
        <v>774</v>
      </c>
      <c r="C40" s="301">
        <f ca="1">ROUND(C39*(1-((1+F42)/(1+F40))^F41)/(F40-F42),0)</f>
        <v>179553</v>
      </c>
      <c r="D40" s="324" t="s">
        <v>758</v>
      </c>
      <c r="E40" s="302" t="s">
        <v>759</v>
      </c>
      <c r="F40" s="312">
        <f ca="1">INDIRECT("'数据-取费表'!I"&amp;$G$1)</f>
        <v>5.5E-2</v>
      </c>
      <c r="G40" s="1384"/>
      <c r="H40" s="1461">
        <f ca="1">C39/C5</f>
        <v>0.7902785363189514</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39242</v>
      </c>
      <c r="D43" s="337" t="s">
        <v>777</v>
      </c>
      <c r="E43" s="338" t="s">
        <v>778</v>
      </c>
      <c r="F43" s="339">
        <f ca="1">INDIRECT("'数据-取费表'!k"&amp;$G$1)</f>
        <v>45755.040000000001</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-184938</v>
      </c>
      <c r="D46" s="1406" t="str">
        <f>C2</f>
        <v>万元</v>
      </c>
      <c r="E46" s="1400"/>
      <c r="F46" s="1400"/>
      <c r="I46" s="1407" t="s">
        <v>810</v>
      </c>
      <c r="J46" s="1408"/>
      <c r="K46" s="1409"/>
      <c r="L46" s="1410">
        <f ca="1">IF(M47="住宅",0,IF(L48&gt;J51,L60,J60))</f>
        <v>1149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179553</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33.58</v>
      </c>
      <c r="O48" s="1418" t="s">
        <v>404</v>
      </c>
      <c r="P48" s="1419" t="s">
        <v>821</v>
      </c>
      <c r="Q48" s="1420">
        <f ca="1">J60</f>
        <v>1149</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32568</v>
      </c>
      <c r="R49" s="1420" t="s">
        <v>818</v>
      </c>
    </row>
    <row r="50" spans="1:18" s="1384" customFormat="1" ht="13.5" thickBot="1">
      <c r="A50" s="976"/>
      <c r="B50" s="979"/>
      <c r="C50" s="1118"/>
      <c r="D50" s="953"/>
      <c r="E50" s="1056" t="s">
        <v>697</v>
      </c>
      <c r="F50" s="1057">
        <f ca="1">F7</f>
        <v>45755.040000000001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122668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57" t="s">
        <v>837</v>
      </c>
      <c r="L53" s="3758"/>
      <c r="O53" s="1418" t="s">
        <v>409</v>
      </c>
      <c r="P53" s="1419" t="s">
        <v>838</v>
      </c>
      <c r="Q53" s="1420">
        <f ca="1">Q47+Q48</f>
        <v>180702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29637</v>
      </c>
      <c r="D56" s="1447"/>
      <c r="E56" s="1448"/>
      <c r="F56" s="1440"/>
      <c r="I56" s="1449" t="s">
        <v>842</v>
      </c>
      <c r="J56" s="1450" t="s">
        <v>3445</v>
      </c>
      <c r="K56" s="1421" t="s">
        <v>843</v>
      </c>
      <c r="L56" s="1424" t="str">
        <f ca="1">IF(L48&lt;J51,"——",L48-J53)</f>
        <v>——</v>
      </c>
      <c r="O56" s="1418" t="s">
        <v>403</v>
      </c>
      <c r="P56" s="1419" t="s">
        <v>817</v>
      </c>
      <c r="Q56" s="1420">
        <f ca="1">C40+J29</f>
        <v>179553</v>
      </c>
      <c r="R56" s="1420" t="s">
        <v>818</v>
      </c>
    </row>
    <row r="57" spans="1:18" s="1384" customFormat="1" ht="24.75" thickBot="1">
      <c r="A57" s="1451"/>
      <c r="B57" s="950" t="s">
        <v>767</v>
      </c>
      <c r="C57" s="238">
        <f ca="1">C29</f>
        <v>32568</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355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179553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325.68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29.64</v>
      </c>
      <c r="D65" s="964" t="s">
        <v>743</v>
      </c>
      <c r="E65" s="950" t="s">
        <v>744</v>
      </c>
      <c r="F65" s="330">
        <f t="shared" ca="1" si="0"/>
        <v>1E-3</v>
      </c>
      <c r="I65" s="1462" t="s">
        <v>867</v>
      </c>
      <c r="J65" s="1463">
        <v>40</v>
      </c>
      <c r="K65" s="1463">
        <v>30</v>
      </c>
      <c r="L65" s="1463">
        <v>50</v>
      </c>
      <c r="M65" s="1465">
        <v>0.02</v>
      </c>
      <c r="O65" s="1418" t="s">
        <v>403</v>
      </c>
      <c r="P65" s="1419" t="s">
        <v>868</v>
      </c>
      <c r="Q65" s="1420">
        <f ca="1">C40+J29</f>
        <v>179553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-355</v>
      </c>
      <c r="D67" s="963" t="s">
        <v>753</v>
      </c>
      <c r="E67" s="968"/>
      <c r="F67" s="969"/>
      <c r="O67" s="1428" t="s">
        <v>405</v>
      </c>
      <c r="P67" s="1419" t="s">
        <v>850</v>
      </c>
      <c r="Q67" s="1466">
        <f ca="1">L51</f>
        <v>122668</v>
      </c>
      <c r="R67" s="1420" t="s">
        <v>870</v>
      </c>
    </row>
    <row r="68" spans="1:18" s="1384" customFormat="1" ht="16.5" thickBot="1">
      <c r="A68" s="947" t="s">
        <v>395</v>
      </c>
      <c r="B68" s="948" t="s">
        <v>774</v>
      </c>
      <c r="C68" s="301">
        <f ca="1">ROUND(C67*(1-((1+F70)/(1+F68))^F69)/(F68-F70),0)</f>
        <v>-5385</v>
      </c>
      <c r="D68" s="965" t="s">
        <v>758</v>
      </c>
      <c r="E68" s="950" t="s">
        <v>759</v>
      </c>
      <c r="F68" s="312">
        <f ca="1">F40</f>
        <v>5.5E-2</v>
      </c>
      <c r="O68" s="1428" t="s">
        <v>406</v>
      </c>
      <c r="P68" s="1467" t="s">
        <v>871</v>
      </c>
      <c r="Q68" s="1420">
        <f ca="1">ROUND(Q69-Q70*Q71,0)</f>
        <v>6607</v>
      </c>
      <c r="R68" s="1420" t="s">
        <v>414</v>
      </c>
    </row>
    <row r="69" spans="1:18" s="1384" customFormat="1" ht="13.5" thickBot="1">
      <c r="A69" s="951"/>
      <c r="B69" s="952"/>
      <c r="C69" s="306"/>
      <c r="D69" s="970" t="s">
        <v>762</v>
      </c>
      <c r="E69" s="950" t="s">
        <v>763</v>
      </c>
      <c r="F69" s="333">
        <f ca="1">F41</f>
        <v>33.58</v>
      </c>
      <c r="O69" s="1428" t="s">
        <v>411</v>
      </c>
      <c r="P69" s="1467" t="s">
        <v>872</v>
      </c>
      <c r="Q69" s="1420">
        <f ca="1">C39</f>
        <v>8682</v>
      </c>
      <c r="R69" s="1420" t="s">
        <v>818</v>
      </c>
    </row>
    <row r="70" spans="1:18" s="1384" customFormat="1" ht="13.5" thickBot="1">
      <c r="A70" s="954"/>
      <c r="B70" s="955"/>
      <c r="C70" s="310"/>
      <c r="D70" s="966"/>
      <c r="E70" s="950" t="s">
        <v>766</v>
      </c>
      <c r="F70" s="1054"/>
      <c r="O70" s="1428" t="s">
        <v>412</v>
      </c>
      <c r="P70" s="1467" t="s">
        <v>873</v>
      </c>
      <c r="Q70" s="1420">
        <f ca="1">C13</f>
        <v>29637</v>
      </c>
      <c r="R70" s="1420" t="s">
        <v>818</v>
      </c>
    </row>
    <row r="71" spans="1:18" s="1384" customFormat="1" ht="13.5" thickBot="1">
      <c r="A71" s="971" t="s">
        <v>396</v>
      </c>
      <c r="B71" s="972" t="s">
        <v>776</v>
      </c>
      <c r="C71" s="336">
        <f ca="1">ROUND(C68*10000/F71,0)</f>
        <v>-1177</v>
      </c>
      <c r="D71" s="973" t="s">
        <v>777</v>
      </c>
      <c r="E71" s="974" t="s">
        <v>778</v>
      </c>
      <c r="F71" s="339">
        <f ca="1">F43</f>
        <v>45755.040000000001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2075</v>
      </c>
      <c r="D75" s="1384"/>
      <c r="E75" s="1384"/>
      <c r="F75" s="1384"/>
      <c r="K75" s="1402"/>
      <c r="L75" s="1384"/>
      <c r="O75" s="1418" t="s">
        <v>409</v>
      </c>
      <c r="P75" s="1419" t="s">
        <v>838</v>
      </c>
      <c r="Q75" s="1420">
        <f ca="1">Q65+Q66</f>
        <v>179553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0.76100000000000001</v>
      </c>
    </row>
    <row r="80" spans="1:18">
      <c r="B80" s="340" t="s">
        <v>800</v>
      </c>
      <c r="C80" s="274">
        <f ca="1">ROUND(C75/C39,3)</f>
        <v>0.23899999999999999</v>
      </c>
    </row>
    <row r="81" spans="2:3">
      <c r="B81" s="270" t="s">
        <v>801</v>
      </c>
      <c r="C81" s="238"/>
    </row>
    <row r="82" spans="2:3">
      <c r="B82" s="273" t="s">
        <v>802</v>
      </c>
      <c r="C82" s="275">
        <f ca="1">1-C83</f>
        <v>0.83499999999999996</v>
      </c>
    </row>
    <row r="83" spans="2:3">
      <c r="B83" s="273" t="s">
        <v>803</v>
      </c>
      <c r="C83" s="274">
        <f ca="1">ROUND(C13/C40,3)</f>
        <v>0.16500000000000001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82667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18067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38886</v>
      </c>
      <c r="D5" s="211" t="s">
        <v>1467</v>
      </c>
      <c r="E5" s="212" t="s">
        <v>1468</v>
      </c>
      <c r="F5" s="212" t="s">
        <v>1469</v>
      </c>
      <c r="G5" s="213"/>
    </row>
    <row r="6" spans="1:9" s="214" customFormat="1" ht="13.5" customHeight="1">
      <c r="A6" s="778" t="s">
        <v>1470</v>
      </c>
      <c r="B6" s="215" t="s">
        <v>1471</v>
      </c>
      <c r="C6" s="216">
        <f>基准地价修正!E33</f>
        <v>36847</v>
      </c>
      <c r="D6" s="217"/>
      <c r="E6" s="218"/>
      <c r="F6" s="218"/>
      <c r="G6" s="219"/>
    </row>
    <row r="7" spans="1:9" s="214" customFormat="1" ht="13.5" customHeight="1">
      <c r="A7" s="778" t="s">
        <v>1472</v>
      </c>
      <c r="B7" s="215" t="s">
        <v>1473</v>
      </c>
      <c r="C7" s="220">
        <f>ROUND(C6*F7,0)</f>
        <v>1124</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915</v>
      </c>
      <c r="D8" s="222"/>
      <c r="E8" s="220"/>
      <c r="F8" s="221"/>
      <c r="G8" s="1856" t="s">
        <v>3440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915</v>
      </c>
      <c r="D10" s="845">
        <f ca="1">IF(B1="",'数据-汇总表'!E6,IF(INDIRECT("'数据-取费表'!c"&amp;$G$1)="住宅",INDIRECT("'数据-取费表'!s"&amp;$G$1),INDIRECT("'数据-取费表'!k"&amp;$G$1)+INDIRECT("'数据-取费表'!s"&amp;$G$1)))</f>
        <v>45755.040000000001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45755.040000000001</v>
      </c>
      <c r="E19" s="211">
        <f>'数据-取费表'!B31</f>
        <v>180</v>
      </c>
      <c r="F19" s="231"/>
      <c r="G19" s="1856" t="s">
        <v>3441</v>
      </c>
    </row>
    <row r="20" spans="1:7" s="214" customFormat="1" ht="13.5" customHeight="1">
      <c r="A20" s="255" t="s">
        <v>1491</v>
      </c>
      <c r="B20" s="210" t="s">
        <v>1492</v>
      </c>
      <c r="C20" s="232">
        <f ca="1">ROUND((C5+C19)*F20,0)</f>
        <v>778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3327</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3295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32</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5950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5950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53030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24731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22878</v>
      </c>
      <c r="D34" s="217"/>
      <c r="E34" s="220"/>
      <c r="F34" s="257">
        <f ca="1">IF('数据-取费表'!B24=0,1,IF(B1="",'数据-取费表'!N16,INDIRECT("'数据-取费表'!n"&amp;$G$1)))</f>
        <v>1</v>
      </c>
      <c r="G34" s="219" t="s">
        <v>1524</v>
      </c>
    </row>
    <row r="35" spans="1:7" ht="13.5" customHeight="1">
      <c r="A35" s="780" t="s">
        <v>351</v>
      </c>
      <c r="B35" s="215" t="s">
        <v>1525</v>
      </c>
      <c r="C35" s="220">
        <f ca="1">ROUND(C34*F35,0)</f>
        <v>686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824</v>
      </c>
      <c r="D37" s="217">
        <f ca="1">D19</f>
        <v>45755.040000000001</v>
      </c>
      <c r="E37" s="249">
        <f>'数据-取费表'!B35</f>
        <v>180</v>
      </c>
      <c r="F37" s="259"/>
      <c r="G37" s="261" t="s">
        <v>1530</v>
      </c>
    </row>
    <row r="38" spans="1:7" ht="13.5" customHeight="1">
      <c r="A38" s="780" t="s">
        <v>354</v>
      </c>
      <c r="B38" s="215" t="s">
        <v>1531</v>
      </c>
      <c r="C38" s="220">
        <f ca="1">ROUND(C34*F38,0)</f>
        <v>343</v>
      </c>
      <c r="D38" s="220"/>
      <c r="E38" s="220"/>
      <c r="F38" s="259">
        <f>'数据-取费表'!B36</f>
        <v>1.4999999999999999E-2</v>
      </c>
      <c r="G38" s="219" t="s">
        <v>1526</v>
      </c>
    </row>
    <row r="39" spans="1:7" s="214" customFormat="1" ht="13.5" customHeight="1">
      <c r="A39" s="255" t="s">
        <v>1532</v>
      </c>
      <c r="B39" s="210" t="s">
        <v>1533</v>
      </c>
      <c r="C39" s="232">
        <f ca="1">ROUND(C33*F20,0)</f>
        <v>495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1026</v>
      </c>
      <c r="D42" s="238"/>
      <c r="E42" s="238"/>
      <c r="F42" s="239"/>
      <c r="G42" s="3762" t="s">
        <v>1542</v>
      </c>
    </row>
    <row r="43" spans="1:7" ht="13.5" customHeight="1">
      <c r="A43" s="780" t="s">
        <v>347</v>
      </c>
      <c r="B43" s="215" t="s">
        <v>1543</v>
      </c>
      <c r="C43" s="238">
        <f ca="1">ROUND(IF('数据-取费表'!B22&lt;=1,C39*F22*'数据-取费表'!B21/2,C39*(POWER((1+F22),'数据-取费表'!B21/2)-1)),0)</f>
        <v>21</v>
      </c>
      <c r="D43" s="238"/>
      <c r="E43" s="238"/>
      <c r="F43" s="239"/>
      <c r="G43" s="3763"/>
    </row>
    <row r="44" spans="1:7" ht="13.5" customHeight="1">
      <c r="A44" s="780" t="s">
        <v>348</v>
      </c>
      <c r="B44" s="215" t="s">
        <v>1544</v>
      </c>
      <c r="C44" s="238">
        <f ca="1">ROUND(IF('数据-取费表'!B22&lt;=1,C40*F22*'数据-取费表'!B21/2,C40*(POWER((1+F22),'数据-取费表'!B21/2)-1)),4)</f>
        <v>8.0000000000000004E-4</v>
      </c>
      <c r="D44" s="238"/>
      <c r="E44" s="238"/>
      <c r="F44" s="239"/>
      <c r="G44" s="3764"/>
    </row>
    <row r="45" spans="1:7" s="214" customFormat="1" ht="13.5" customHeight="1">
      <c r="A45" s="255" t="s">
        <v>1545</v>
      </c>
      <c r="B45" s="244" t="s">
        <v>1511</v>
      </c>
      <c r="C45" s="245">
        <f ca="1">C46</f>
        <v>3784</v>
      </c>
      <c r="D45" s="235">
        <f ca="1">C47</f>
        <v>3.0000000000000001E-3</v>
      </c>
      <c r="E45" s="236" t="s">
        <v>1537</v>
      </c>
      <c r="F45" s="246">
        <f ca="1">F27</f>
        <v>0.15</v>
      </c>
      <c r="G45" s="247" t="s">
        <v>1546</v>
      </c>
    </row>
    <row r="46" spans="1:7" s="214" customFormat="1" ht="13.5" customHeight="1">
      <c r="A46" s="780" t="s">
        <v>346</v>
      </c>
      <c r="B46" s="248" t="s">
        <v>1547</v>
      </c>
      <c r="C46" s="249">
        <f ca="1">ROUND((C33+C39)*F27,0)</f>
        <v>3784</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32568</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29637</v>
      </c>
      <c r="D51" s="232"/>
      <c r="E51" s="232"/>
      <c r="F51" s="264"/>
      <c r="G51" s="234" t="s">
        <v>1558</v>
      </c>
    </row>
    <row r="52" spans="1:7" s="208" customFormat="1" ht="16.5" thickBot="1">
      <c r="A52" s="265" t="s">
        <v>1559</v>
      </c>
      <c r="B52" s="266"/>
      <c r="C52" s="267">
        <f ca="1">C31+C51</f>
        <v>82667</v>
      </c>
      <c r="D52" s="266"/>
      <c r="E52" s="266"/>
      <c r="F52" s="266"/>
      <c r="G52" s="268"/>
    </row>
    <row r="55" spans="1:7" ht="15">
      <c r="B55" s="270" t="s">
        <v>1560</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32006.7696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6995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9151008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9151008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9151008</v>
      </c>
      <c r="D10" s="845">
        <f ca="1">IF(B1="",'数据-汇总表'!E6,IF(INDIRECT("'数据-取费表'!c"&amp;$G$1)="住宅",INDIRECT("'数据-取费表'!s"&amp;$G$1),INDIRECT("'数据-取费表'!k"&amp;$G$1)+INDIRECT("'数据-取费表'!s"&amp;$G$1)))</f>
        <v>45755.040000000001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8235907</v>
      </c>
      <c r="D19" s="849">
        <f ca="1">D9+D10</f>
        <v>45755.040000000001</v>
      </c>
      <c r="E19" s="211">
        <f>'数据-取费表'!B31</f>
        <v>180</v>
      </c>
      <c r="F19" s="231"/>
      <c r="G19" s="1856"/>
    </row>
    <row r="20" spans="1:7" s="214" customFormat="1" ht="13.5" customHeight="1">
      <c r="A20" s="255" t="s">
        <v>1572</v>
      </c>
      <c r="B20" s="210" t="s">
        <v>1573</v>
      </c>
      <c r="C20" s="232">
        <f ca="1">ROUND((C5+C19)*F20,0)</f>
        <v>347738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1487490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775294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697765</v>
      </c>
      <c r="D24" s="238"/>
      <c r="E24" s="238"/>
      <c r="F24" s="239"/>
      <c r="G24" s="240" t="s">
        <v>1584</v>
      </c>
    </row>
    <row r="25" spans="1:7" s="214" customFormat="1" ht="24">
      <c r="A25" s="780" t="s">
        <v>1474</v>
      </c>
      <c r="B25" s="215" t="s">
        <v>1585</v>
      </c>
      <c r="C25" s="1128">
        <f ca="1">ROUND(IF('数据-取费表'!B22&lt;=1,C20*F22*'数据-取费表'!B22/2,C20*(POWER((1+F22),'数据-取费表'!B22/2)-1)),0)</f>
        <v>14431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2660198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2660198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23710414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247305991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228775200</v>
      </c>
      <c r="D34" s="217"/>
      <c r="E34" s="220"/>
      <c r="F34" s="257"/>
      <c r="G34" s="219"/>
    </row>
    <row r="35" spans="1:7" ht="13.5" customHeight="1">
      <c r="A35" s="780" t="s">
        <v>351</v>
      </c>
      <c r="B35" s="215" t="s">
        <v>1525</v>
      </c>
      <c r="C35" s="220">
        <f ca="1">ROUND(C34*F35,0)</f>
        <v>6863256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8235907</v>
      </c>
      <c r="D37" s="217">
        <f ca="1">D19</f>
        <v>45755.040000000001</v>
      </c>
      <c r="E37" s="249">
        <f>'数据-取费表'!B35</f>
        <v>180</v>
      </c>
      <c r="F37" s="259"/>
      <c r="G37" s="261"/>
    </row>
    <row r="38" spans="1:7" ht="13.5" customHeight="1">
      <c r="A38" s="780" t="s">
        <v>354</v>
      </c>
      <c r="B38" s="215" t="s">
        <v>1531</v>
      </c>
      <c r="C38" s="220">
        <f ca="1">ROUND(C34*F38,0)</f>
        <v>3431628</v>
      </c>
      <c r="D38" s="220"/>
      <c r="E38" s="220"/>
      <c r="F38" s="259">
        <f>'数据-取费表'!B36</f>
        <v>1.4999999999999999E-2</v>
      </c>
      <c r="G38" s="219" t="s">
        <v>1526</v>
      </c>
    </row>
    <row r="39" spans="1:7" s="214" customFormat="1" ht="13.5" customHeight="1">
      <c r="A39" s="255" t="s">
        <v>1532</v>
      </c>
      <c r="B39" s="210" t="s">
        <v>1533</v>
      </c>
      <c r="C39" s="232">
        <f ca="1">ROUND(C33*F20,0)</f>
        <v>4946120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10468463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10263199</v>
      </c>
      <c r="D42" s="238"/>
      <c r="E42" s="238"/>
      <c r="F42" s="239"/>
      <c r="G42" s="3762" t="s">
        <v>1589</v>
      </c>
    </row>
    <row r="43" spans="1:7" ht="13.5" customHeight="1">
      <c r="A43" s="780" t="s">
        <v>347</v>
      </c>
      <c r="B43" s="215" t="s">
        <v>1543</v>
      </c>
      <c r="C43" s="238">
        <f ca="1">ROUND(IF('数据-取费表'!B22&lt;=1,C39*F22*'数据-取费表'!B20/2,C39*(POWER((1+F22),'数据-取费表'!B20/2)-1)),0)</f>
        <v>205264</v>
      </c>
      <c r="D43" s="238"/>
      <c r="E43" s="238"/>
      <c r="F43" s="239"/>
      <c r="G43" s="3763"/>
    </row>
    <row r="44" spans="1:7" ht="13.5" customHeight="1">
      <c r="A44" s="780" t="s">
        <v>348</v>
      </c>
      <c r="B44" s="215" t="s">
        <v>1544</v>
      </c>
      <c r="C44" s="238">
        <f ca="1">ROUND(IF('数据-取费表'!B22&lt;=1,C40*F22*'数据-取费表'!B20/2,C40*(POWER((1+F22),'数据-取费表'!B20/2)-1)),4)</f>
        <v>8.0000000000000004E-4</v>
      </c>
      <c r="D44" s="238"/>
      <c r="E44" s="238"/>
      <c r="F44" s="239"/>
      <c r="G44" s="3764"/>
    </row>
    <row r="45" spans="1:7" s="214" customFormat="1" ht="13.5" customHeight="1">
      <c r="A45" s="255" t="s">
        <v>1545</v>
      </c>
      <c r="B45" s="244" t="s">
        <v>1511</v>
      </c>
      <c r="C45" s="245">
        <f ca="1">C46</f>
        <v>37837817</v>
      </c>
      <c r="D45" s="235">
        <f ca="1">C47</f>
        <v>3.0000000000000001E-3</v>
      </c>
      <c r="E45" s="236" t="s">
        <v>1537</v>
      </c>
      <c r="F45" s="246">
        <f ca="1">F27</f>
        <v>0.15</v>
      </c>
      <c r="G45" s="247" t="s">
        <v>1546</v>
      </c>
    </row>
    <row r="46" spans="1:7" s="214" customFormat="1" ht="13.5" customHeight="1">
      <c r="A46" s="780" t="s">
        <v>346</v>
      </c>
      <c r="B46" s="248" t="s">
        <v>1547</v>
      </c>
      <c r="C46" s="249">
        <f ca="1">ROUND((C33+C39)*F27,0)</f>
        <v>37837817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325667343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296357282</v>
      </c>
      <c r="D51" s="232"/>
      <c r="E51" s="232"/>
      <c r="F51" s="264"/>
      <c r="G51" s="234" t="s">
        <v>1558</v>
      </c>
    </row>
    <row r="52" spans="1:7" s="208" customFormat="1" ht="16.5" thickBot="1">
      <c r="A52" s="265" t="s">
        <v>1559</v>
      </c>
      <c r="B52" s="266"/>
      <c r="C52" s="267">
        <f ca="1">C31+C51</f>
        <v>320067696</v>
      </c>
      <c r="D52" s="266"/>
      <c r="E52" s="266"/>
      <c r="F52" s="266"/>
      <c r="G52" s="268"/>
    </row>
    <row r="55" spans="1:7" ht="15">
      <c r="B55" s="270" t="s">
        <v>1560</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45755.040000000001</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45755.040000000001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915</v>
      </c>
      <c r="D20" s="846">
        <f ca="1">IF(C1="",'数据-汇总表'!E6,IF(INDIRECT("'数据-取费表'!c"&amp;$K$1)="住宅",INDIRECT("'数据-取费表'!s"&amp;$K$1),INDIRECT("'数据-取费表'!k"&amp;$K$1)+INDIRECT("'数据-取费表'!s"&amp;$K$1)))</f>
        <v>45755.040000000001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K35" sqref="K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45755.040000000001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36847</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8053</v>
      </c>
      <c r="C3" s="1999" t="s">
        <v>1939</v>
      </c>
      <c r="D3" s="2000" t="s">
        <v>1940</v>
      </c>
      <c r="E3" s="3414" t="s">
        <v>3430</v>
      </c>
      <c r="F3" s="2004" t="s">
        <v>3431</v>
      </c>
      <c r="G3" s="752">
        <f>IF(F3="宗地容积率",'数据-汇总表'!I4,IF(F3="估价对象容积率",'数据-汇总表'!I6,'数据-汇总表'!I7))</f>
        <v>4.2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4.2</v>
      </c>
      <c r="AA7" s="1216"/>
      <c r="AB7" s="1216"/>
      <c r="AC7" s="1217"/>
      <c r="AD7" s="1218"/>
      <c r="AE7" s="1218"/>
      <c r="AF7" s="1218"/>
      <c r="AG7" s="1218"/>
      <c r="AH7" s="1218"/>
      <c r="AI7" s="1218"/>
      <c r="AJ7" s="1219"/>
    </row>
    <row r="8" spans="1:36" ht="25.5">
      <c r="A8" s="3293"/>
      <c r="B8" s="170" t="s">
        <v>1955</v>
      </c>
      <c r="C8" s="2026" t="s">
        <v>3432</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69" t="s">
        <v>1958</v>
      </c>
      <c r="X8" s="377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71"/>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7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76" t="s">
        <v>3245</v>
      </c>
      <c r="B20" s="167" t="s">
        <v>1992</v>
      </c>
      <c r="C20" s="3319">
        <f>ROUND(IF(F21="与级别开发程度一致",0,(G21-E21)/C21),0)</f>
        <v>-45</v>
      </c>
      <c r="D20" s="3335" t="s">
        <v>1996</v>
      </c>
      <c r="E20" s="3336"/>
      <c r="F20" s="3782" t="s">
        <v>1993</v>
      </c>
      <c r="G20" s="3783"/>
      <c r="H20" s="3320" t="s">
        <v>3433</v>
      </c>
      <c r="I20" s="3320" t="s">
        <v>3434</v>
      </c>
      <c r="J20" s="3321" t="s">
        <v>3435</v>
      </c>
      <c r="K20" s="2047" t="s">
        <v>3436</v>
      </c>
      <c r="L20" s="2047" t="s">
        <v>3437</v>
      </c>
      <c r="M20" s="2047" t="s">
        <v>3438</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77"/>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0.86819999999999997</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0.86819999999999997</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0.86819999999999997</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36847</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8053</v>
      </c>
      <c r="D33" s="2098">
        <f>'数据-汇总表'!E3</f>
        <v>45755.040000000001</v>
      </c>
      <c r="E33" s="773">
        <f>ROUND(C33*D33/10000,0)</f>
        <v>36847</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1208</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1"/>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t="str">
        <f>估价对象房地状况!G15</f>
        <v>较好</v>
      </c>
      <c r="C83" s="2044" t="s">
        <v>3448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2051</v>
      </c>
      <c r="B84" s="2134" t="str">
        <f>估价对象房地状况!G16</f>
        <v>较好</v>
      </c>
      <c r="C84" s="2044" t="s">
        <v>3448</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3448</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3449</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2057</v>
      </c>
      <c r="B87" s="1326" t="str">
        <f>估价对象房地状况!G19</f>
        <v>较好</v>
      </c>
      <c r="C87" s="2044" t="s">
        <v>3448</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2058</v>
      </c>
      <c r="B88" s="1326" t="str">
        <f>估价对象房地状况!G20</f>
        <v>七通</v>
      </c>
      <c r="C88" s="2044" t="s">
        <v>3450</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3448</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2070</v>
      </c>
      <c r="B90" s="2143" t="str">
        <f>估价对象房地状况!G18</f>
        <v>较好</v>
      </c>
      <c r="C90" s="2044" t="s">
        <v>3448</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8" t="s">
        <v>3285</v>
      </c>
      <c r="B103" s="3778"/>
      <c r="C103" s="3778"/>
      <c r="D103" s="3778"/>
      <c r="E103" s="3778"/>
      <c r="F103" s="3778"/>
      <c r="G103" s="3778"/>
      <c r="H103" s="3778"/>
      <c r="I103" s="3778"/>
      <c r="J103" s="3778"/>
      <c r="K103" s="3384"/>
      <c r="L103" s="3384"/>
      <c r="M103" s="3384"/>
      <c r="N103" s="3384"/>
    </row>
    <row r="104" spans="1:14">
      <c r="A104" s="3779" t="s">
        <v>3286</v>
      </c>
      <c r="B104" s="3779" t="s">
        <v>3287</v>
      </c>
      <c r="C104" s="3385" t="s">
        <v>3288</v>
      </c>
      <c r="D104" s="3386"/>
      <c r="E104" s="3386"/>
      <c r="F104" s="3386"/>
      <c r="G104" s="3386"/>
      <c r="H104" s="3386"/>
      <c r="I104" s="3386"/>
      <c r="J104" s="3387"/>
      <c r="K104" s="3388"/>
      <c r="L104" s="3388"/>
      <c r="M104" s="3388"/>
      <c r="N104" s="3388"/>
    </row>
    <row r="105" spans="1:14">
      <c r="A105" s="3779"/>
      <c r="B105" s="3779"/>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65"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6"/>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7"/>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8" t="s">
        <v>3302</v>
      </c>
      <c r="B113" s="3768"/>
      <c r="C113" s="3768"/>
      <c r="D113" s="3768"/>
      <c r="E113" s="3768"/>
      <c r="F113" s="3768"/>
      <c r="G113" s="3768"/>
      <c r="H113" s="3768"/>
      <c r="I113" s="3768"/>
      <c r="J113" s="376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4.2</v>
      </c>
      <c r="C116" s="3394" t="s">
        <v>3304</v>
      </c>
      <c r="D116" s="3395">
        <f>SUMPRODUCT((A118:A122=F116)*(B117:M117=H116)*B118:M122)</f>
        <v>0.69</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0.9506</v>
      </c>
      <c r="C118" s="3382">
        <f>B118</f>
        <v>0.9506</v>
      </c>
      <c r="D118" s="3382">
        <f>ROUND(0.949-0.014*B116,4)</f>
        <v>0.89019999999999999</v>
      </c>
      <c r="E118" s="3382">
        <f>D118</f>
        <v>0.89019999999999999</v>
      </c>
      <c r="F118" s="3382">
        <f>E118</f>
        <v>0.89019999999999999</v>
      </c>
      <c r="G118" s="3382">
        <f>F118</f>
        <v>0.89019999999999999</v>
      </c>
      <c r="H118" s="3382">
        <f>G118</f>
        <v>0.89019999999999999</v>
      </c>
      <c r="I118" s="3382">
        <f>ROUND(0.8486-0.018*B116,4)</f>
        <v>0.77300000000000002</v>
      </c>
      <c r="J118" s="3382">
        <f t="shared" ref="J118:M122" si="35">I118</f>
        <v>0.77300000000000002</v>
      </c>
      <c r="K118" s="3382">
        <f t="shared" si="35"/>
        <v>0.77300000000000002</v>
      </c>
      <c r="L118" s="3382">
        <f t="shared" si="35"/>
        <v>0.77300000000000002</v>
      </c>
      <c r="M118" s="3405">
        <f t="shared" si="35"/>
        <v>0.77300000000000002</v>
      </c>
      <c r="N118" s="3392"/>
    </row>
    <row r="119" spans="1:14">
      <c r="A119" s="3404" t="s">
        <v>3320</v>
      </c>
      <c r="B119" s="3382">
        <f>ROUND(0.993-0.0112*B116,4)</f>
        <v>0.94599999999999995</v>
      </c>
      <c r="C119" s="3382">
        <f>B119</f>
        <v>0.94599999999999995</v>
      </c>
      <c r="D119" s="3382">
        <f>ROUND(0.9415-0.0142*B116,4)</f>
        <v>0.88190000000000002</v>
      </c>
      <c r="E119" s="3382">
        <f t="shared" ref="E119:H120" si="36">D119</f>
        <v>0.88190000000000002</v>
      </c>
      <c r="F119" s="3382">
        <f t="shared" si="36"/>
        <v>0.88190000000000002</v>
      </c>
      <c r="G119" s="3382">
        <f t="shared" si="36"/>
        <v>0.88190000000000002</v>
      </c>
      <c r="H119" s="3382">
        <f t="shared" si="36"/>
        <v>0.88190000000000002</v>
      </c>
      <c r="I119" s="3382">
        <f>ROUND(0.838-0.0182*B116,4)</f>
        <v>0.76160000000000005</v>
      </c>
      <c r="J119" s="3382">
        <f t="shared" si="35"/>
        <v>0.76160000000000005</v>
      </c>
      <c r="K119" s="3382">
        <f t="shared" si="35"/>
        <v>0.76160000000000005</v>
      </c>
      <c r="L119" s="3382">
        <f t="shared" si="35"/>
        <v>0.76160000000000005</v>
      </c>
      <c r="M119" s="3405">
        <f t="shared" si="35"/>
        <v>0.76160000000000005</v>
      </c>
      <c r="N119" s="3392"/>
    </row>
    <row r="120" spans="1:14">
      <c r="A120" s="3404" t="s">
        <v>3321</v>
      </c>
      <c r="B120" s="3382">
        <f>ROUND(0.9448-0.0115*B116,4)</f>
        <v>0.89649999999999996</v>
      </c>
      <c r="C120" s="3382">
        <f>B120</f>
        <v>0.89649999999999996</v>
      </c>
      <c r="D120" s="3382">
        <f>ROUND(0.937-0.0145*B116,4)</f>
        <v>0.87609999999999999</v>
      </c>
      <c r="E120" s="3382">
        <f t="shared" si="36"/>
        <v>0.87609999999999999</v>
      </c>
      <c r="F120" s="3382">
        <f t="shared" si="36"/>
        <v>0.87609999999999999</v>
      </c>
      <c r="G120" s="3382">
        <f t="shared" si="36"/>
        <v>0.87609999999999999</v>
      </c>
      <c r="H120" s="3382">
        <f t="shared" si="36"/>
        <v>0.87609999999999999</v>
      </c>
      <c r="I120" s="3382">
        <f>ROUND(0.7965-0.0185*B116,4)</f>
        <v>0.71879999999999999</v>
      </c>
      <c r="J120" s="3382">
        <f t="shared" si="35"/>
        <v>0.71879999999999999</v>
      </c>
      <c r="K120" s="3382">
        <f t="shared" si="35"/>
        <v>0.71879999999999999</v>
      </c>
      <c r="L120" s="3382">
        <f t="shared" si="35"/>
        <v>0.71879999999999999</v>
      </c>
      <c r="M120" s="3405">
        <f t="shared" si="35"/>
        <v>0.71879999999999999</v>
      </c>
      <c r="N120" s="3392"/>
    </row>
    <row r="121" spans="1:14" ht="13.5" thickBot="1">
      <c r="A121" s="3406" t="s">
        <v>3322</v>
      </c>
      <c r="B121" s="3407">
        <f>ROUND(0.7836-0.012*B116,4)</f>
        <v>0.73319999999999996</v>
      </c>
      <c r="C121" s="3407">
        <f>B121</f>
        <v>0.73319999999999996</v>
      </c>
      <c r="D121" s="3407">
        <f>ROUND(0.753-0.015*B116,4)</f>
        <v>0.69</v>
      </c>
      <c r="E121" s="3407">
        <f>D121</f>
        <v>0.69</v>
      </c>
      <c r="F121" s="3407">
        <f>E121</f>
        <v>0.69</v>
      </c>
      <c r="G121" s="3407">
        <f>ROUND(0.6612-0.018*B116,4)</f>
        <v>0.58560000000000001</v>
      </c>
      <c r="H121" s="3407">
        <f>G121</f>
        <v>0.58560000000000001</v>
      </c>
      <c r="I121" s="3407">
        <f>ROUND(0.5905-0.019*B116,4)</f>
        <v>0.51070000000000004</v>
      </c>
      <c r="J121" s="3407">
        <f t="shared" si="35"/>
        <v>0.51070000000000004</v>
      </c>
      <c r="K121" s="3407">
        <f t="shared" si="35"/>
        <v>0.51070000000000004</v>
      </c>
      <c r="L121" s="3407">
        <f t="shared" si="35"/>
        <v>0.51070000000000004</v>
      </c>
      <c r="M121" s="3408">
        <f t="shared" si="35"/>
        <v>0.51070000000000004</v>
      </c>
      <c r="N121" s="3392"/>
    </row>
    <row r="122" spans="1:14">
      <c r="A122" s="3409" t="s">
        <v>2601</v>
      </c>
      <c r="B122" s="3382">
        <f>ROUND(0.9404-0.0106*B116,4)</f>
        <v>0.89590000000000003</v>
      </c>
      <c r="C122" s="3382">
        <f>B122</f>
        <v>0.89590000000000003</v>
      </c>
      <c r="D122" s="3382">
        <f>ROUND(0.8955-0.0135*B116,4)</f>
        <v>0.83879999999999999</v>
      </c>
      <c r="E122" s="3382">
        <f t="shared" ref="E122:H122" si="37">D122</f>
        <v>0.83879999999999999</v>
      </c>
      <c r="F122" s="3382">
        <f t="shared" si="37"/>
        <v>0.83879999999999999</v>
      </c>
      <c r="G122" s="3382">
        <f t="shared" si="37"/>
        <v>0.83879999999999999</v>
      </c>
      <c r="H122" s="3382">
        <f t="shared" si="37"/>
        <v>0.83879999999999999</v>
      </c>
      <c r="I122" s="3382">
        <f>ROUND(0.7632-0.0166*B116,4)</f>
        <v>0.69350000000000001</v>
      </c>
      <c r="J122" s="3382">
        <f t="shared" si="35"/>
        <v>0.69350000000000001</v>
      </c>
      <c r="K122" s="3382">
        <f t="shared" si="35"/>
        <v>0.69350000000000001</v>
      </c>
      <c r="L122" s="3382">
        <f t="shared" si="35"/>
        <v>0.69350000000000001</v>
      </c>
      <c r="M122" s="3405">
        <f t="shared" si="35"/>
        <v>0.69350000000000001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9" priority="6" stopIfTrue="1" operator="notEqual">
      <formula>"——"</formula>
    </cfRule>
  </conditionalFormatting>
  <conditionalFormatting sqref="F61">
    <cfRule type="cellIs" dxfId="158" priority="5" stopIfTrue="1" operator="notEqual">
      <formula>"——"</formula>
    </cfRule>
  </conditionalFormatting>
  <conditionalFormatting sqref="F72">
    <cfRule type="cellIs" dxfId="157" priority="4" stopIfTrue="1" operator="notEqual">
      <formula>"——"</formula>
    </cfRule>
  </conditionalFormatting>
  <conditionalFormatting sqref="F83">
    <cfRule type="cellIs" dxfId="156" priority="3" stopIfTrue="1" operator="notEqual">
      <formula>"——"</formula>
    </cfRule>
  </conditionalFormatting>
  <conditionalFormatting sqref="H50:H58 H61:H69 H72:H80 H83:H91">
    <cfRule type="cellIs" dxfId="155" priority="2" operator="notEqual">
      <formula>"——"</formula>
    </cfRule>
  </conditionalFormatting>
  <conditionalFormatting sqref="H93:H101">
    <cfRule type="cellIs" dxfId="15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9" t="s">
        <v>694</v>
      </c>
      <c r="C6" s="1074">
        <f ca="1">ROUND(F6*F8*F7*(1-F9),0)</f>
        <v>0</v>
      </c>
      <c r="D6" s="155" t="s">
        <v>2104</v>
      </c>
      <c r="E6" s="302" t="s">
        <v>696</v>
      </c>
      <c r="F6" s="303">
        <f ca="1">INDIRECT("'数据-取费表'!u"&amp;$G$1)</f>
        <v>0</v>
      </c>
      <c r="G6" s="1384"/>
      <c r="H6" s="1069" t="s">
        <v>398</v>
      </c>
      <c r="I6" s="3759" t="s">
        <v>694</v>
      </c>
      <c r="J6" s="301">
        <f ca="1">ROUND(M6*M8*M7*(1-M9),0)</f>
        <v>0</v>
      </c>
      <c r="K6" s="1376" t="s">
        <v>2105</v>
      </c>
      <c r="L6" s="302" t="s">
        <v>696</v>
      </c>
      <c r="M6" s="303">
        <f ca="1">INDIRECT("'数据-取费表'!z"&amp;$G$1)</f>
        <v>0</v>
      </c>
    </row>
    <row r="7" spans="1:37" ht="18" customHeight="1">
      <c r="A7" s="1073"/>
      <c r="B7" s="3760"/>
      <c r="C7" s="1075"/>
      <c r="D7" s="307"/>
      <c r="E7" s="1076" t="s">
        <v>697</v>
      </c>
      <c r="F7" s="303">
        <f ca="1">IF(INDIRECT("'数据-取费表'!ah"&amp;$G$1)="",INDIRECT("'数据-取费表'!k"&amp;$G$1),INDIRECT("'数据-取费表'!ah"&amp;$G$1))</f>
        <v>0</v>
      </c>
      <c r="G7" s="1384"/>
      <c r="H7" s="304"/>
      <c r="I7" s="3760"/>
      <c r="J7" s="306"/>
      <c r="K7" s="307"/>
      <c r="L7" s="302" t="s">
        <v>697</v>
      </c>
      <c r="M7" s="303">
        <f ca="1">F7</f>
        <v>0</v>
      </c>
    </row>
    <row r="8" spans="1:37" ht="18" customHeight="1">
      <c r="A8" s="304"/>
      <c r="B8" s="3760"/>
      <c r="C8" s="306"/>
      <c r="D8" s="307"/>
      <c r="E8" s="302" t="s">
        <v>698</v>
      </c>
      <c r="F8" s="303">
        <f ca="1">INDIRECT("'数据-取费表'!ai"&amp;$G$1)</f>
        <v>0</v>
      </c>
      <c r="G8" s="1384"/>
      <c r="H8" s="304"/>
      <c r="I8" s="3760"/>
      <c r="J8" s="306"/>
      <c r="K8" s="307"/>
      <c r="L8" s="302" t="s">
        <v>698</v>
      </c>
      <c r="M8" s="303">
        <f ca="1">INDIRECT("'数据-取费表'!ai"&amp;$G$1)</f>
        <v>0</v>
      </c>
    </row>
    <row r="9" spans="1:37" ht="18" customHeight="1">
      <c r="A9" s="304"/>
      <c r="B9" s="3761"/>
      <c r="C9" s="306"/>
      <c r="D9" s="307"/>
      <c r="E9" s="302" t="s">
        <v>699</v>
      </c>
      <c r="F9" s="312">
        <f ca="1">INDIRECT("'数据-取费表'!w"&amp;$G$1)</f>
        <v>0</v>
      </c>
      <c r="G9" s="1384"/>
      <c r="H9" s="304"/>
      <c r="I9" s="37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57" t="s">
        <v>837</v>
      </c>
      <c r="L53" s="37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784" t="s">
        <v>2306</v>
      </c>
      <c r="K2" s="3785"/>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786" t="s">
        <v>2316</v>
      </c>
      <c r="K3" s="3787"/>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786" t="s">
        <v>2318</v>
      </c>
      <c r="K4" s="3787"/>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788" t="s">
        <v>2322</v>
      </c>
      <c r="B6" s="3789"/>
      <c r="C6" s="3790"/>
      <c r="D6" s="2864"/>
      <c r="E6" s="2865"/>
      <c r="F6" s="2866"/>
      <c r="G6" s="2867"/>
      <c r="H6" s="2842"/>
      <c r="I6" s="2843"/>
      <c r="J6" s="3791">
        <v>1</v>
      </c>
      <c r="K6" s="3792"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791"/>
      <c r="K7" s="3793"/>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795" t="s">
        <v>2336</v>
      </c>
      <c r="C8" s="3796"/>
      <c r="D8" s="2883" t="s">
        <v>2337</v>
      </c>
      <c r="E8" s="2884" t="s">
        <v>2338</v>
      </c>
      <c r="F8" s="2885" t="s">
        <v>2339</v>
      </c>
      <c r="G8" s="2886"/>
      <c r="H8" s="2842"/>
      <c r="I8" s="2843"/>
      <c r="J8" s="3791"/>
      <c r="K8" s="3793"/>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795" t="s">
        <v>2342</v>
      </c>
      <c r="C9" s="3796"/>
      <c r="D9" s="2883">
        <f>ROUND(D6*E9,0)</f>
        <v>0</v>
      </c>
      <c r="E9" s="2887"/>
      <c r="F9" s="2888" t="s">
        <v>2343</v>
      </c>
      <c r="G9" s="2867"/>
      <c r="H9" s="2842"/>
      <c r="I9" s="2843"/>
      <c r="J9" s="3791"/>
      <c r="K9" s="3793"/>
      <c r="L9" s="2877" t="s">
        <v>2344</v>
      </c>
      <c r="M9" s="2878"/>
      <c r="N9" s="2854"/>
      <c r="O9" s="2879"/>
      <c r="P9" s="2879"/>
      <c r="Q9" s="2880">
        <v>365</v>
      </c>
      <c r="R9" s="2881">
        <f t="shared" si="0"/>
        <v>0</v>
      </c>
      <c r="S9" s="2835"/>
      <c r="T9" s="2835"/>
      <c r="U9" s="2835"/>
      <c r="V9" s="2843"/>
    </row>
    <row r="10" spans="1:22" s="2847" customFormat="1" ht="13.15" customHeight="1">
      <c r="A10" s="2882">
        <v>2</v>
      </c>
      <c r="B10" s="3795" t="s">
        <v>2345</v>
      </c>
      <c r="C10" s="3796"/>
      <c r="D10" s="2883">
        <f>ROUND(D6*E10,0)</f>
        <v>0</v>
      </c>
      <c r="E10" s="2887"/>
      <c r="F10" s="2888" t="s">
        <v>2346</v>
      </c>
      <c r="G10" s="2867"/>
      <c r="H10" s="2842"/>
      <c r="I10" s="2843"/>
      <c r="J10" s="3791"/>
      <c r="K10" s="3793"/>
      <c r="L10" s="2877" t="s">
        <v>2347</v>
      </c>
      <c r="M10" s="2878"/>
      <c r="N10" s="2854"/>
      <c r="O10" s="2879"/>
      <c r="P10" s="2879"/>
      <c r="Q10" s="2880">
        <v>365</v>
      </c>
      <c r="R10" s="2881">
        <f t="shared" si="0"/>
        <v>0</v>
      </c>
      <c r="S10" s="2835"/>
      <c r="T10" s="2835"/>
      <c r="U10" s="2835"/>
      <c r="V10" s="2843"/>
    </row>
    <row r="11" spans="1:22" s="2847" customFormat="1" ht="13.15" customHeight="1">
      <c r="A11" s="2882">
        <v>3</v>
      </c>
      <c r="B11" s="3795" t="s">
        <v>2348</v>
      </c>
      <c r="C11" s="3796"/>
      <c r="D11" s="2883">
        <f>D12+D14+D15+D16</f>
        <v>0</v>
      </c>
      <c r="E11" s="2889" t="e">
        <f>D11/D6</f>
        <v>#DIV/0!</v>
      </c>
      <c r="F11" s="2885"/>
      <c r="G11" s="2886"/>
      <c r="H11" s="2842"/>
      <c r="I11" s="2843"/>
      <c r="J11" s="3791"/>
      <c r="K11" s="3793"/>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797" t="s">
        <v>2351</v>
      </c>
      <c r="C12" s="3798"/>
      <c r="D12" s="2891">
        <f>ROUND(D13*1.2%*(1-30%),0)</f>
        <v>0</v>
      </c>
      <c r="E12" s="2892">
        <v>1.2E-2</v>
      </c>
      <c r="F12" s="2885" t="s">
        <v>2352</v>
      </c>
      <c r="G12" s="2886"/>
      <c r="H12" s="2842"/>
      <c r="I12" s="2843"/>
      <c r="J12" s="3791"/>
      <c r="K12" s="3793"/>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791"/>
      <c r="K13" s="3793"/>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797" t="s">
        <v>2357</v>
      </c>
      <c r="C14" s="3798"/>
      <c r="D14" s="2891">
        <f>ROUND(E14*B5/10000,0)</f>
        <v>0</v>
      </c>
      <c r="E14" s="2880"/>
      <c r="F14" s="2885" t="s">
        <v>2358</v>
      </c>
      <c r="G14" s="2886"/>
      <c r="H14" s="2842"/>
      <c r="I14" s="2843"/>
      <c r="J14" s="3791"/>
      <c r="K14" s="3794"/>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797" t="s">
        <v>2361</v>
      </c>
      <c r="C15" s="3798"/>
      <c r="D15" s="2891">
        <f>ROUND(D6*E15,0)</f>
        <v>0</v>
      </c>
      <c r="E15" s="2892">
        <v>5.5E-2</v>
      </c>
      <c r="F15" s="2885" t="s">
        <v>2362</v>
      </c>
      <c r="G15" s="2867"/>
      <c r="H15" s="2842"/>
      <c r="I15" s="2843"/>
      <c r="J15" s="3791">
        <v>2</v>
      </c>
      <c r="K15" s="3792"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797" t="s">
        <v>2370</v>
      </c>
      <c r="C16" s="3798"/>
      <c r="D16" s="2902">
        <f>D6*E16</f>
        <v>0</v>
      </c>
      <c r="E16" s="2903"/>
      <c r="F16" s="2888" t="s">
        <v>2371</v>
      </c>
      <c r="G16" s="2867"/>
      <c r="H16" s="2842"/>
      <c r="I16" s="2843"/>
      <c r="J16" s="3791"/>
      <c r="K16" s="3793"/>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799" t="s">
        <v>2373</v>
      </c>
      <c r="C17" s="3800"/>
      <c r="D17" s="2905">
        <f>ROUND(D6*E17,0)</f>
        <v>0</v>
      </c>
      <c r="E17" s="2906"/>
      <c r="F17" s="2907" t="s">
        <v>2374</v>
      </c>
      <c r="G17" s="2867"/>
      <c r="H17" s="2842"/>
      <c r="I17" s="2843"/>
      <c r="J17" s="3791"/>
      <c r="K17" s="3793"/>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791"/>
      <c r="K18" s="3793"/>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791"/>
      <c r="K19" s="3794"/>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91">
        <v>3</v>
      </c>
      <c r="K20" s="3792"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791"/>
      <c r="K21" s="3793"/>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791"/>
      <c r="K22" s="3793"/>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791"/>
      <c r="K23" s="3793"/>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791"/>
      <c r="K24" s="3794"/>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801">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80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784" t="s">
        <v>2306</v>
      </c>
      <c r="K32" s="3785"/>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786" t="s">
        <v>2316</v>
      </c>
      <c r="K33" s="3787"/>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786" t="s">
        <v>2318</v>
      </c>
      <c r="K34" s="378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791">
        <v>1</v>
      </c>
      <c r="K36" s="3792"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791"/>
      <c r="K37" s="3793"/>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91"/>
      <c r="K38" s="3793"/>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791"/>
      <c r="K39" s="3793"/>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791"/>
      <c r="K40" s="3794"/>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801">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80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180702</v>
      </c>
      <c r="C2" s="1872" t="s">
        <v>1649</v>
      </c>
      <c r="D2" s="1873" t="s">
        <v>1650</v>
      </c>
      <c r="E2" s="2601">
        <f>SUM(E6:E13)</f>
        <v>45755.040000000001</v>
      </c>
      <c r="F2" s="2701"/>
      <c r="G2" s="1489"/>
      <c r="H2" s="1489"/>
      <c r="I2" s="1489"/>
      <c r="J2" s="1489"/>
      <c r="K2" s="1489"/>
      <c r="L2" s="1489"/>
      <c r="M2" s="1489"/>
      <c r="N2" s="1489"/>
      <c r="O2" s="1489"/>
      <c r="P2" s="1489"/>
      <c r="Q2" s="1489"/>
      <c r="R2" s="1489"/>
      <c r="S2" s="1489"/>
    </row>
    <row r="3" spans="1:22" ht="15.75">
      <c r="A3" s="1870" t="s">
        <v>686</v>
      </c>
      <c r="B3" s="2595">
        <f ca="1">ROUND(B2*10000/E2,0)</f>
        <v>39493</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803" t="s">
        <v>1652</v>
      </c>
      <c r="C5" s="3804"/>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180702</v>
      </c>
      <c r="C6" s="1872" t="s">
        <v>1649</v>
      </c>
      <c r="D6" s="2703"/>
      <c r="E6" s="2600">
        <f>IF(OR(A6=0,F6="否"),0,'数据-取费表'!K6+'数据-取费表'!S6)</f>
        <v>45755.040000000001</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45755.040000000001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734" t="s">
        <v>1665</v>
      </c>
      <c r="D4" s="3735"/>
      <c r="E4" s="3736" t="s">
        <v>1666</v>
      </c>
      <c r="F4" s="3737"/>
      <c r="G4" s="3734" t="s">
        <v>1667</v>
      </c>
      <c r="H4" s="3735"/>
      <c r="I4" s="3734" t="s">
        <v>1668</v>
      </c>
      <c r="J4" s="3735"/>
      <c r="K4" s="1889" t="s">
        <v>1669</v>
      </c>
      <c r="L4" s="2709"/>
      <c r="M4" s="2710"/>
      <c r="N4" s="2710"/>
      <c r="O4" s="2710"/>
      <c r="P4" s="3738" t="s">
        <v>1670</v>
      </c>
      <c r="Q4" s="3739"/>
      <c r="R4" s="3720" t="s">
        <v>1666</v>
      </c>
      <c r="S4" s="3721"/>
      <c r="T4" s="3720" t="s">
        <v>1667</v>
      </c>
      <c r="U4" s="3721"/>
      <c r="V4" s="3746" t="s">
        <v>1668</v>
      </c>
      <c r="W4" s="3746"/>
      <c r="X4" s="1355"/>
      <c r="Y4" s="3720" t="s">
        <v>1670</v>
      </c>
      <c r="Z4" s="3721"/>
      <c r="AA4" s="3715" t="s">
        <v>1666</v>
      </c>
      <c r="AB4" s="3715" t="s">
        <v>1667</v>
      </c>
      <c r="AC4" s="3715" t="s">
        <v>1668</v>
      </c>
    </row>
    <row r="5" spans="1:29" ht="15">
      <c r="A5" s="358"/>
      <c r="B5" s="359"/>
      <c r="C5" s="3730" t="s">
        <v>1671</v>
      </c>
      <c r="D5" s="3727"/>
      <c r="E5" s="3724" t="s">
        <v>1672</v>
      </c>
      <c r="F5" s="3725"/>
      <c r="G5" s="3730" t="s">
        <v>1673</v>
      </c>
      <c r="H5" s="3727"/>
      <c r="I5" s="3730" t="s">
        <v>1674</v>
      </c>
      <c r="J5" s="3727"/>
      <c r="K5" s="1890"/>
      <c r="L5" s="2709"/>
      <c r="M5" s="2710"/>
      <c r="N5" s="2710"/>
      <c r="O5" s="2710"/>
      <c r="P5" s="3740"/>
      <c r="Q5" s="3741"/>
      <c r="R5" s="3722"/>
      <c r="S5" s="3723"/>
      <c r="T5" s="3722"/>
      <c r="U5" s="3723"/>
      <c r="V5" s="3746"/>
      <c r="W5" s="3746"/>
      <c r="X5" s="1355"/>
      <c r="Y5" s="3722"/>
      <c r="Z5" s="3723"/>
      <c r="AA5" s="3716"/>
      <c r="AB5" s="3716"/>
      <c r="AC5" s="3716"/>
    </row>
    <row r="6" spans="1:29" ht="15.75" thickBot="1">
      <c r="A6" s="360"/>
      <c r="B6" s="361"/>
      <c r="C6" s="3728" t="s">
        <v>1675</v>
      </c>
      <c r="D6" s="3729"/>
      <c r="E6" s="3731" t="s">
        <v>1675</v>
      </c>
      <c r="F6" s="3732"/>
      <c r="G6" s="3728" t="s">
        <v>1675</v>
      </c>
      <c r="H6" s="3729"/>
      <c r="I6" s="3728" t="s">
        <v>1675</v>
      </c>
      <c r="J6" s="3729"/>
      <c r="K6" s="1890" t="s">
        <v>1676</v>
      </c>
      <c r="L6" s="2709"/>
      <c r="M6" s="2710"/>
      <c r="N6" s="2710"/>
      <c r="O6" s="2710"/>
      <c r="P6" s="3742"/>
      <c r="Q6" s="3743"/>
      <c r="R6" s="3722"/>
      <c r="S6" s="3723"/>
      <c r="T6" s="3744"/>
      <c r="U6" s="3745"/>
      <c r="V6" s="3746"/>
      <c r="W6" s="3746"/>
      <c r="X6" s="1355"/>
      <c r="Y6" s="3744"/>
      <c r="Z6" s="3745"/>
      <c r="AA6" s="3717"/>
      <c r="AB6" s="3717"/>
      <c r="AC6" s="3717"/>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18" t="s">
        <v>1678</v>
      </c>
      <c r="Q7" s="3747"/>
      <c r="R7" s="701" t="s">
        <v>20</v>
      </c>
      <c r="S7" s="702">
        <f t="shared" ref="S7:S15" si="0">F7</f>
        <v>0</v>
      </c>
      <c r="T7" s="701" t="s">
        <v>20</v>
      </c>
      <c r="U7" s="702">
        <f t="shared" ref="U7:U15" si="1">H7</f>
        <v>0</v>
      </c>
      <c r="V7" s="701" t="s">
        <v>20</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18" t="s">
        <v>1681</v>
      </c>
      <c r="Q8" s="3719"/>
      <c r="R8" s="701" t="s">
        <v>20</v>
      </c>
      <c r="S8" s="702">
        <f t="shared" si="0"/>
        <v>100</v>
      </c>
      <c r="T8" s="701" t="s">
        <v>20</v>
      </c>
      <c r="U8" s="702">
        <f t="shared" si="1"/>
        <v>100</v>
      </c>
      <c r="V8" s="701" t="s">
        <v>20</v>
      </c>
      <c r="W8" s="702">
        <f t="shared" si="2"/>
        <v>100</v>
      </c>
      <c r="X8" s="703"/>
      <c r="Y8" s="3718" t="s">
        <v>1681</v>
      </c>
      <c r="Z8" s="3719"/>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805" t="s">
        <v>1684</v>
      </c>
      <c r="Q9" s="1343" t="str">
        <f t="shared" ref="Q9:Q15" si="6">B9</f>
        <v>用途</v>
      </c>
      <c r="R9" s="701" t="s">
        <v>14</v>
      </c>
      <c r="S9" s="702">
        <f t="shared" si="0"/>
        <v>100</v>
      </c>
      <c r="T9" s="701" t="s">
        <v>14</v>
      </c>
      <c r="U9" s="702">
        <f t="shared" si="1"/>
        <v>100</v>
      </c>
      <c r="V9" s="701" t="s">
        <v>14</v>
      </c>
      <c r="W9" s="702">
        <f t="shared" si="2"/>
        <v>100</v>
      </c>
      <c r="X9" s="703"/>
      <c r="Y9" s="369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805"/>
      <c r="Q10" s="1343"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805"/>
      <c r="Q11" s="1343" t="str">
        <f t="shared" si="6"/>
        <v>容积率</v>
      </c>
      <c r="R11" s="701" t="s">
        <v>18</v>
      </c>
      <c r="S11" s="702" t="e">
        <f t="shared" si="0"/>
        <v>#N/A</v>
      </c>
      <c r="T11" s="701" t="s">
        <v>18</v>
      </c>
      <c r="U11" s="702" t="e">
        <f t="shared" si="1"/>
        <v>#N/A</v>
      </c>
      <c r="V11" s="701" t="s">
        <v>18</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805"/>
      <c r="Q12" s="1343">
        <f t="shared" si="6"/>
        <v>111</v>
      </c>
      <c r="R12" s="701" t="s">
        <v>18</v>
      </c>
      <c r="S12" s="702">
        <f t="shared" si="0"/>
        <v>100</v>
      </c>
      <c r="T12" s="701" t="s">
        <v>18</v>
      </c>
      <c r="U12" s="702">
        <f t="shared" si="1"/>
        <v>100</v>
      </c>
      <c r="V12" s="701" t="s">
        <v>18</v>
      </c>
      <c r="W12" s="702">
        <f t="shared" si="2"/>
        <v>100</v>
      </c>
      <c r="X12" s="703"/>
      <c r="Y12" s="369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805"/>
      <c r="Q13" s="1343">
        <f t="shared" si="6"/>
        <v>111</v>
      </c>
      <c r="R13" s="701" t="s">
        <v>18</v>
      </c>
      <c r="S13" s="702">
        <f t="shared" si="0"/>
        <v>100</v>
      </c>
      <c r="T13" s="701" t="s">
        <v>18</v>
      </c>
      <c r="U13" s="702">
        <f t="shared" si="1"/>
        <v>100</v>
      </c>
      <c r="V13" s="701" t="s">
        <v>18</v>
      </c>
      <c r="W13" s="702">
        <f t="shared" si="2"/>
        <v>100</v>
      </c>
      <c r="X13" s="703"/>
      <c r="Y13" s="369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805"/>
      <c r="Q14" s="1343">
        <f t="shared" si="6"/>
        <v>111</v>
      </c>
      <c r="R14" s="701" t="s">
        <v>18</v>
      </c>
      <c r="S14" s="702">
        <f t="shared" si="0"/>
        <v>100</v>
      </c>
      <c r="T14" s="701" t="s">
        <v>18</v>
      </c>
      <c r="U14" s="702">
        <f t="shared" si="1"/>
        <v>100</v>
      </c>
      <c r="V14" s="701" t="s">
        <v>18</v>
      </c>
      <c r="W14" s="702">
        <f t="shared" si="2"/>
        <v>100</v>
      </c>
      <c r="X14" s="703"/>
      <c r="Y14" s="3691"/>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09" t="s">
        <v>1689</v>
      </c>
      <c r="Q15" s="1352" t="str">
        <f t="shared" si="6"/>
        <v>居住社区成熟度</v>
      </c>
      <c r="R15" s="705" t="s">
        <v>18</v>
      </c>
      <c r="S15" s="706">
        <f t="shared" si="0"/>
        <v>100</v>
      </c>
      <c r="T15" s="705" t="s">
        <v>18</v>
      </c>
      <c r="U15" s="706">
        <f t="shared" si="1"/>
        <v>100</v>
      </c>
      <c r="V15" s="705" t="s">
        <v>18</v>
      </c>
      <c r="W15" s="706">
        <f t="shared" si="2"/>
        <v>100</v>
      </c>
      <c r="X15" s="1355"/>
      <c r="Y15" s="3748"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810"/>
      <c r="Q16" s="1352"/>
      <c r="R16" s="705"/>
      <c r="S16" s="706"/>
      <c r="T16" s="705"/>
      <c r="U16" s="706"/>
      <c r="V16" s="705"/>
      <c r="W16" s="706"/>
      <c r="X16" s="1355"/>
      <c r="Y16" s="3749"/>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10"/>
      <c r="Q17" s="1352" t="str">
        <f>B17</f>
        <v>交通便捷度</v>
      </c>
      <c r="R17" s="705" t="s">
        <v>18</v>
      </c>
      <c r="S17" s="706">
        <f>F17</f>
        <v>100</v>
      </c>
      <c r="T17" s="705" t="s">
        <v>18</v>
      </c>
      <c r="U17" s="706">
        <f>H17</f>
        <v>100</v>
      </c>
      <c r="V17" s="705" t="s">
        <v>18</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810"/>
      <c r="Q18" s="1352"/>
      <c r="R18" s="705"/>
      <c r="S18" s="706"/>
      <c r="T18" s="705"/>
      <c r="U18" s="706"/>
      <c r="V18" s="705"/>
      <c r="W18" s="706"/>
      <c r="X18" s="1355"/>
      <c r="Y18" s="3749"/>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10"/>
      <c r="Q19" s="1352" t="str">
        <f>B19</f>
        <v>公共配套设施</v>
      </c>
      <c r="R19" s="705" t="s">
        <v>18</v>
      </c>
      <c r="S19" s="706">
        <f>F19</f>
        <v>100</v>
      </c>
      <c r="T19" s="705" t="s">
        <v>18</v>
      </c>
      <c r="U19" s="706">
        <f>H19</f>
        <v>100</v>
      </c>
      <c r="V19" s="705" t="s">
        <v>18</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810"/>
      <c r="Q20" s="1352"/>
      <c r="R20" s="705"/>
      <c r="S20" s="706"/>
      <c r="T20" s="705"/>
      <c r="U20" s="706"/>
      <c r="V20" s="705"/>
      <c r="W20" s="706"/>
      <c r="X20" s="1355"/>
      <c r="Y20" s="3749"/>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10"/>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810"/>
      <c r="Q22" s="1352"/>
      <c r="R22" s="705"/>
      <c r="S22" s="706"/>
      <c r="T22" s="705"/>
      <c r="U22" s="706"/>
      <c r="V22" s="705"/>
      <c r="W22" s="706"/>
      <c r="X22" s="1355"/>
      <c r="Y22" s="3749"/>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10"/>
      <c r="Q23" s="1352" t="str">
        <f>B23</f>
        <v>自然及人文环境</v>
      </c>
      <c r="R23" s="705" t="s">
        <v>18</v>
      </c>
      <c r="S23" s="706">
        <f>F23</f>
        <v>100</v>
      </c>
      <c r="T23" s="705" t="s">
        <v>18</v>
      </c>
      <c r="U23" s="706">
        <f>H23</f>
        <v>100</v>
      </c>
      <c r="V23" s="705" t="s">
        <v>18</v>
      </c>
      <c r="W23" s="706">
        <f>J23</f>
        <v>100</v>
      </c>
      <c r="X23" s="1355"/>
      <c r="Y23" s="37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810"/>
      <c r="Q24" s="1352"/>
      <c r="R24" s="705"/>
      <c r="S24" s="706"/>
      <c r="T24" s="705"/>
      <c r="U24" s="706"/>
      <c r="V24" s="705"/>
      <c r="W24" s="706"/>
      <c r="X24" s="1355"/>
      <c r="Y24" s="3749"/>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8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9"/>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810"/>
      <c r="Q26" s="1352" t="str">
        <f t="shared" si="11"/>
        <v>朝向</v>
      </c>
      <c r="R26" s="705" t="s">
        <v>18</v>
      </c>
      <c r="S26" s="706">
        <f t="shared" si="12"/>
        <v>100</v>
      </c>
      <c r="T26" s="705" t="s">
        <v>18</v>
      </c>
      <c r="U26" s="706">
        <f t="shared" si="13"/>
        <v>100</v>
      </c>
      <c r="V26" s="705" t="s">
        <v>18</v>
      </c>
      <c r="W26" s="706">
        <f t="shared" si="14"/>
        <v>100</v>
      </c>
      <c r="X26" s="1355"/>
      <c r="Y26" s="37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810"/>
      <c r="Q27" s="1343">
        <f t="shared" si="11"/>
        <v>111</v>
      </c>
      <c r="R27" s="701" t="s">
        <v>18</v>
      </c>
      <c r="S27" s="702">
        <f t="shared" si="12"/>
        <v>100</v>
      </c>
      <c r="T27" s="701" t="s">
        <v>18</v>
      </c>
      <c r="U27" s="702">
        <f t="shared" si="13"/>
        <v>100</v>
      </c>
      <c r="V27" s="701" t="s">
        <v>18</v>
      </c>
      <c r="W27" s="702">
        <f t="shared" si="14"/>
        <v>100</v>
      </c>
      <c r="X27" s="703"/>
      <c r="Y27" s="37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810"/>
      <c r="Q28" s="1352">
        <f t="shared" si="11"/>
        <v>111</v>
      </c>
      <c r="R28" s="705" t="s">
        <v>18</v>
      </c>
      <c r="S28" s="706">
        <f t="shared" si="12"/>
        <v>100</v>
      </c>
      <c r="T28" s="705" t="s">
        <v>18</v>
      </c>
      <c r="U28" s="706">
        <f t="shared" si="13"/>
        <v>100</v>
      </c>
      <c r="V28" s="705" t="s">
        <v>18</v>
      </c>
      <c r="W28" s="706">
        <f t="shared" si="14"/>
        <v>100</v>
      </c>
      <c r="X28" s="1355"/>
      <c r="Y28" s="37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810"/>
      <c r="Q29" s="1352">
        <f t="shared" si="11"/>
        <v>111</v>
      </c>
      <c r="R29" s="705" t="s">
        <v>18</v>
      </c>
      <c r="S29" s="706">
        <f t="shared" si="12"/>
        <v>100</v>
      </c>
      <c r="T29" s="705" t="s">
        <v>18</v>
      </c>
      <c r="U29" s="706">
        <f t="shared" si="13"/>
        <v>100</v>
      </c>
      <c r="V29" s="705" t="s">
        <v>18</v>
      </c>
      <c r="W29" s="706">
        <f t="shared" si="14"/>
        <v>100</v>
      </c>
      <c r="X29" s="1355"/>
      <c r="Y29" s="37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810"/>
      <c r="Q30" s="1352">
        <f t="shared" si="11"/>
        <v>111</v>
      </c>
      <c r="R30" s="705" t="s">
        <v>18</v>
      </c>
      <c r="S30" s="706">
        <f t="shared" si="12"/>
        <v>100</v>
      </c>
      <c r="T30" s="705" t="s">
        <v>18</v>
      </c>
      <c r="U30" s="706">
        <f t="shared" si="13"/>
        <v>100</v>
      </c>
      <c r="V30" s="705" t="s">
        <v>18</v>
      </c>
      <c r="W30" s="706">
        <f t="shared" si="14"/>
        <v>100</v>
      </c>
      <c r="X30" s="1355"/>
      <c r="Y30" s="37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810"/>
      <c r="Q31" s="1352">
        <f t="shared" si="11"/>
        <v>111</v>
      </c>
      <c r="R31" s="705" t="s">
        <v>18</v>
      </c>
      <c r="S31" s="706">
        <f t="shared" si="12"/>
        <v>100</v>
      </c>
      <c r="T31" s="705" t="s">
        <v>18</v>
      </c>
      <c r="U31" s="706">
        <f t="shared" si="13"/>
        <v>100</v>
      </c>
      <c r="V31" s="705" t="s">
        <v>18</v>
      </c>
      <c r="W31" s="706">
        <f t="shared" si="14"/>
        <v>100</v>
      </c>
      <c r="X31" s="1355"/>
      <c r="Y31" s="3749"/>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806" t="s">
        <v>1694</v>
      </c>
      <c r="Q32" s="1352" t="str">
        <f t="shared" si="11"/>
        <v>建筑类型</v>
      </c>
      <c r="R32" s="705" t="s">
        <v>18</v>
      </c>
      <c r="S32" s="706">
        <f t="shared" si="12"/>
        <v>100</v>
      </c>
      <c r="T32" s="705" t="s">
        <v>18</v>
      </c>
      <c r="U32" s="706">
        <f t="shared" si="13"/>
        <v>100</v>
      </c>
      <c r="V32" s="705" t="s">
        <v>18</v>
      </c>
      <c r="W32" s="706">
        <f t="shared" si="14"/>
        <v>100</v>
      </c>
      <c r="X32" s="1355"/>
      <c r="Y32" s="3751"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807"/>
      <c r="Q33" s="707" t="str">
        <f t="shared" si="11"/>
        <v>项目建筑规模</v>
      </c>
      <c r="R33" s="708" t="s">
        <v>18</v>
      </c>
      <c r="S33" s="709" t="e">
        <f t="shared" si="12"/>
        <v>#N/A</v>
      </c>
      <c r="T33" s="708" t="s">
        <v>18</v>
      </c>
      <c r="U33" s="709" t="e">
        <f t="shared" si="13"/>
        <v>#N/A</v>
      </c>
      <c r="V33" s="708" t="s">
        <v>18</v>
      </c>
      <c r="W33" s="709" t="e">
        <f t="shared" si="14"/>
        <v>#N/A</v>
      </c>
      <c r="X33" s="710"/>
      <c r="Y33" s="3751"/>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807"/>
      <c r="Q34" s="1352" t="str">
        <f t="shared" si="11"/>
        <v>建筑结构</v>
      </c>
      <c r="R34" s="705" t="s">
        <v>18</v>
      </c>
      <c r="S34" s="706">
        <f t="shared" si="12"/>
        <v>100</v>
      </c>
      <c r="T34" s="705" t="s">
        <v>18</v>
      </c>
      <c r="U34" s="706">
        <f t="shared" si="13"/>
        <v>100</v>
      </c>
      <c r="V34" s="705" t="s">
        <v>18</v>
      </c>
      <c r="W34" s="706">
        <f t="shared" si="14"/>
        <v>100</v>
      </c>
      <c r="X34" s="1355"/>
      <c r="Y34" s="3751"/>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807"/>
      <c r="Q35" s="1352" t="str">
        <f t="shared" si="11"/>
        <v>建筑品质</v>
      </c>
      <c r="R35" s="705" t="s">
        <v>18</v>
      </c>
      <c r="S35" s="706">
        <f t="shared" si="12"/>
        <v>100</v>
      </c>
      <c r="T35" s="705" t="s">
        <v>18</v>
      </c>
      <c r="U35" s="706">
        <f t="shared" si="13"/>
        <v>100</v>
      </c>
      <c r="V35" s="705" t="s">
        <v>18</v>
      </c>
      <c r="W35" s="706">
        <f t="shared" si="14"/>
        <v>100</v>
      </c>
      <c r="X35" s="1355"/>
      <c r="Y35" s="3751"/>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807"/>
      <c r="Q36" s="1352" t="str">
        <f t="shared" si="11"/>
        <v>公共部分装修</v>
      </c>
      <c r="R36" s="705" t="s">
        <v>18</v>
      </c>
      <c r="S36" s="706">
        <f t="shared" si="12"/>
        <v>100</v>
      </c>
      <c r="T36" s="705" t="s">
        <v>18</v>
      </c>
      <c r="U36" s="706">
        <f t="shared" si="13"/>
        <v>100</v>
      </c>
      <c r="V36" s="705" t="s">
        <v>18</v>
      </c>
      <c r="W36" s="706">
        <f t="shared" si="14"/>
        <v>100</v>
      </c>
      <c r="X36" s="1355"/>
      <c r="Y36" s="3751"/>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07"/>
      <c r="Q37" s="1343" t="str">
        <f t="shared" si="11"/>
        <v>成新度</v>
      </c>
      <c r="R37" s="701" t="s">
        <v>18</v>
      </c>
      <c r="S37" s="702" t="e">
        <f t="shared" si="12"/>
        <v>#N/A</v>
      </c>
      <c r="T37" s="701" t="s">
        <v>18</v>
      </c>
      <c r="U37" s="702" t="e">
        <f t="shared" si="13"/>
        <v>#N/A</v>
      </c>
      <c r="V37" s="701" t="s">
        <v>18</v>
      </c>
      <c r="W37" s="702" t="e">
        <f t="shared" si="14"/>
        <v>#N/A</v>
      </c>
      <c r="X37" s="703"/>
      <c r="Y37" s="3751"/>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807" t="s">
        <v>1694</v>
      </c>
      <c r="Q38" s="1352" t="str">
        <f t="shared" si="11"/>
        <v>物业管理</v>
      </c>
      <c r="R38" s="705" t="s">
        <v>18</v>
      </c>
      <c r="S38" s="706">
        <f t="shared" si="12"/>
        <v>100</v>
      </c>
      <c r="T38" s="705" t="s">
        <v>18</v>
      </c>
      <c r="U38" s="706">
        <f t="shared" si="13"/>
        <v>100</v>
      </c>
      <c r="V38" s="705" t="s">
        <v>18</v>
      </c>
      <c r="W38" s="706">
        <f t="shared" si="14"/>
        <v>100</v>
      </c>
      <c r="X38" s="1355"/>
      <c r="Y38" s="3751"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807"/>
      <c r="Q39" s="1352" t="str">
        <f t="shared" si="11"/>
        <v>市政基础设施</v>
      </c>
      <c r="R39" s="705" t="s">
        <v>18</v>
      </c>
      <c r="S39" s="706">
        <f t="shared" si="12"/>
        <v>100</v>
      </c>
      <c r="T39" s="705" t="s">
        <v>18</v>
      </c>
      <c r="U39" s="706">
        <f t="shared" si="13"/>
        <v>100</v>
      </c>
      <c r="V39" s="705" t="s">
        <v>18</v>
      </c>
      <c r="W39" s="706">
        <f t="shared" si="14"/>
        <v>100</v>
      </c>
      <c r="X39" s="1355"/>
      <c r="Y39" s="3751"/>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807"/>
      <c r="Q40" s="1352" t="str">
        <f t="shared" si="11"/>
        <v>房型</v>
      </c>
      <c r="R40" s="705" t="s">
        <v>18</v>
      </c>
      <c r="S40" s="706">
        <f t="shared" si="12"/>
        <v>100</v>
      </c>
      <c r="T40" s="705" t="s">
        <v>18</v>
      </c>
      <c r="U40" s="706">
        <f t="shared" si="13"/>
        <v>100</v>
      </c>
      <c r="V40" s="705" t="s">
        <v>18</v>
      </c>
      <c r="W40" s="706">
        <f t="shared" si="14"/>
        <v>100</v>
      </c>
      <c r="X40" s="1355"/>
      <c r="Y40" s="3751"/>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807"/>
      <c r="Q41" s="707" t="str">
        <f t="shared" si="11"/>
        <v>单套/主力户型建筑面积</v>
      </c>
      <c r="R41" s="708" t="s">
        <v>18</v>
      </c>
      <c r="S41" s="709">
        <f t="shared" si="12"/>
        <v>100</v>
      </c>
      <c r="T41" s="708" t="s">
        <v>18</v>
      </c>
      <c r="U41" s="709">
        <f t="shared" si="13"/>
        <v>100</v>
      </c>
      <c r="V41" s="708" t="s">
        <v>18</v>
      </c>
      <c r="W41" s="709">
        <f t="shared" si="14"/>
        <v>100</v>
      </c>
      <c r="X41" s="710"/>
      <c r="Y41" s="3751"/>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807"/>
      <c r="Q42" s="1352" t="str">
        <f t="shared" si="11"/>
        <v>内部装修</v>
      </c>
      <c r="R42" s="705" t="s">
        <v>18</v>
      </c>
      <c r="S42" s="706">
        <f t="shared" si="12"/>
        <v>100</v>
      </c>
      <c r="T42" s="705" t="s">
        <v>18</v>
      </c>
      <c r="U42" s="706">
        <f t="shared" si="13"/>
        <v>100</v>
      </c>
      <c r="V42" s="705" t="s">
        <v>18</v>
      </c>
      <c r="W42" s="706">
        <f t="shared" si="14"/>
        <v>100</v>
      </c>
      <c r="X42" s="1355"/>
      <c r="Y42" s="3751"/>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807"/>
      <c r="Q43" s="1352" t="str">
        <f t="shared" si="11"/>
        <v>内部装修维护情况</v>
      </c>
      <c r="R43" s="705" t="s">
        <v>18</v>
      </c>
      <c r="S43" s="706">
        <f t="shared" si="12"/>
        <v>100</v>
      </c>
      <c r="T43" s="705" t="s">
        <v>18</v>
      </c>
      <c r="U43" s="706">
        <f t="shared" si="13"/>
        <v>100</v>
      </c>
      <c r="V43" s="705" t="s">
        <v>18</v>
      </c>
      <c r="W43" s="706">
        <f t="shared" si="14"/>
        <v>100</v>
      </c>
      <c r="X43" s="1355"/>
      <c r="Y43" s="375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807"/>
      <c r="Q44" s="1343">
        <f t="shared" si="11"/>
        <v>111</v>
      </c>
      <c r="R44" s="701" t="s">
        <v>18</v>
      </c>
      <c r="S44" s="702">
        <f t="shared" si="12"/>
        <v>100</v>
      </c>
      <c r="T44" s="701" t="s">
        <v>18</v>
      </c>
      <c r="U44" s="702">
        <f t="shared" si="13"/>
        <v>100</v>
      </c>
      <c r="V44" s="701" t="s">
        <v>18</v>
      </c>
      <c r="W44" s="702">
        <f t="shared" si="14"/>
        <v>100</v>
      </c>
      <c r="X44" s="703"/>
      <c r="Y44" s="37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807"/>
      <c r="Q45" s="1352">
        <f t="shared" si="11"/>
        <v>111</v>
      </c>
      <c r="R45" s="705" t="s">
        <v>18</v>
      </c>
      <c r="S45" s="706">
        <f t="shared" si="12"/>
        <v>100</v>
      </c>
      <c r="T45" s="705" t="s">
        <v>18</v>
      </c>
      <c r="U45" s="706">
        <f t="shared" si="13"/>
        <v>100</v>
      </c>
      <c r="V45" s="705" t="s">
        <v>18</v>
      </c>
      <c r="W45" s="706">
        <f t="shared" si="14"/>
        <v>100</v>
      </c>
      <c r="X45" s="1355"/>
      <c r="Y45" s="375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808"/>
      <c r="Q46" s="1352">
        <f t="shared" si="11"/>
        <v>111</v>
      </c>
      <c r="R46" s="705" t="s">
        <v>17</v>
      </c>
      <c r="S46" s="706">
        <f t="shared" si="12"/>
        <v>100</v>
      </c>
      <c r="T46" s="705" t="s">
        <v>17</v>
      </c>
      <c r="U46" s="706">
        <f t="shared" si="13"/>
        <v>100</v>
      </c>
      <c r="V46" s="705" t="s">
        <v>17</v>
      </c>
      <c r="W46" s="706">
        <f t="shared" si="14"/>
        <v>100</v>
      </c>
      <c r="X46" s="1355"/>
      <c r="Y46" s="3752"/>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33" t="str">
        <f>A47</f>
        <v>成交单价（元/平方米）</v>
      </c>
      <c r="Q47" s="3733"/>
      <c r="R47" s="3753">
        <f>E47</f>
        <v>0</v>
      </c>
      <c r="S47" s="3753"/>
      <c r="T47" s="3753">
        <f>G47</f>
        <v>0</v>
      </c>
      <c r="U47" s="3753"/>
      <c r="V47" s="3753">
        <f>I47</f>
        <v>0</v>
      </c>
      <c r="W47" s="3753"/>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33" t="str">
        <f>A48</f>
        <v>比较价值（元/平方米）</v>
      </c>
      <c r="Q48" s="3733"/>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20" t="s">
        <v>1769</v>
      </c>
      <c r="S4" s="3721"/>
      <c r="T4" s="3720" t="s">
        <v>1770</v>
      </c>
      <c r="U4" s="3721"/>
      <c r="V4" s="3746" t="s">
        <v>1771</v>
      </c>
      <c r="W4" s="3746"/>
      <c r="X4" s="1355"/>
      <c r="Y4" s="3720" t="s">
        <v>1773</v>
      </c>
      <c r="Z4" s="3721"/>
      <c r="AA4" s="3715" t="s">
        <v>1769</v>
      </c>
      <c r="AB4" s="3746" t="s">
        <v>1770</v>
      </c>
      <c r="AC4" s="3715" t="s">
        <v>1771</v>
      </c>
    </row>
    <row r="5" spans="1:29" ht="15">
      <c r="A5" s="358"/>
      <c r="B5" s="359"/>
      <c r="C5" s="3730" t="s">
        <v>1671</v>
      </c>
      <c r="D5" s="3727"/>
      <c r="E5" s="3724" t="s">
        <v>1672</v>
      </c>
      <c r="F5" s="3725"/>
      <c r="G5" s="3730" t="s">
        <v>1673</v>
      </c>
      <c r="H5" s="3727"/>
      <c r="I5" s="3730" t="s">
        <v>1674</v>
      </c>
      <c r="J5" s="3727"/>
      <c r="K5" s="559"/>
      <c r="L5" s="2709"/>
      <c r="M5" s="2710"/>
      <c r="N5" s="2710"/>
      <c r="O5" s="2710"/>
      <c r="P5" s="3740"/>
      <c r="Q5" s="3741"/>
      <c r="R5" s="3722"/>
      <c r="S5" s="3723"/>
      <c r="T5" s="3722"/>
      <c r="U5" s="3723"/>
      <c r="V5" s="3746"/>
      <c r="W5" s="3746"/>
      <c r="X5" s="1355"/>
      <c r="Y5" s="3722"/>
      <c r="Z5" s="3723"/>
      <c r="AA5" s="3716"/>
      <c r="AB5" s="3746"/>
      <c r="AC5" s="3716"/>
    </row>
    <row r="6" spans="1:29" ht="15.75" thickBot="1">
      <c r="A6" s="360"/>
      <c r="B6" s="361"/>
      <c r="C6" s="3728" t="s">
        <v>1675</v>
      </c>
      <c r="D6" s="3729"/>
      <c r="E6" s="3731" t="s">
        <v>1675</v>
      </c>
      <c r="F6" s="3732"/>
      <c r="G6" s="3728" t="s">
        <v>1675</v>
      </c>
      <c r="H6" s="3729"/>
      <c r="I6" s="3728" t="s">
        <v>1675</v>
      </c>
      <c r="J6" s="3729"/>
      <c r="K6" s="559" t="s">
        <v>1676</v>
      </c>
      <c r="L6" s="2709"/>
      <c r="M6" s="2710"/>
      <c r="N6" s="2710"/>
      <c r="O6" s="2710"/>
      <c r="P6" s="3742"/>
      <c r="Q6" s="3743"/>
      <c r="R6" s="3722"/>
      <c r="S6" s="3723"/>
      <c r="T6" s="3744"/>
      <c r="U6" s="3745"/>
      <c r="V6" s="3746"/>
      <c r="W6" s="3746"/>
      <c r="X6" s="1355"/>
      <c r="Y6" s="3744"/>
      <c r="Z6" s="3745"/>
      <c r="AA6" s="3717"/>
      <c r="AB6" s="3746"/>
      <c r="AC6" s="3717"/>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18" t="s">
        <v>1678</v>
      </c>
      <c r="Q7" s="3747"/>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18" t="s">
        <v>1681</v>
      </c>
      <c r="Q8" s="3719"/>
      <c r="R8" s="701" t="s">
        <v>14</v>
      </c>
      <c r="S8" s="702">
        <f t="shared" si="0"/>
        <v>100</v>
      </c>
      <c r="T8" s="701" t="s">
        <v>14</v>
      </c>
      <c r="U8" s="702">
        <f t="shared" si="1"/>
        <v>100</v>
      </c>
      <c r="V8" s="701" t="s">
        <v>14</v>
      </c>
      <c r="W8" s="702">
        <f t="shared" si="2"/>
        <v>100</v>
      </c>
      <c r="X8" s="703"/>
      <c r="Y8" s="3718" t="s">
        <v>1681</v>
      </c>
      <c r="Z8" s="3719"/>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805" t="s">
        <v>1684</v>
      </c>
      <c r="Q9" s="1343" t="str">
        <f t="shared" ref="Q9:Q15" si="6">B9</f>
        <v>用途</v>
      </c>
      <c r="R9" s="701" t="s">
        <v>14</v>
      </c>
      <c r="S9" s="702">
        <f t="shared" si="0"/>
        <v>100</v>
      </c>
      <c r="T9" s="701" t="s">
        <v>14</v>
      </c>
      <c r="U9" s="702">
        <f t="shared" si="1"/>
        <v>100</v>
      </c>
      <c r="V9" s="701" t="s">
        <v>14</v>
      </c>
      <c r="W9" s="702">
        <f t="shared" si="2"/>
        <v>100</v>
      </c>
      <c r="X9" s="703"/>
      <c r="Y9" s="369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805"/>
      <c r="Q10" s="1343"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805"/>
      <c r="Q11" s="1343"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805"/>
      <c r="Q12" s="1343">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805"/>
      <c r="Q13" s="1343">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805"/>
      <c r="Q14" s="1343">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09" t="s">
        <v>1689</v>
      </c>
      <c r="Q15" s="1352" t="str">
        <f t="shared" si="6"/>
        <v>商业繁华度</v>
      </c>
      <c r="R15" s="705" t="s">
        <v>14</v>
      </c>
      <c r="S15" s="706">
        <f t="shared" si="0"/>
        <v>100</v>
      </c>
      <c r="T15" s="705" t="s">
        <v>14</v>
      </c>
      <c r="U15" s="706">
        <f t="shared" si="1"/>
        <v>100</v>
      </c>
      <c r="V15" s="705" t="s">
        <v>14</v>
      </c>
      <c r="W15" s="706">
        <f t="shared" si="2"/>
        <v>100</v>
      </c>
      <c r="X15" s="1355"/>
      <c r="Y15" s="3748"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810"/>
      <c r="Q16" s="1352"/>
      <c r="R16" s="705"/>
      <c r="S16" s="706"/>
      <c r="T16" s="705"/>
      <c r="U16" s="706"/>
      <c r="V16" s="705"/>
      <c r="W16" s="706"/>
      <c r="X16" s="1355"/>
      <c r="Y16" s="3749"/>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10"/>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810"/>
      <c r="Q18" s="1352"/>
      <c r="R18" s="705"/>
      <c r="S18" s="706"/>
      <c r="T18" s="705"/>
      <c r="U18" s="706"/>
      <c r="V18" s="705"/>
      <c r="W18" s="706"/>
      <c r="X18" s="1355"/>
      <c r="Y18" s="3749"/>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10"/>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810"/>
      <c r="Q20" s="1352"/>
      <c r="R20" s="705"/>
      <c r="S20" s="706"/>
      <c r="T20" s="705"/>
      <c r="U20" s="706"/>
      <c r="V20" s="705"/>
      <c r="W20" s="706"/>
      <c r="X20" s="1355"/>
      <c r="Y20" s="3749"/>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10"/>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810"/>
      <c r="Q22" s="1352"/>
      <c r="R22" s="705"/>
      <c r="S22" s="706"/>
      <c r="T22" s="705"/>
      <c r="U22" s="706"/>
      <c r="V22" s="705"/>
      <c r="W22" s="706"/>
      <c r="X22" s="1355"/>
      <c r="Y22" s="3749"/>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10"/>
      <c r="Q23" s="1352" t="str">
        <f>B23</f>
        <v>自然及人文环境</v>
      </c>
      <c r="R23" s="705" t="s">
        <v>14</v>
      </c>
      <c r="S23" s="706">
        <f>F23</f>
        <v>100</v>
      </c>
      <c r="T23" s="705" t="s">
        <v>14</v>
      </c>
      <c r="U23" s="706">
        <f>H23</f>
        <v>100</v>
      </c>
      <c r="V23" s="705" t="s">
        <v>14</v>
      </c>
      <c r="W23" s="706">
        <f>J23</f>
        <v>100</v>
      </c>
      <c r="X23" s="1355"/>
      <c r="Y23" s="37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810"/>
      <c r="Q24" s="1352"/>
      <c r="R24" s="705"/>
      <c r="S24" s="706"/>
      <c r="T24" s="705"/>
      <c r="U24" s="706"/>
      <c r="V24" s="705"/>
      <c r="W24" s="706"/>
      <c r="X24" s="1355"/>
      <c r="Y24" s="3749"/>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10"/>
      <c r="Q25" s="1352" t="str">
        <f t="shared" ref="Q25:Q46" si="11">B25</f>
        <v>临街状况</v>
      </c>
      <c r="R25" s="705" t="s">
        <v>14</v>
      </c>
      <c r="S25" s="706">
        <f>F25</f>
        <v>100</v>
      </c>
      <c r="T25" s="705" t="s">
        <v>14</v>
      </c>
      <c r="U25" s="706">
        <f>H25</f>
        <v>100</v>
      </c>
      <c r="V25" s="705" t="s">
        <v>14</v>
      </c>
      <c r="W25" s="706">
        <f>J25</f>
        <v>100</v>
      </c>
      <c r="X25" s="1355"/>
      <c r="Y25" s="3749"/>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10"/>
      <c r="Q26" s="1352" t="str">
        <f t="shared" si="11"/>
        <v>平面位置/可视性</v>
      </c>
      <c r="R26" s="705" t="s">
        <v>14</v>
      </c>
      <c r="S26" s="706">
        <f>F26</f>
        <v>100</v>
      </c>
      <c r="T26" s="705" t="s">
        <v>14</v>
      </c>
      <c r="U26" s="706">
        <f>H26</f>
        <v>100</v>
      </c>
      <c r="V26" s="705" t="s">
        <v>14</v>
      </c>
      <c r="W26" s="706">
        <f>J26</f>
        <v>100</v>
      </c>
      <c r="X26" s="1355"/>
      <c r="Y26" s="3749"/>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810"/>
      <c r="Q27" s="1343" t="str">
        <f t="shared" si="11"/>
        <v>人流量</v>
      </c>
      <c r="R27" s="701" t="s">
        <v>14</v>
      </c>
      <c r="S27" s="702">
        <f>F27</f>
        <v>100</v>
      </c>
      <c r="T27" s="701" t="s">
        <v>14</v>
      </c>
      <c r="U27" s="702">
        <f>H27</f>
        <v>100</v>
      </c>
      <c r="V27" s="701" t="s">
        <v>14</v>
      </c>
      <c r="W27" s="702">
        <f>J27</f>
        <v>100</v>
      </c>
      <c r="X27" s="703"/>
      <c r="Y27" s="3749"/>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10"/>
      <c r="Q29" s="1352">
        <f t="shared" si="11"/>
        <v>111</v>
      </c>
      <c r="R29" s="705" t="s">
        <v>14</v>
      </c>
      <c r="S29" s="706">
        <f t="shared" si="12"/>
        <v>100</v>
      </c>
      <c r="T29" s="705" t="s">
        <v>14</v>
      </c>
      <c r="U29" s="706">
        <f t="shared" si="13"/>
        <v>100</v>
      </c>
      <c r="V29" s="705" t="s">
        <v>14</v>
      </c>
      <c r="W29" s="706">
        <f t="shared" si="14"/>
        <v>100</v>
      </c>
      <c r="X29" s="1355"/>
      <c r="Y29" s="37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10"/>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10"/>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806" t="s">
        <v>1694</v>
      </c>
      <c r="Q32" s="1352" t="str">
        <f t="shared" si="11"/>
        <v>商业类型</v>
      </c>
      <c r="R32" s="705" t="s">
        <v>14</v>
      </c>
      <c r="S32" s="706">
        <f t="shared" si="12"/>
        <v>100</v>
      </c>
      <c r="T32" s="705" t="s">
        <v>14</v>
      </c>
      <c r="U32" s="706">
        <f t="shared" si="13"/>
        <v>100</v>
      </c>
      <c r="V32" s="705" t="s">
        <v>14</v>
      </c>
      <c r="W32" s="706">
        <f t="shared" si="14"/>
        <v>100</v>
      </c>
      <c r="X32" s="1355"/>
      <c r="Y32" s="3751"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07"/>
      <c r="Q33" s="707" t="str">
        <f t="shared" si="11"/>
        <v>项目建筑规模</v>
      </c>
      <c r="R33" s="708" t="s">
        <v>14</v>
      </c>
      <c r="S33" s="709" t="e">
        <f t="shared" si="12"/>
        <v>#N/A</v>
      </c>
      <c r="T33" s="708" t="s">
        <v>14</v>
      </c>
      <c r="U33" s="709" t="e">
        <f t="shared" si="13"/>
        <v>#N/A</v>
      </c>
      <c r="V33" s="708" t="s">
        <v>14</v>
      </c>
      <c r="W33" s="709" t="e">
        <f t="shared" si="14"/>
        <v>#N/A</v>
      </c>
      <c r="X33" s="710"/>
      <c r="Y33" s="3751"/>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807"/>
      <c r="Q34" s="1352" t="str">
        <f t="shared" si="11"/>
        <v>建筑结构</v>
      </c>
      <c r="R34" s="705" t="s">
        <v>14</v>
      </c>
      <c r="S34" s="706">
        <f t="shared" si="12"/>
        <v>100</v>
      </c>
      <c r="T34" s="705" t="s">
        <v>14</v>
      </c>
      <c r="U34" s="706">
        <f t="shared" si="13"/>
        <v>100</v>
      </c>
      <c r="V34" s="705" t="s">
        <v>14</v>
      </c>
      <c r="W34" s="706">
        <f t="shared" si="14"/>
        <v>100</v>
      </c>
      <c r="X34" s="1355"/>
      <c r="Y34" s="3751"/>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807"/>
      <c r="Q35" s="1352" t="str">
        <f t="shared" si="11"/>
        <v>公共部分装修</v>
      </c>
      <c r="R35" s="705" t="s">
        <v>14</v>
      </c>
      <c r="S35" s="706">
        <f t="shared" si="12"/>
        <v>100</v>
      </c>
      <c r="T35" s="705" t="s">
        <v>14</v>
      </c>
      <c r="U35" s="706">
        <f t="shared" si="13"/>
        <v>100</v>
      </c>
      <c r="V35" s="705" t="s">
        <v>14</v>
      </c>
      <c r="W35" s="706">
        <f t="shared" si="14"/>
        <v>100</v>
      </c>
      <c r="X35" s="1355"/>
      <c r="Y35" s="3751"/>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07"/>
      <c r="Q36" s="1352" t="str">
        <f t="shared" si="11"/>
        <v>成新度</v>
      </c>
      <c r="R36" s="705" t="s">
        <v>14</v>
      </c>
      <c r="S36" s="706" t="e">
        <f t="shared" si="12"/>
        <v>#N/A</v>
      </c>
      <c r="T36" s="705" t="s">
        <v>14</v>
      </c>
      <c r="U36" s="706" t="e">
        <f t="shared" si="13"/>
        <v>#N/A</v>
      </c>
      <c r="V36" s="705" t="s">
        <v>14</v>
      </c>
      <c r="W36" s="706" t="e">
        <f t="shared" si="14"/>
        <v>#N/A</v>
      </c>
      <c r="X36" s="1355"/>
      <c r="Y36" s="3751"/>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807"/>
      <c r="Q37" s="1343" t="str">
        <f t="shared" si="11"/>
        <v>市政基础设施</v>
      </c>
      <c r="R37" s="701" t="s">
        <v>14</v>
      </c>
      <c r="S37" s="702">
        <f t="shared" si="12"/>
        <v>100</v>
      </c>
      <c r="T37" s="701" t="s">
        <v>14</v>
      </c>
      <c r="U37" s="702">
        <f t="shared" si="13"/>
        <v>100</v>
      </c>
      <c r="V37" s="701" t="s">
        <v>14</v>
      </c>
      <c r="W37" s="702">
        <f t="shared" si="14"/>
        <v>100</v>
      </c>
      <c r="X37" s="703"/>
      <c r="Y37" s="3751"/>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807" t="s">
        <v>1694</v>
      </c>
      <c r="Q38" s="1352" t="str">
        <f t="shared" si="11"/>
        <v>业态</v>
      </c>
      <c r="R38" s="705" t="s">
        <v>14</v>
      </c>
      <c r="S38" s="706">
        <f t="shared" si="12"/>
        <v>100</v>
      </c>
      <c r="T38" s="705" t="s">
        <v>14</v>
      </c>
      <c r="U38" s="706">
        <f t="shared" si="13"/>
        <v>100</v>
      </c>
      <c r="V38" s="705" t="s">
        <v>14</v>
      </c>
      <c r="W38" s="706">
        <f t="shared" si="14"/>
        <v>100</v>
      </c>
      <c r="X38" s="1355"/>
      <c r="Y38" s="3751"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807"/>
      <c r="Q39" s="1352" t="str">
        <f t="shared" si="11"/>
        <v>层高</v>
      </c>
      <c r="R39" s="705" t="s">
        <v>14</v>
      </c>
      <c r="S39" s="706">
        <f t="shared" si="12"/>
        <v>100</v>
      </c>
      <c r="T39" s="705" t="s">
        <v>14</v>
      </c>
      <c r="U39" s="706">
        <f t="shared" si="13"/>
        <v>100</v>
      </c>
      <c r="V39" s="705" t="s">
        <v>14</v>
      </c>
      <c r="W39" s="706">
        <f t="shared" si="14"/>
        <v>100</v>
      </c>
      <c r="X39" s="1355"/>
      <c r="Y39" s="3751"/>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07"/>
      <c r="Q40" s="1352" t="str">
        <f t="shared" si="11"/>
        <v>单套建筑面积</v>
      </c>
      <c r="R40" s="705" t="s">
        <v>14</v>
      </c>
      <c r="S40" s="706">
        <f t="shared" si="12"/>
        <v>100</v>
      </c>
      <c r="T40" s="705" t="s">
        <v>14</v>
      </c>
      <c r="U40" s="706">
        <f t="shared" si="13"/>
        <v>100</v>
      </c>
      <c r="V40" s="705" t="s">
        <v>14</v>
      </c>
      <c r="W40" s="706">
        <f t="shared" si="14"/>
        <v>100</v>
      </c>
      <c r="X40" s="1355"/>
      <c r="Y40" s="3751"/>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07"/>
      <c r="Q41" s="707" t="str">
        <f t="shared" si="11"/>
        <v>进深比</v>
      </c>
      <c r="R41" s="708" t="s">
        <v>14</v>
      </c>
      <c r="S41" s="709">
        <f t="shared" si="12"/>
        <v>100</v>
      </c>
      <c r="T41" s="708" t="s">
        <v>14</v>
      </c>
      <c r="U41" s="709">
        <f t="shared" si="13"/>
        <v>100</v>
      </c>
      <c r="V41" s="708" t="s">
        <v>14</v>
      </c>
      <c r="W41" s="709">
        <f t="shared" si="14"/>
        <v>100</v>
      </c>
      <c r="X41" s="710"/>
      <c r="Y41" s="3751"/>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807"/>
      <c r="Q42" s="1352" t="str">
        <f t="shared" si="11"/>
        <v>内部装修</v>
      </c>
      <c r="R42" s="705" t="s">
        <v>14</v>
      </c>
      <c r="S42" s="706">
        <f t="shared" si="12"/>
        <v>100</v>
      </c>
      <c r="T42" s="705" t="s">
        <v>14</v>
      </c>
      <c r="U42" s="706">
        <f t="shared" si="13"/>
        <v>100</v>
      </c>
      <c r="V42" s="705" t="s">
        <v>14</v>
      </c>
      <c r="W42" s="706">
        <f t="shared" si="14"/>
        <v>100</v>
      </c>
      <c r="X42" s="1355"/>
      <c r="Y42" s="3751"/>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807"/>
      <c r="Q43" s="1352" t="str">
        <f t="shared" si="11"/>
        <v>内部装修维护情况</v>
      </c>
      <c r="R43" s="705" t="s">
        <v>14</v>
      </c>
      <c r="S43" s="706">
        <f t="shared" si="12"/>
        <v>100</v>
      </c>
      <c r="T43" s="705" t="s">
        <v>14</v>
      </c>
      <c r="U43" s="706">
        <f t="shared" si="13"/>
        <v>100</v>
      </c>
      <c r="V43" s="705" t="s">
        <v>14</v>
      </c>
      <c r="W43" s="706">
        <f t="shared" si="14"/>
        <v>100</v>
      </c>
      <c r="X43" s="1355"/>
      <c r="Y43" s="37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07"/>
      <c r="Q44" s="1343">
        <f t="shared" si="11"/>
        <v>111</v>
      </c>
      <c r="R44" s="701" t="s">
        <v>14</v>
      </c>
      <c r="S44" s="702">
        <f t="shared" si="12"/>
        <v>100</v>
      </c>
      <c r="T44" s="701" t="s">
        <v>14</v>
      </c>
      <c r="U44" s="702">
        <f t="shared" si="13"/>
        <v>100</v>
      </c>
      <c r="V44" s="701" t="s">
        <v>14</v>
      </c>
      <c r="W44" s="702">
        <f t="shared" si="14"/>
        <v>100</v>
      </c>
      <c r="X44" s="703"/>
      <c r="Y44" s="37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07"/>
      <c r="Q45" s="1352">
        <f t="shared" si="11"/>
        <v>111</v>
      </c>
      <c r="R45" s="705" t="s">
        <v>14</v>
      </c>
      <c r="S45" s="706">
        <f t="shared" si="12"/>
        <v>100</v>
      </c>
      <c r="T45" s="705" t="s">
        <v>14</v>
      </c>
      <c r="U45" s="706">
        <f t="shared" si="13"/>
        <v>100</v>
      </c>
      <c r="V45" s="705" t="s">
        <v>14</v>
      </c>
      <c r="W45" s="706">
        <f t="shared" si="14"/>
        <v>100</v>
      </c>
      <c r="X45" s="1355"/>
      <c r="Y45" s="37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8"/>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33" t="str">
        <f>A47</f>
        <v>成交单价（元/平方米）</v>
      </c>
      <c r="Q47" s="3733"/>
      <c r="R47" s="3746">
        <f>E47</f>
        <v>0</v>
      </c>
      <c r="S47" s="3746"/>
      <c r="T47" s="3746">
        <f>G47</f>
        <v>0</v>
      </c>
      <c r="U47" s="3746"/>
      <c r="V47" s="3746">
        <f>I47</f>
        <v>0</v>
      </c>
      <c r="W47" s="3746"/>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33" t="str">
        <f>A48</f>
        <v>比较价值（元/平方米）</v>
      </c>
      <c r="Q48" s="3733"/>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45755.04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817" t="s">
        <v>1773</v>
      </c>
      <c r="Q4" s="3818"/>
      <c r="R4" s="3812" t="s">
        <v>1769</v>
      </c>
      <c r="S4" s="3813"/>
      <c r="T4" s="3812" t="s">
        <v>1770</v>
      </c>
      <c r="U4" s="3813"/>
      <c r="V4" s="3821" t="s">
        <v>1771</v>
      </c>
      <c r="W4" s="3821"/>
      <c r="X4" s="1958"/>
      <c r="Y4" s="3812" t="s">
        <v>1773</v>
      </c>
      <c r="Z4" s="3813"/>
      <c r="AA4" s="3811" t="s">
        <v>1769</v>
      </c>
      <c r="AB4" s="3811" t="s">
        <v>1770</v>
      </c>
      <c r="AC4" s="3814" t="s">
        <v>1771</v>
      </c>
    </row>
    <row r="5" spans="1:29" ht="15">
      <c r="A5" s="358"/>
      <c r="B5" s="359"/>
      <c r="C5" s="3730" t="s">
        <v>1671</v>
      </c>
      <c r="D5" s="3727"/>
      <c r="E5" s="3724" t="s">
        <v>1672</v>
      </c>
      <c r="F5" s="3725"/>
      <c r="G5" s="3730" t="s">
        <v>1673</v>
      </c>
      <c r="H5" s="3727"/>
      <c r="I5" s="3730" t="s">
        <v>1674</v>
      </c>
      <c r="J5" s="3727"/>
      <c r="K5" s="559"/>
      <c r="L5" s="2709"/>
      <c r="M5" s="2710"/>
      <c r="N5" s="2710"/>
      <c r="O5" s="2710"/>
      <c r="P5" s="3819"/>
      <c r="Q5" s="3741"/>
      <c r="R5" s="3722"/>
      <c r="S5" s="3723"/>
      <c r="T5" s="3722"/>
      <c r="U5" s="3723"/>
      <c r="V5" s="3746"/>
      <c r="W5" s="3746"/>
      <c r="X5" s="1355"/>
      <c r="Y5" s="3722"/>
      <c r="Z5" s="3723"/>
      <c r="AA5" s="3716"/>
      <c r="AB5" s="3716"/>
      <c r="AC5" s="3815"/>
    </row>
    <row r="6" spans="1:29" ht="15.75" thickBot="1">
      <c r="A6" s="360"/>
      <c r="B6" s="361"/>
      <c r="C6" s="3728" t="s">
        <v>1675</v>
      </c>
      <c r="D6" s="3729"/>
      <c r="E6" s="3731" t="s">
        <v>1675</v>
      </c>
      <c r="F6" s="3732"/>
      <c r="G6" s="3728" t="s">
        <v>1675</v>
      </c>
      <c r="H6" s="3729"/>
      <c r="I6" s="3728" t="s">
        <v>1675</v>
      </c>
      <c r="J6" s="3729"/>
      <c r="K6" s="559" t="s">
        <v>1676</v>
      </c>
      <c r="L6" s="2709"/>
      <c r="M6" s="2710"/>
      <c r="N6" s="2710"/>
      <c r="O6" s="2710"/>
      <c r="P6" s="3820"/>
      <c r="Q6" s="3743"/>
      <c r="R6" s="3722"/>
      <c r="S6" s="3723"/>
      <c r="T6" s="3744"/>
      <c r="U6" s="3745"/>
      <c r="V6" s="3746"/>
      <c r="W6" s="3746"/>
      <c r="X6" s="1355"/>
      <c r="Y6" s="3744"/>
      <c r="Z6" s="3745"/>
      <c r="AA6" s="3717"/>
      <c r="AB6" s="3717"/>
      <c r="AC6" s="3816"/>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22" t="s">
        <v>1678</v>
      </c>
      <c r="Q7" s="3747"/>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22" t="s">
        <v>1681</v>
      </c>
      <c r="Q8" s="3719"/>
      <c r="R8" s="701" t="s">
        <v>14</v>
      </c>
      <c r="S8" s="702">
        <f t="shared" si="0"/>
        <v>100</v>
      </c>
      <c r="T8" s="701" t="s">
        <v>14</v>
      </c>
      <c r="U8" s="702">
        <f t="shared" si="1"/>
        <v>100</v>
      </c>
      <c r="V8" s="701" t="s">
        <v>14</v>
      </c>
      <c r="W8" s="702">
        <f t="shared" si="2"/>
        <v>100</v>
      </c>
      <c r="X8" s="703"/>
      <c r="Y8" s="3718" t="s">
        <v>1681</v>
      </c>
      <c r="Z8" s="3719"/>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805" t="s">
        <v>1684</v>
      </c>
      <c r="Q9" s="1343" t="str">
        <f t="shared" ref="Q9:Q15" si="6">B9</f>
        <v>用途</v>
      </c>
      <c r="R9" s="701" t="s">
        <v>14</v>
      </c>
      <c r="S9" s="702">
        <f t="shared" si="0"/>
        <v>100</v>
      </c>
      <c r="T9" s="701" t="s">
        <v>14</v>
      </c>
      <c r="U9" s="702">
        <f t="shared" si="1"/>
        <v>100</v>
      </c>
      <c r="V9" s="701" t="s">
        <v>14</v>
      </c>
      <c r="W9" s="702">
        <f t="shared" si="2"/>
        <v>100</v>
      </c>
      <c r="X9" s="703"/>
      <c r="Y9" s="3691"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805"/>
      <c r="Q10" s="1343"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805"/>
      <c r="Q11" s="1343" t="str">
        <f t="shared" si="6"/>
        <v>容积率</v>
      </c>
      <c r="R11" s="701" t="s">
        <v>14</v>
      </c>
      <c r="S11" s="702">
        <f t="shared" si="0"/>
        <v>100</v>
      </c>
      <c r="T11" s="701" t="s">
        <v>14</v>
      </c>
      <c r="U11" s="702">
        <f t="shared" si="1"/>
        <v>100</v>
      </c>
      <c r="V11" s="701" t="s">
        <v>14</v>
      </c>
      <c r="W11" s="702">
        <f t="shared" si="2"/>
        <v>100</v>
      </c>
      <c r="X11" s="703"/>
      <c r="Y11" s="369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805"/>
      <c r="Q12" s="1343">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805"/>
      <c r="Q13" s="1343">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805"/>
      <c r="Q14" s="1343">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9" t="s">
        <v>1689</v>
      </c>
      <c r="Q15" s="1352" t="str">
        <f t="shared" si="6"/>
        <v>办公集聚程度</v>
      </c>
      <c r="R15" s="705" t="s">
        <v>14</v>
      </c>
      <c r="S15" s="706">
        <f t="shared" si="0"/>
        <v>100</v>
      </c>
      <c r="T15" s="705" t="s">
        <v>14</v>
      </c>
      <c r="U15" s="706">
        <f t="shared" si="1"/>
        <v>100</v>
      </c>
      <c r="V15" s="705" t="s">
        <v>14</v>
      </c>
      <c r="W15" s="706">
        <f t="shared" si="2"/>
        <v>100</v>
      </c>
      <c r="X15" s="1355"/>
      <c r="Y15" s="3748"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810"/>
      <c r="Q16" s="1352"/>
      <c r="R16" s="705"/>
      <c r="S16" s="706"/>
      <c r="T16" s="705"/>
      <c r="U16" s="706"/>
      <c r="V16" s="705"/>
      <c r="W16" s="706"/>
      <c r="X16" s="1355"/>
      <c r="Y16" s="3749"/>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10"/>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810"/>
      <c r="Q18" s="1352"/>
      <c r="R18" s="705"/>
      <c r="S18" s="706"/>
      <c r="T18" s="705"/>
      <c r="U18" s="706"/>
      <c r="V18" s="705"/>
      <c r="W18" s="706"/>
      <c r="X18" s="1355"/>
      <c r="Y18" s="3749"/>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10"/>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810"/>
      <c r="Q20" s="1352"/>
      <c r="R20" s="705"/>
      <c r="S20" s="706"/>
      <c r="T20" s="705"/>
      <c r="U20" s="706"/>
      <c r="V20" s="705"/>
      <c r="W20" s="706"/>
      <c r="X20" s="1355"/>
      <c r="Y20" s="3749"/>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10"/>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810"/>
      <c r="Q22" s="1352"/>
      <c r="R22" s="705"/>
      <c r="S22" s="706"/>
      <c r="T22" s="705"/>
      <c r="U22" s="706"/>
      <c r="V22" s="705"/>
      <c r="W22" s="706"/>
      <c r="X22" s="1355"/>
      <c r="Y22" s="3749"/>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10"/>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810"/>
      <c r="Q24" s="1352"/>
      <c r="R24" s="705"/>
      <c r="S24" s="706"/>
      <c r="T24" s="705"/>
      <c r="U24" s="706"/>
      <c r="V24" s="705"/>
      <c r="W24" s="706"/>
      <c r="X24" s="1355"/>
      <c r="Y24" s="374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810"/>
      <c r="Q25" s="1352" t="str">
        <f>B25</f>
        <v>毗邻道路的类型与等级</v>
      </c>
      <c r="R25" s="705" t="s">
        <v>14</v>
      </c>
      <c r="S25" s="706">
        <f>F25</f>
        <v>100</v>
      </c>
      <c r="T25" s="705" t="s">
        <v>14</v>
      </c>
      <c r="U25" s="706">
        <f>H25</f>
        <v>100</v>
      </c>
      <c r="V25" s="705" t="s">
        <v>14</v>
      </c>
      <c r="W25" s="706">
        <f>J25</f>
        <v>100</v>
      </c>
      <c r="X25" s="1355"/>
      <c r="Y25" s="37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810"/>
      <c r="Q26" s="1352"/>
      <c r="R26" s="705"/>
      <c r="S26" s="706"/>
      <c r="T26" s="705"/>
      <c r="U26" s="706"/>
      <c r="V26" s="705"/>
      <c r="W26" s="706"/>
      <c r="X26" s="1355"/>
      <c r="Y26" s="3749"/>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10"/>
      <c r="Q27" s="1352" t="str">
        <f t="shared" ref="Q27:Q47" si="11">B27</f>
        <v>楼层</v>
      </c>
      <c r="R27" s="705" t="s">
        <v>14</v>
      </c>
      <c r="S27" s="706">
        <f>F27</f>
        <v>100</v>
      </c>
      <c r="T27" s="705" t="s">
        <v>14</v>
      </c>
      <c r="U27" s="706">
        <f>H27</f>
        <v>100</v>
      </c>
      <c r="V27" s="705" t="s">
        <v>14</v>
      </c>
      <c r="W27" s="706">
        <f>J27</f>
        <v>100</v>
      </c>
      <c r="X27" s="1355"/>
      <c r="Y27" s="3749"/>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810"/>
      <c r="Q28" s="1343" t="str">
        <f t="shared" si="11"/>
        <v>朝向</v>
      </c>
      <c r="R28" s="701" t="s">
        <v>14</v>
      </c>
      <c r="S28" s="702">
        <f>F28</f>
        <v>100</v>
      </c>
      <c r="T28" s="701" t="s">
        <v>14</v>
      </c>
      <c r="U28" s="702">
        <f>H28</f>
        <v>100</v>
      </c>
      <c r="V28" s="701" t="s">
        <v>14</v>
      </c>
      <c r="W28" s="702">
        <f>J28</f>
        <v>100</v>
      </c>
      <c r="X28" s="703"/>
      <c r="Y28" s="37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810"/>
      <c r="Q29" s="1352">
        <f t="shared" si="11"/>
        <v>111</v>
      </c>
      <c r="R29" s="705" t="s">
        <v>14</v>
      </c>
      <c r="S29" s="706">
        <f t="shared" ref="S29:S47" si="12">F29</f>
        <v>100</v>
      </c>
      <c r="T29" s="705" t="s">
        <v>14</v>
      </c>
      <c r="U29" s="706">
        <f t="shared" ref="U29:U47" si="13">H29</f>
        <v>100</v>
      </c>
      <c r="V29" s="705" t="s">
        <v>14</v>
      </c>
      <c r="W29" s="706">
        <f t="shared" ref="W29:W47" si="14">J29</f>
        <v>100</v>
      </c>
      <c r="X29" s="1355"/>
      <c r="Y29" s="37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810"/>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810"/>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810"/>
      <c r="Q32" s="1352">
        <f t="shared" si="11"/>
        <v>111</v>
      </c>
      <c r="R32" s="705" t="s">
        <v>14</v>
      </c>
      <c r="S32" s="706">
        <f t="shared" si="12"/>
        <v>100</v>
      </c>
      <c r="T32" s="705" t="s">
        <v>14</v>
      </c>
      <c r="U32" s="706">
        <f t="shared" si="13"/>
        <v>100</v>
      </c>
      <c r="V32" s="705" t="s">
        <v>14</v>
      </c>
      <c r="W32" s="706">
        <f t="shared" si="14"/>
        <v>100</v>
      </c>
      <c r="X32" s="1355"/>
      <c r="Y32" s="3749"/>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806" t="s">
        <v>1694</v>
      </c>
      <c r="Q33" s="1352" t="str">
        <f t="shared" si="11"/>
        <v>建筑类型</v>
      </c>
      <c r="R33" s="705" t="s">
        <v>14</v>
      </c>
      <c r="S33" s="706">
        <f t="shared" si="12"/>
        <v>100</v>
      </c>
      <c r="T33" s="705" t="s">
        <v>14</v>
      </c>
      <c r="U33" s="706">
        <f t="shared" si="13"/>
        <v>100</v>
      </c>
      <c r="V33" s="705" t="s">
        <v>14</v>
      </c>
      <c r="W33" s="706">
        <f t="shared" si="14"/>
        <v>100</v>
      </c>
      <c r="X33" s="1355"/>
      <c r="Y33" s="3751"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07"/>
      <c r="Q34" s="707" t="str">
        <f t="shared" si="11"/>
        <v>项目建筑规模</v>
      </c>
      <c r="R34" s="708" t="s">
        <v>14</v>
      </c>
      <c r="S34" s="709" t="e">
        <f t="shared" si="12"/>
        <v>#N/A</v>
      </c>
      <c r="T34" s="708" t="s">
        <v>14</v>
      </c>
      <c r="U34" s="709" t="e">
        <f t="shared" si="13"/>
        <v>#N/A</v>
      </c>
      <c r="V34" s="708" t="s">
        <v>14</v>
      </c>
      <c r="W34" s="709" t="e">
        <f t="shared" si="14"/>
        <v>#N/A</v>
      </c>
      <c r="X34" s="710"/>
      <c r="Y34" s="3751"/>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07"/>
      <c r="Q35" s="1352" t="str">
        <f t="shared" si="11"/>
        <v>建筑结构</v>
      </c>
      <c r="R35" s="705" t="s">
        <v>14</v>
      </c>
      <c r="S35" s="706">
        <f t="shared" si="12"/>
        <v>100</v>
      </c>
      <c r="T35" s="705" t="s">
        <v>14</v>
      </c>
      <c r="U35" s="706">
        <f t="shared" si="13"/>
        <v>100</v>
      </c>
      <c r="V35" s="705" t="s">
        <v>14</v>
      </c>
      <c r="W35" s="706">
        <f t="shared" si="14"/>
        <v>100</v>
      </c>
      <c r="X35" s="1355"/>
      <c r="Y35" s="3751"/>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07"/>
      <c r="Q36" s="1352" t="str">
        <f t="shared" si="11"/>
        <v>公共部分装修</v>
      </c>
      <c r="R36" s="705" t="s">
        <v>14</v>
      </c>
      <c r="S36" s="706">
        <f t="shared" si="12"/>
        <v>100</v>
      </c>
      <c r="T36" s="705" t="s">
        <v>14</v>
      </c>
      <c r="U36" s="706">
        <f t="shared" si="13"/>
        <v>100</v>
      </c>
      <c r="V36" s="705" t="s">
        <v>14</v>
      </c>
      <c r="W36" s="706">
        <f t="shared" si="14"/>
        <v>100</v>
      </c>
      <c r="X36" s="1355"/>
      <c r="Y36" s="3751"/>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07"/>
      <c r="Q37" s="1352" t="str">
        <f t="shared" si="11"/>
        <v>成新度</v>
      </c>
      <c r="R37" s="705" t="s">
        <v>14</v>
      </c>
      <c r="S37" s="706" t="e">
        <f t="shared" si="12"/>
        <v>#N/A</v>
      </c>
      <c r="T37" s="705" t="s">
        <v>14</v>
      </c>
      <c r="U37" s="706" t="e">
        <f t="shared" si="13"/>
        <v>#N/A</v>
      </c>
      <c r="V37" s="705" t="s">
        <v>14</v>
      </c>
      <c r="W37" s="706" t="e">
        <f t="shared" si="14"/>
        <v>#N/A</v>
      </c>
      <c r="X37" s="1355"/>
      <c r="Y37" s="3751"/>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07"/>
      <c r="Q38" s="1343" t="str">
        <f t="shared" si="11"/>
        <v>写字楼等级</v>
      </c>
      <c r="R38" s="701" t="s">
        <v>14</v>
      </c>
      <c r="S38" s="702">
        <f t="shared" si="12"/>
        <v>100</v>
      </c>
      <c r="T38" s="701" t="s">
        <v>14</v>
      </c>
      <c r="U38" s="702">
        <f t="shared" si="13"/>
        <v>100</v>
      </c>
      <c r="V38" s="701" t="s">
        <v>14</v>
      </c>
      <c r="W38" s="702">
        <f t="shared" si="14"/>
        <v>100</v>
      </c>
      <c r="X38" s="703"/>
      <c r="Y38" s="3751"/>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07" t="s">
        <v>1694</v>
      </c>
      <c r="Q39" s="1352" t="str">
        <f t="shared" si="11"/>
        <v>物业管理</v>
      </c>
      <c r="R39" s="705" t="s">
        <v>14</v>
      </c>
      <c r="S39" s="706">
        <f t="shared" si="12"/>
        <v>100</v>
      </c>
      <c r="T39" s="705" t="s">
        <v>14</v>
      </c>
      <c r="U39" s="706">
        <f t="shared" si="13"/>
        <v>100</v>
      </c>
      <c r="V39" s="705" t="s">
        <v>14</v>
      </c>
      <c r="W39" s="706">
        <f t="shared" si="14"/>
        <v>100</v>
      </c>
      <c r="X39" s="1355"/>
      <c r="Y39" s="3751"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07"/>
      <c r="Q40" s="1352" t="str">
        <f t="shared" si="11"/>
        <v>市政基础设施</v>
      </c>
      <c r="R40" s="705" t="s">
        <v>14</v>
      </c>
      <c r="S40" s="706">
        <f t="shared" si="12"/>
        <v>100</v>
      </c>
      <c r="T40" s="705" t="s">
        <v>14</v>
      </c>
      <c r="U40" s="706">
        <f t="shared" si="13"/>
        <v>100</v>
      </c>
      <c r="V40" s="705" t="s">
        <v>14</v>
      </c>
      <c r="W40" s="706">
        <f t="shared" si="14"/>
        <v>100</v>
      </c>
      <c r="X40" s="1355"/>
      <c r="Y40" s="3751"/>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07"/>
      <c r="Q41" s="1352" t="str">
        <f t="shared" si="11"/>
        <v>层高</v>
      </c>
      <c r="R41" s="705" t="s">
        <v>14</v>
      </c>
      <c r="S41" s="706">
        <f t="shared" si="12"/>
        <v>100</v>
      </c>
      <c r="T41" s="705" t="s">
        <v>14</v>
      </c>
      <c r="U41" s="706">
        <f t="shared" si="13"/>
        <v>100</v>
      </c>
      <c r="V41" s="705" t="s">
        <v>14</v>
      </c>
      <c r="W41" s="706">
        <f t="shared" si="14"/>
        <v>100</v>
      </c>
      <c r="X41" s="1355"/>
      <c r="Y41" s="3751"/>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07"/>
      <c r="Q42" s="707" t="str">
        <f t="shared" si="11"/>
        <v>单套建筑面积</v>
      </c>
      <c r="R42" s="708" t="s">
        <v>14</v>
      </c>
      <c r="S42" s="709">
        <f t="shared" si="12"/>
        <v>100</v>
      </c>
      <c r="T42" s="708" t="s">
        <v>14</v>
      </c>
      <c r="U42" s="709">
        <f t="shared" si="13"/>
        <v>100</v>
      </c>
      <c r="V42" s="708" t="s">
        <v>14</v>
      </c>
      <c r="W42" s="709">
        <f t="shared" si="14"/>
        <v>100</v>
      </c>
      <c r="X42" s="710"/>
      <c r="Y42" s="3751"/>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07"/>
      <c r="Q43" s="1352" t="str">
        <f t="shared" si="11"/>
        <v>内部装修</v>
      </c>
      <c r="R43" s="705" t="s">
        <v>14</v>
      </c>
      <c r="S43" s="706">
        <f t="shared" si="12"/>
        <v>100</v>
      </c>
      <c r="T43" s="705" t="s">
        <v>14</v>
      </c>
      <c r="U43" s="706">
        <f t="shared" si="13"/>
        <v>100</v>
      </c>
      <c r="V43" s="705" t="s">
        <v>14</v>
      </c>
      <c r="W43" s="706">
        <f t="shared" si="14"/>
        <v>100</v>
      </c>
      <c r="X43" s="1355"/>
      <c r="Y43" s="3751"/>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807"/>
      <c r="Q44" s="1352" t="str">
        <f t="shared" si="11"/>
        <v>内部装修维护情况</v>
      </c>
      <c r="R44" s="705" t="s">
        <v>14</v>
      </c>
      <c r="S44" s="706">
        <f t="shared" si="12"/>
        <v>100</v>
      </c>
      <c r="T44" s="705" t="s">
        <v>14</v>
      </c>
      <c r="U44" s="706">
        <f t="shared" si="13"/>
        <v>100</v>
      </c>
      <c r="V44" s="705" t="s">
        <v>14</v>
      </c>
      <c r="W44" s="706">
        <f t="shared" si="14"/>
        <v>100</v>
      </c>
      <c r="X44" s="1355"/>
      <c r="Y44" s="37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07"/>
      <c r="Q45" s="1343">
        <f t="shared" si="11"/>
        <v>111</v>
      </c>
      <c r="R45" s="701" t="s">
        <v>14</v>
      </c>
      <c r="S45" s="702">
        <f t="shared" si="12"/>
        <v>100</v>
      </c>
      <c r="T45" s="701" t="s">
        <v>14</v>
      </c>
      <c r="U45" s="702">
        <f t="shared" si="13"/>
        <v>100</v>
      </c>
      <c r="V45" s="701" t="s">
        <v>14</v>
      </c>
      <c r="W45" s="702">
        <f t="shared" si="14"/>
        <v>100</v>
      </c>
      <c r="X45" s="703"/>
      <c r="Y45" s="37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07"/>
      <c r="Q46" s="1352">
        <f t="shared" si="11"/>
        <v>111</v>
      </c>
      <c r="R46" s="705" t="s">
        <v>14</v>
      </c>
      <c r="S46" s="706">
        <f t="shared" si="12"/>
        <v>100</v>
      </c>
      <c r="T46" s="705" t="s">
        <v>14</v>
      </c>
      <c r="U46" s="706">
        <f t="shared" si="13"/>
        <v>100</v>
      </c>
      <c r="V46" s="705" t="s">
        <v>14</v>
      </c>
      <c r="W46" s="706">
        <f t="shared" si="14"/>
        <v>100</v>
      </c>
      <c r="X46" s="1355"/>
      <c r="Y46" s="375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8"/>
      <c r="Q47" s="1352">
        <f t="shared" si="11"/>
        <v>111</v>
      </c>
      <c r="R47" s="705" t="s">
        <v>14</v>
      </c>
      <c r="S47" s="706">
        <f t="shared" si="12"/>
        <v>100</v>
      </c>
      <c r="T47" s="705" t="s">
        <v>14</v>
      </c>
      <c r="U47" s="706">
        <f t="shared" si="13"/>
        <v>100</v>
      </c>
      <c r="V47" s="705" t="s">
        <v>14</v>
      </c>
      <c r="W47" s="706">
        <f t="shared" si="14"/>
        <v>100</v>
      </c>
      <c r="X47" s="1355"/>
      <c r="Y47" s="3752"/>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805" t="str">
        <f>A48</f>
        <v>成交单价（元/平方米）</v>
      </c>
      <c r="Q48" s="3733"/>
      <c r="R48" s="3753">
        <f>E48</f>
        <v>0</v>
      </c>
      <c r="S48" s="3753"/>
      <c r="T48" s="3753">
        <f>G48</f>
        <v>0</v>
      </c>
      <c r="U48" s="3753"/>
      <c r="V48" s="3753">
        <f>I48</f>
        <v>0</v>
      </c>
      <c r="W48" s="3753"/>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805" t="str">
        <f>A49</f>
        <v>比较价值（元/平方米）</v>
      </c>
      <c r="Q49" s="3733"/>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823" t="str">
        <f>A50</f>
        <v>估价对象XX用房的比较价值（楼面单价，元/平方米）</v>
      </c>
      <c r="Q50" s="3824"/>
      <c r="R50" s="3825" t="e">
        <f>IF(F1="售价",ROUND(IF(D49="简单平均",AVERAGE(R49:V49),R49*F49+T49*H49+V49*J49),0),ROUND(IF(D49="简单平均",AVERAGE(R49:V49),R49*F49+T49*H49+V49*J49),1))</f>
        <v>#DIV/0!</v>
      </c>
      <c r="S50" s="3825"/>
      <c r="T50" s="3825"/>
      <c r="U50" s="3825"/>
      <c r="V50" s="3825"/>
      <c r="W50" s="3825"/>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20" t="s">
        <v>1769</v>
      </c>
      <c r="S4" s="3721"/>
      <c r="T4" s="3720" t="s">
        <v>1770</v>
      </c>
      <c r="U4" s="3721"/>
      <c r="V4" s="3746" t="s">
        <v>1771</v>
      </c>
      <c r="W4" s="3746"/>
      <c r="X4" s="1355"/>
      <c r="Y4" s="3720" t="s">
        <v>1773</v>
      </c>
      <c r="Z4" s="3721"/>
      <c r="AA4" s="3715" t="s">
        <v>1769</v>
      </c>
      <c r="AB4" s="3716" t="s">
        <v>1770</v>
      </c>
      <c r="AC4" s="3715" t="s">
        <v>1771</v>
      </c>
    </row>
    <row r="5" spans="1:29" ht="15">
      <c r="A5" s="358"/>
      <c r="B5" s="359"/>
      <c r="C5" s="3730" t="s">
        <v>1671</v>
      </c>
      <c r="D5" s="3727"/>
      <c r="E5" s="3724" t="s">
        <v>1672</v>
      </c>
      <c r="F5" s="3725"/>
      <c r="G5" s="3730" t="s">
        <v>1673</v>
      </c>
      <c r="H5" s="3727"/>
      <c r="I5" s="3730" t="s">
        <v>1674</v>
      </c>
      <c r="J5" s="3727"/>
      <c r="K5" s="559"/>
      <c r="L5" s="2709"/>
      <c r="M5" s="2710"/>
      <c r="N5" s="2710"/>
      <c r="O5" s="2710"/>
      <c r="P5" s="3740"/>
      <c r="Q5" s="3741"/>
      <c r="R5" s="3722"/>
      <c r="S5" s="3723"/>
      <c r="T5" s="3722"/>
      <c r="U5" s="3723"/>
      <c r="V5" s="3746"/>
      <c r="W5" s="3746"/>
      <c r="X5" s="1355"/>
      <c r="Y5" s="3722"/>
      <c r="Z5" s="3723"/>
      <c r="AA5" s="3716"/>
      <c r="AB5" s="3716"/>
      <c r="AC5" s="3716"/>
    </row>
    <row r="6" spans="1:29" ht="15.75" thickBot="1">
      <c r="A6" s="360"/>
      <c r="B6" s="361"/>
      <c r="C6" s="3728" t="s">
        <v>1675</v>
      </c>
      <c r="D6" s="3729"/>
      <c r="E6" s="3731" t="s">
        <v>1675</v>
      </c>
      <c r="F6" s="3732"/>
      <c r="G6" s="3728" t="s">
        <v>1675</v>
      </c>
      <c r="H6" s="3729"/>
      <c r="I6" s="3728" t="s">
        <v>1675</v>
      </c>
      <c r="J6" s="3729"/>
      <c r="K6" s="559" t="s">
        <v>1676</v>
      </c>
      <c r="L6" s="2709"/>
      <c r="M6" s="2710"/>
      <c r="N6" s="2710"/>
      <c r="O6" s="2710"/>
      <c r="P6" s="3742"/>
      <c r="Q6" s="3743"/>
      <c r="R6" s="3722"/>
      <c r="S6" s="3723"/>
      <c r="T6" s="3744"/>
      <c r="U6" s="3745"/>
      <c r="V6" s="3746"/>
      <c r="W6" s="3746"/>
      <c r="X6" s="1355"/>
      <c r="Y6" s="3744"/>
      <c r="Z6" s="3745"/>
      <c r="AA6" s="3717"/>
      <c r="AB6" s="3717"/>
      <c r="AC6" s="3717"/>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18" t="s">
        <v>1678</v>
      </c>
      <c r="Q7" s="3747"/>
      <c r="R7" s="701" t="s">
        <v>14</v>
      </c>
      <c r="S7" s="702">
        <f t="shared" ref="S7:S14" si="0">F7</f>
        <v>0</v>
      </c>
      <c r="T7" s="701" t="s">
        <v>14</v>
      </c>
      <c r="U7" s="702">
        <f t="shared" ref="U7:U14" si="1">H7</f>
        <v>0</v>
      </c>
      <c r="V7" s="701" t="s">
        <v>14</v>
      </c>
      <c r="W7" s="702">
        <f t="shared" ref="W7:W14"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18" t="s">
        <v>1681</v>
      </c>
      <c r="Q8" s="3719"/>
      <c r="R8" s="701" t="s">
        <v>14</v>
      </c>
      <c r="S8" s="702">
        <f t="shared" si="0"/>
        <v>100</v>
      </c>
      <c r="T8" s="701" t="s">
        <v>14</v>
      </c>
      <c r="U8" s="702">
        <f t="shared" si="1"/>
        <v>100</v>
      </c>
      <c r="V8" s="701" t="s">
        <v>14</v>
      </c>
      <c r="W8" s="702">
        <f t="shared" si="2"/>
        <v>100</v>
      </c>
      <c r="X8" s="703"/>
      <c r="Y8" s="3718" t="s">
        <v>1681</v>
      </c>
      <c r="Z8" s="3719"/>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3" t="s">
        <v>1684</v>
      </c>
      <c r="Q9" s="1343" t="str">
        <f t="shared" ref="Q9:Q14" si="6">B9</f>
        <v>用途</v>
      </c>
      <c r="R9" s="701" t="s">
        <v>14</v>
      </c>
      <c r="S9" s="702">
        <f t="shared" si="0"/>
        <v>100</v>
      </c>
      <c r="T9" s="701" t="s">
        <v>14</v>
      </c>
      <c r="U9" s="702">
        <f t="shared" si="1"/>
        <v>100</v>
      </c>
      <c r="V9" s="701" t="s">
        <v>14</v>
      </c>
      <c r="W9" s="702">
        <f t="shared" si="2"/>
        <v>100</v>
      </c>
      <c r="X9" s="703"/>
      <c r="Y9" s="3691"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33"/>
      <c r="Q10" s="1343"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3"/>
      <c r="Q11" s="1343">
        <f t="shared" si="6"/>
        <v>111</v>
      </c>
      <c r="R11" s="701" t="s">
        <v>14</v>
      </c>
      <c r="S11" s="702">
        <f t="shared" si="0"/>
        <v>100</v>
      </c>
      <c r="T11" s="701" t="s">
        <v>14</v>
      </c>
      <c r="U11" s="702">
        <f t="shared" si="1"/>
        <v>100</v>
      </c>
      <c r="V11" s="701" t="s">
        <v>14</v>
      </c>
      <c r="W11" s="702">
        <f t="shared" si="2"/>
        <v>100</v>
      </c>
      <c r="X11" s="703"/>
      <c r="Y11" s="36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3"/>
      <c r="Q12" s="1343">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3"/>
      <c r="Q13" s="1343">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48" t="s">
        <v>1689</v>
      </c>
      <c r="Q14" s="1352" t="str">
        <f t="shared" si="6"/>
        <v>交通便捷度</v>
      </c>
      <c r="R14" s="705" t="s">
        <v>14</v>
      </c>
      <c r="S14" s="706">
        <f t="shared" si="0"/>
        <v>100</v>
      </c>
      <c r="T14" s="705" t="s">
        <v>14</v>
      </c>
      <c r="U14" s="706">
        <f t="shared" si="1"/>
        <v>100</v>
      </c>
      <c r="V14" s="705" t="s">
        <v>14</v>
      </c>
      <c r="W14" s="706">
        <f t="shared" si="2"/>
        <v>100</v>
      </c>
      <c r="X14" s="1355"/>
      <c r="Y14" s="3748"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49"/>
      <c r="Q15" s="1352"/>
      <c r="R15" s="705"/>
      <c r="S15" s="706"/>
      <c r="T15" s="705"/>
      <c r="U15" s="706"/>
      <c r="V15" s="705"/>
      <c r="W15" s="706"/>
      <c r="X15" s="1355"/>
      <c r="Y15" s="3749"/>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49"/>
      <c r="Q17" s="1352"/>
      <c r="R17" s="705"/>
      <c r="S17" s="706"/>
      <c r="T17" s="705"/>
      <c r="U17" s="706"/>
      <c r="V17" s="705"/>
      <c r="W17" s="706"/>
      <c r="X17" s="1355"/>
      <c r="Y17" s="3749"/>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49"/>
      <c r="Q19" s="1352"/>
      <c r="R19" s="705"/>
      <c r="S19" s="706"/>
      <c r="T19" s="705"/>
      <c r="U19" s="706"/>
      <c r="V19" s="705"/>
      <c r="W19" s="706"/>
      <c r="X19" s="1355"/>
      <c r="Y19" s="3749"/>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49"/>
      <c r="Q21" s="1352"/>
      <c r="R21" s="705"/>
      <c r="S21" s="706"/>
      <c r="T21" s="705"/>
      <c r="U21" s="706"/>
      <c r="V21" s="705"/>
      <c r="W21" s="706"/>
      <c r="X21" s="1355"/>
      <c r="Y21" s="374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9"/>
      <c r="Q24" s="1352">
        <f t="shared" ref="Q24:Q36"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0"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1"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51"/>
      <c r="Q27" s="707" t="str">
        <f t="shared" si="11"/>
        <v>项目停车位配比</v>
      </c>
      <c r="R27" s="708" t="s">
        <v>14</v>
      </c>
      <c r="S27" s="709">
        <f t="shared" si="12"/>
        <v>100</v>
      </c>
      <c r="T27" s="708" t="s">
        <v>14</v>
      </c>
      <c r="U27" s="709">
        <f t="shared" si="13"/>
        <v>100</v>
      </c>
      <c r="V27" s="708" t="s">
        <v>14</v>
      </c>
      <c r="W27" s="709">
        <f t="shared" si="14"/>
        <v>100</v>
      </c>
      <c r="X27" s="710"/>
      <c r="Y27" s="3751"/>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51"/>
      <c r="Q28" s="1352" t="str">
        <f t="shared" si="11"/>
        <v>公共部分装修</v>
      </c>
      <c r="R28" s="705" t="s">
        <v>14</v>
      </c>
      <c r="S28" s="706">
        <f t="shared" si="12"/>
        <v>100</v>
      </c>
      <c r="T28" s="705" t="s">
        <v>14</v>
      </c>
      <c r="U28" s="706">
        <f t="shared" si="13"/>
        <v>100</v>
      </c>
      <c r="V28" s="705" t="s">
        <v>14</v>
      </c>
      <c r="W28" s="706">
        <f t="shared" si="14"/>
        <v>100</v>
      </c>
      <c r="X28" s="1355"/>
      <c r="Y28" s="3751"/>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51"/>
      <c r="Q29" s="1352" t="str">
        <f t="shared" si="11"/>
        <v>成新率</v>
      </c>
      <c r="R29" s="705" t="s">
        <v>14</v>
      </c>
      <c r="S29" s="706" t="e">
        <f t="shared" si="12"/>
        <v>#N/A</v>
      </c>
      <c r="T29" s="705" t="s">
        <v>14</v>
      </c>
      <c r="U29" s="706" t="e">
        <f t="shared" si="13"/>
        <v>#N/A</v>
      </c>
      <c r="V29" s="705" t="s">
        <v>14</v>
      </c>
      <c r="W29" s="706" t="e">
        <f t="shared" si="14"/>
        <v>#N/A</v>
      </c>
      <c r="X29" s="1355"/>
      <c r="Y29" s="3751"/>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51"/>
      <c r="Q30" s="1352" t="str">
        <f t="shared" si="11"/>
        <v>物业等级</v>
      </c>
      <c r="R30" s="705" t="s">
        <v>14</v>
      </c>
      <c r="S30" s="706">
        <f t="shared" si="12"/>
        <v>100</v>
      </c>
      <c r="T30" s="705" t="s">
        <v>14</v>
      </c>
      <c r="U30" s="706">
        <f t="shared" si="13"/>
        <v>100</v>
      </c>
      <c r="V30" s="705" t="s">
        <v>14</v>
      </c>
      <c r="W30" s="706">
        <f t="shared" si="14"/>
        <v>100</v>
      </c>
      <c r="X30" s="1355"/>
      <c r="Y30" s="3751"/>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51"/>
      <c r="Q31" s="1343" t="str">
        <f t="shared" si="11"/>
        <v>停车位面积</v>
      </c>
      <c r="R31" s="701" t="s">
        <v>14</v>
      </c>
      <c r="S31" s="702" t="e">
        <f t="shared" si="12"/>
        <v>#N/A</v>
      </c>
      <c r="T31" s="701" t="s">
        <v>14</v>
      </c>
      <c r="U31" s="702" t="e">
        <f t="shared" si="13"/>
        <v>#N/A</v>
      </c>
      <c r="V31" s="701" t="s">
        <v>14</v>
      </c>
      <c r="W31" s="702" t="e">
        <f t="shared" si="14"/>
        <v>#N/A</v>
      </c>
      <c r="X31" s="703"/>
      <c r="Y31" s="375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51" t="s">
        <v>1694</v>
      </c>
      <c r="Q32" s="1352" t="str">
        <f t="shared" si="11"/>
        <v>车位类型</v>
      </c>
      <c r="R32" s="705" t="s">
        <v>14</v>
      </c>
      <c r="S32" s="706">
        <f t="shared" si="12"/>
        <v>100</v>
      </c>
      <c r="T32" s="705" t="s">
        <v>14</v>
      </c>
      <c r="U32" s="706">
        <f t="shared" si="13"/>
        <v>100</v>
      </c>
      <c r="V32" s="705" t="s">
        <v>14</v>
      </c>
      <c r="W32" s="706">
        <f t="shared" si="14"/>
        <v>100</v>
      </c>
      <c r="X32" s="1355"/>
      <c r="Y32" s="3751"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51"/>
      <c r="Q33" s="1352" t="str">
        <f t="shared" si="11"/>
        <v>是否直接入户</v>
      </c>
      <c r="R33" s="705" t="s">
        <v>14</v>
      </c>
      <c r="S33" s="706">
        <f t="shared" si="12"/>
        <v>100</v>
      </c>
      <c r="T33" s="705" t="s">
        <v>14</v>
      </c>
      <c r="U33" s="706">
        <f t="shared" si="13"/>
        <v>100</v>
      </c>
      <c r="V33" s="705" t="s">
        <v>14</v>
      </c>
      <c r="W33" s="706">
        <f t="shared" si="14"/>
        <v>100</v>
      </c>
      <c r="X33" s="1355"/>
      <c r="Y33" s="37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51"/>
      <c r="Q34" s="1352">
        <f t="shared" si="11"/>
        <v>111</v>
      </c>
      <c r="R34" s="705" t="s">
        <v>14</v>
      </c>
      <c r="S34" s="706">
        <f t="shared" si="12"/>
        <v>100</v>
      </c>
      <c r="T34" s="705" t="s">
        <v>14</v>
      </c>
      <c r="U34" s="706">
        <f t="shared" si="13"/>
        <v>100</v>
      </c>
      <c r="V34" s="705" t="s">
        <v>14</v>
      </c>
      <c r="W34" s="706">
        <f t="shared" si="14"/>
        <v>100</v>
      </c>
      <c r="X34" s="1355"/>
      <c r="Y34" s="37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51"/>
      <c r="Q35" s="707">
        <f t="shared" si="11"/>
        <v>111</v>
      </c>
      <c r="R35" s="708" t="s">
        <v>14</v>
      </c>
      <c r="S35" s="709">
        <f t="shared" si="12"/>
        <v>100</v>
      </c>
      <c r="T35" s="708" t="s">
        <v>14</v>
      </c>
      <c r="U35" s="709">
        <f t="shared" si="13"/>
        <v>100</v>
      </c>
      <c r="V35" s="708" t="s">
        <v>14</v>
      </c>
      <c r="W35" s="709">
        <f t="shared" si="14"/>
        <v>100</v>
      </c>
      <c r="X35" s="710"/>
      <c r="Y35" s="37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51"/>
      <c r="Q36" s="1352">
        <f t="shared" si="11"/>
        <v>111</v>
      </c>
      <c r="R36" s="705" t="s">
        <v>14</v>
      </c>
      <c r="S36" s="706">
        <f t="shared" si="12"/>
        <v>100</v>
      </c>
      <c r="T36" s="705" t="s">
        <v>14</v>
      </c>
      <c r="U36" s="706">
        <f t="shared" si="13"/>
        <v>100</v>
      </c>
      <c r="V36" s="705" t="s">
        <v>14</v>
      </c>
      <c r="W36" s="706">
        <f t="shared" si="14"/>
        <v>100</v>
      </c>
      <c r="X36" s="1355"/>
      <c r="Y36" s="3751"/>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733" t="str">
        <f>A37</f>
        <v>成交单价</v>
      </c>
      <c r="Q37" s="3733"/>
      <c r="R37" s="3753">
        <f>E37</f>
        <v>0</v>
      </c>
      <c r="S37" s="3753"/>
      <c r="T37" s="3753">
        <f>G37</f>
        <v>0</v>
      </c>
      <c r="U37" s="3753"/>
      <c r="V37" s="3753">
        <f>I37</f>
        <v>0</v>
      </c>
      <c r="W37" s="3753"/>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33" t="str">
        <f>A38</f>
        <v>比较价值（元/平方米）</v>
      </c>
      <c r="Q38" s="3733"/>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54" t="str">
        <f>A39</f>
        <v>估价对象XX用房的比较价值（楼面单价，元/平方米）</v>
      </c>
      <c r="Q39" s="3755"/>
      <c r="R39" s="3826" t="e">
        <f>IF(F1="售价",ROUND(IF(D38="简单平均",AVERAGE(R38:W38),R38*F38+T38*H38+V38*J38),0),ROUND(IF(D38="简单平均",AVERAGE(R38:V38),R38*F38+T38*H38+V38*J38),1))</f>
        <v>#DIV/0!</v>
      </c>
      <c r="S39" s="3826"/>
      <c r="T39" s="3826"/>
      <c r="U39" s="3826"/>
      <c r="V39" s="3826"/>
      <c r="W39" s="3826"/>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20" t="s">
        <v>1769</v>
      </c>
      <c r="S4" s="3721"/>
      <c r="T4" s="3720" t="s">
        <v>1770</v>
      </c>
      <c r="U4" s="3721"/>
      <c r="V4" s="3746" t="s">
        <v>1771</v>
      </c>
      <c r="W4" s="3746"/>
      <c r="X4" s="1355"/>
      <c r="Y4" s="3720" t="s">
        <v>1773</v>
      </c>
      <c r="Z4" s="3721"/>
      <c r="AA4" s="3715" t="s">
        <v>1769</v>
      </c>
      <c r="AB4" s="3716" t="s">
        <v>1770</v>
      </c>
      <c r="AC4" s="3715" t="s">
        <v>1771</v>
      </c>
    </row>
    <row r="5" spans="1:29" ht="15">
      <c r="A5" s="358"/>
      <c r="B5" s="359"/>
      <c r="C5" s="3730" t="s">
        <v>1671</v>
      </c>
      <c r="D5" s="3727"/>
      <c r="E5" s="3724" t="s">
        <v>1672</v>
      </c>
      <c r="F5" s="3725"/>
      <c r="G5" s="3730" t="s">
        <v>1673</v>
      </c>
      <c r="H5" s="3727"/>
      <c r="I5" s="3730" t="s">
        <v>1674</v>
      </c>
      <c r="J5" s="3727"/>
      <c r="K5" s="559"/>
      <c r="L5" s="2709"/>
      <c r="M5" s="2710"/>
      <c r="N5" s="2710"/>
      <c r="O5" s="2710"/>
      <c r="P5" s="3740"/>
      <c r="Q5" s="3741"/>
      <c r="R5" s="3722"/>
      <c r="S5" s="3723"/>
      <c r="T5" s="3722"/>
      <c r="U5" s="3723"/>
      <c r="V5" s="3746"/>
      <c r="W5" s="3746"/>
      <c r="X5" s="1355"/>
      <c r="Y5" s="3722"/>
      <c r="Z5" s="3723"/>
      <c r="AA5" s="3716"/>
      <c r="AB5" s="3716"/>
      <c r="AC5" s="3716"/>
    </row>
    <row r="6" spans="1:29" ht="15.75" thickBot="1">
      <c r="A6" s="360"/>
      <c r="B6" s="361"/>
      <c r="C6" s="3728" t="s">
        <v>1675</v>
      </c>
      <c r="D6" s="3729"/>
      <c r="E6" s="3731" t="s">
        <v>1675</v>
      </c>
      <c r="F6" s="3732"/>
      <c r="G6" s="3728" t="s">
        <v>1675</v>
      </c>
      <c r="H6" s="3729"/>
      <c r="I6" s="3728" t="s">
        <v>1675</v>
      </c>
      <c r="J6" s="3729"/>
      <c r="K6" s="559" t="s">
        <v>1676</v>
      </c>
      <c r="L6" s="2709"/>
      <c r="M6" s="2710"/>
      <c r="N6" s="2710"/>
      <c r="O6" s="2710"/>
      <c r="P6" s="3742"/>
      <c r="Q6" s="3743"/>
      <c r="R6" s="3722"/>
      <c r="S6" s="3723"/>
      <c r="T6" s="3744"/>
      <c r="U6" s="3745"/>
      <c r="V6" s="3746"/>
      <c r="W6" s="3746"/>
      <c r="X6" s="1355"/>
      <c r="Y6" s="3744"/>
      <c r="Z6" s="3745"/>
      <c r="AA6" s="3717"/>
      <c r="AB6" s="3717"/>
      <c r="AC6" s="3717"/>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18" t="s">
        <v>1678</v>
      </c>
      <c r="Q7" s="3747"/>
      <c r="R7" s="701" t="s">
        <v>14</v>
      </c>
      <c r="S7" s="702">
        <f t="shared" ref="S7:S14" si="0">F7</f>
        <v>0</v>
      </c>
      <c r="T7" s="701" t="s">
        <v>14</v>
      </c>
      <c r="U7" s="702">
        <f t="shared" ref="U7:U14" si="1">H7</f>
        <v>0</v>
      </c>
      <c r="V7" s="701" t="s">
        <v>14</v>
      </c>
      <c r="W7" s="702">
        <f t="shared" ref="W7:W14" si="2">J7</f>
        <v>0</v>
      </c>
      <c r="X7" s="703"/>
      <c r="Y7" s="3718" t="s">
        <v>1678</v>
      </c>
      <c r="Z7" s="3719"/>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18" t="s">
        <v>1681</v>
      </c>
      <c r="Q8" s="3719"/>
      <c r="R8" s="701" t="s">
        <v>14</v>
      </c>
      <c r="S8" s="702">
        <f t="shared" si="0"/>
        <v>100</v>
      </c>
      <c r="T8" s="701" t="s">
        <v>14</v>
      </c>
      <c r="U8" s="702">
        <f t="shared" si="1"/>
        <v>100</v>
      </c>
      <c r="V8" s="701" t="s">
        <v>14</v>
      </c>
      <c r="W8" s="702">
        <f t="shared" si="2"/>
        <v>100</v>
      </c>
      <c r="X8" s="703"/>
      <c r="Y8" s="3718" t="s">
        <v>1681</v>
      </c>
      <c r="Z8" s="3719"/>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3" t="s">
        <v>1684</v>
      </c>
      <c r="Q9" s="1343" t="str">
        <f t="shared" ref="Q9:Q14" si="6">B9</f>
        <v>用途</v>
      </c>
      <c r="R9" s="701" t="s">
        <v>14</v>
      </c>
      <c r="S9" s="702">
        <f t="shared" si="0"/>
        <v>100</v>
      </c>
      <c r="T9" s="701" t="s">
        <v>14</v>
      </c>
      <c r="U9" s="702">
        <f t="shared" si="1"/>
        <v>100</v>
      </c>
      <c r="V9" s="701" t="s">
        <v>14</v>
      </c>
      <c r="W9" s="702">
        <f t="shared" si="2"/>
        <v>100</v>
      </c>
      <c r="X9" s="703"/>
      <c r="Y9" s="3691"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33"/>
      <c r="Q10" s="1343"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3"/>
      <c r="Q11" s="1343">
        <f t="shared" si="6"/>
        <v>111</v>
      </c>
      <c r="R11" s="701" t="s">
        <v>14</v>
      </c>
      <c r="S11" s="702">
        <f t="shared" si="0"/>
        <v>100</v>
      </c>
      <c r="T11" s="701" t="s">
        <v>14</v>
      </c>
      <c r="U11" s="702">
        <f t="shared" si="1"/>
        <v>100</v>
      </c>
      <c r="V11" s="701" t="s">
        <v>14</v>
      </c>
      <c r="W11" s="702">
        <f t="shared" si="2"/>
        <v>100</v>
      </c>
      <c r="X11" s="703"/>
      <c r="Y11" s="369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3"/>
      <c r="Q12" s="1343">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33"/>
      <c r="Q13" s="1343">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48" t="s">
        <v>1689</v>
      </c>
      <c r="Q14" s="1352" t="str">
        <f t="shared" si="6"/>
        <v>交通便捷度</v>
      </c>
      <c r="R14" s="705" t="s">
        <v>14</v>
      </c>
      <c r="S14" s="706">
        <f t="shared" si="0"/>
        <v>100</v>
      </c>
      <c r="T14" s="705" t="s">
        <v>14</v>
      </c>
      <c r="U14" s="706">
        <f t="shared" si="1"/>
        <v>100</v>
      </c>
      <c r="V14" s="705" t="s">
        <v>14</v>
      </c>
      <c r="W14" s="706">
        <f t="shared" si="2"/>
        <v>100</v>
      </c>
      <c r="X14" s="1355"/>
      <c r="Y14" s="3748"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49"/>
      <c r="Q15" s="1352"/>
      <c r="R15" s="705"/>
      <c r="S15" s="706"/>
      <c r="T15" s="705"/>
      <c r="U15" s="706"/>
      <c r="V15" s="705"/>
      <c r="W15" s="706"/>
      <c r="X15" s="1355"/>
      <c r="Y15" s="3749"/>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49"/>
      <c r="Q17" s="1352"/>
      <c r="R17" s="705"/>
      <c r="S17" s="706"/>
      <c r="T17" s="705"/>
      <c r="U17" s="706"/>
      <c r="V17" s="705"/>
      <c r="W17" s="706"/>
      <c r="X17" s="1355"/>
      <c r="Y17" s="3749"/>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49"/>
      <c r="Q19" s="1352"/>
      <c r="R19" s="705"/>
      <c r="S19" s="706"/>
      <c r="T19" s="705"/>
      <c r="U19" s="706"/>
      <c r="V19" s="705"/>
      <c r="W19" s="706"/>
      <c r="X19" s="1355"/>
      <c r="Y19" s="3749"/>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49"/>
      <c r="Q21" s="1352"/>
      <c r="R21" s="705"/>
      <c r="S21" s="706"/>
      <c r="T21" s="705"/>
      <c r="U21" s="706"/>
      <c r="V21" s="705"/>
      <c r="W21" s="706"/>
      <c r="X21" s="1355"/>
      <c r="Y21" s="374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9"/>
      <c r="Q24" s="1352">
        <f t="shared" ref="Q24:Q34"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50"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1"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51"/>
      <c r="Q27" s="707" t="str">
        <f t="shared" si="11"/>
        <v>成新率</v>
      </c>
      <c r="R27" s="708" t="s">
        <v>14</v>
      </c>
      <c r="S27" s="709" t="e">
        <f t="shared" si="12"/>
        <v>#N/A</v>
      </c>
      <c r="T27" s="708" t="s">
        <v>14</v>
      </c>
      <c r="U27" s="709" t="e">
        <f t="shared" si="13"/>
        <v>#N/A</v>
      </c>
      <c r="V27" s="708" t="s">
        <v>14</v>
      </c>
      <c r="W27" s="709" t="e">
        <f t="shared" si="14"/>
        <v>#N/A</v>
      </c>
      <c r="X27" s="710"/>
      <c r="Y27" s="3751"/>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51"/>
      <c r="Q28" s="1352" t="str">
        <f t="shared" si="11"/>
        <v>物业等级</v>
      </c>
      <c r="R28" s="705" t="s">
        <v>14</v>
      </c>
      <c r="S28" s="706">
        <f t="shared" si="12"/>
        <v>100</v>
      </c>
      <c r="T28" s="705" t="s">
        <v>14</v>
      </c>
      <c r="U28" s="706">
        <f t="shared" si="13"/>
        <v>100</v>
      </c>
      <c r="V28" s="705" t="s">
        <v>14</v>
      </c>
      <c r="W28" s="706">
        <f t="shared" si="14"/>
        <v>100</v>
      </c>
      <c r="X28" s="1355"/>
      <c r="Y28" s="3751"/>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51"/>
      <c r="Q29" s="1352" t="str">
        <f t="shared" si="11"/>
        <v>有无电梯</v>
      </c>
      <c r="R29" s="705" t="s">
        <v>14</v>
      </c>
      <c r="S29" s="706">
        <f t="shared" si="12"/>
        <v>100</v>
      </c>
      <c r="T29" s="705" t="s">
        <v>14</v>
      </c>
      <c r="U29" s="706">
        <f t="shared" si="13"/>
        <v>100</v>
      </c>
      <c r="V29" s="705" t="s">
        <v>14</v>
      </c>
      <c r="W29" s="706">
        <f t="shared" si="14"/>
        <v>100</v>
      </c>
      <c r="X29" s="1355"/>
      <c r="Y29" s="3751"/>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51"/>
      <c r="Q30" s="1352" t="str">
        <f t="shared" si="11"/>
        <v>建筑面积</v>
      </c>
      <c r="R30" s="705" t="s">
        <v>14</v>
      </c>
      <c r="S30" s="706" t="e">
        <f t="shared" si="12"/>
        <v>#N/A</v>
      </c>
      <c r="T30" s="705" t="s">
        <v>14</v>
      </c>
      <c r="U30" s="706" t="e">
        <f t="shared" si="13"/>
        <v>#N/A</v>
      </c>
      <c r="V30" s="705" t="s">
        <v>14</v>
      </c>
      <c r="W30" s="706" t="e">
        <f t="shared" si="14"/>
        <v>#N/A</v>
      </c>
      <c r="X30" s="1355"/>
      <c r="Y30" s="3751"/>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51"/>
      <c r="Q31" s="1343" t="str">
        <f t="shared" si="11"/>
        <v>是否封闭</v>
      </c>
      <c r="R31" s="701" t="s">
        <v>14</v>
      </c>
      <c r="S31" s="702">
        <f t="shared" si="12"/>
        <v>100</v>
      </c>
      <c r="T31" s="701" t="s">
        <v>14</v>
      </c>
      <c r="U31" s="702">
        <f t="shared" si="13"/>
        <v>100</v>
      </c>
      <c r="V31" s="701" t="s">
        <v>14</v>
      </c>
      <c r="W31" s="702">
        <f t="shared" si="14"/>
        <v>100</v>
      </c>
      <c r="X31" s="703"/>
      <c r="Y31" s="37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51" t="s">
        <v>1694</v>
      </c>
      <c r="Q32" s="1352">
        <f t="shared" si="11"/>
        <v>111</v>
      </c>
      <c r="R32" s="705" t="s">
        <v>14</v>
      </c>
      <c r="S32" s="706">
        <f t="shared" si="12"/>
        <v>100</v>
      </c>
      <c r="T32" s="705" t="s">
        <v>14</v>
      </c>
      <c r="U32" s="706">
        <f t="shared" si="13"/>
        <v>100</v>
      </c>
      <c r="V32" s="705" t="s">
        <v>14</v>
      </c>
      <c r="W32" s="706">
        <f t="shared" si="14"/>
        <v>100</v>
      </c>
      <c r="X32" s="1355"/>
      <c r="Y32" s="3751"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51"/>
      <c r="Q33" s="1352">
        <f t="shared" si="11"/>
        <v>111</v>
      </c>
      <c r="R33" s="705" t="s">
        <v>14</v>
      </c>
      <c r="S33" s="706">
        <f t="shared" si="12"/>
        <v>100</v>
      </c>
      <c r="T33" s="705" t="s">
        <v>14</v>
      </c>
      <c r="U33" s="706">
        <f t="shared" si="13"/>
        <v>100</v>
      </c>
      <c r="V33" s="705" t="s">
        <v>14</v>
      </c>
      <c r="W33" s="706">
        <f t="shared" si="14"/>
        <v>100</v>
      </c>
      <c r="X33" s="1355"/>
      <c r="Y33" s="375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51"/>
      <c r="Q34" s="1352">
        <f t="shared" si="11"/>
        <v>111</v>
      </c>
      <c r="R34" s="705" t="s">
        <v>14</v>
      </c>
      <c r="S34" s="706">
        <f t="shared" si="12"/>
        <v>100</v>
      </c>
      <c r="T34" s="705" t="s">
        <v>14</v>
      </c>
      <c r="U34" s="706">
        <f t="shared" si="13"/>
        <v>100</v>
      </c>
      <c r="V34" s="705" t="s">
        <v>14</v>
      </c>
      <c r="W34" s="706">
        <f t="shared" si="14"/>
        <v>100</v>
      </c>
      <c r="X34" s="1355"/>
      <c r="Y34" s="3751"/>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33" t="str">
        <f>A35</f>
        <v>成交单价（元/平方米）</v>
      </c>
      <c r="Q35" s="3733"/>
      <c r="R35" s="3753">
        <f>E35</f>
        <v>0</v>
      </c>
      <c r="S35" s="3753"/>
      <c r="T35" s="3753">
        <f>G35</f>
        <v>0</v>
      </c>
      <c r="U35" s="3753"/>
      <c r="V35" s="3753">
        <f>I35</f>
        <v>0</v>
      </c>
      <c r="W35" s="3753"/>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33" t="str">
        <f>A36</f>
        <v>比较价值（元/平方米）</v>
      </c>
      <c r="Q36" s="3733"/>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54" t="str">
        <f>A37</f>
        <v>估价对象XX用房的比较价值（楼面单价，元/平方米）</v>
      </c>
      <c r="Q37" s="3755"/>
      <c r="R37" s="3826" t="e">
        <f>IF(F1="售价",ROUND(IF(D36="简单平均",AVERAGE(R36:W36),R36*F36+T36*H36+V36*J36),0),ROUND(IF(D36="简单平均",AVERAGE(R36:V36),R36*F36+T36*H36+V36*J36),1))</f>
        <v>#DIV/0!</v>
      </c>
      <c r="S37" s="3826"/>
      <c r="T37" s="3826"/>
      <c r="U37" s="3826"/>
      <c r="V37" s="3826"/>
      <c r="W37" s="3826"/>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20" t="s">
        <v>1769</v>
      </c>
      <c r="S4" s="3721"/>
      <c r="T4" s="3720" t="s">
        <v>1770</v>
      </c>
      <c r="U4" s="3721"/>
      <c r="V4" s="3746" t="s">
        <v>1771</v>
      </c>
      <c r="W4" s="3746"/>
      <c r="X4" s="1355"/>
      <c r="Y4" s="3720" t="s">
        <v>1773</v>
      </c>
      <c r="Z4" s="3721"/>
      <c r="AA4" s="3715" t="s">
        <v>1769</v>
      </c>
      <c r="AB4" s="3716" t="s">
        <v>1770</v>
      </c>
      <c r="AC4" s="3715" t="s">
        <v>1771</v>
      </c>
    </row>
    <row r="5" spans="1:30" ht="15">
      <c r="A5" s="358"/>
      <c r="B5" s="359"/>
      <c r="C5" s="3730" t="s">
        <v>1671</v>
      </c>
      <c r="D5" s="3727"/>
      <c r="E5" s="3724" t="s">
        <v>1672</v>
      </c>
      <c r="F5" s="3725"/>
      <c r="G5" s="3730" t="s">
        <v>1673</v>
      </c>
      <c r="H5" s="3727"/>
      <c r="I5" s="3730" t="s">
        <v>1674</v>
      </c>
      <c r="J5" s="3727"/>
      <c r="K5" s="559"/>
      <c r="L5" s="2709"/>
      <c r="M5" s="2710"/>
      <c r="N5" s="2710"/>
      <c r="O5" s="2710"/>
      <c r="P5" s="3740"/>
      <c r="Q5" s="3741"/>
      <c r="R5" s="3722"/>
      <c r="S5" s="3723"/>
      <c r="T5" s="3722"/>
      <c r="U5" s="3723"/>
      <c r="V5" s="3746"/>
      <c r="W5" s="3746"/>
      <c r="X5" s="1355"/>
      <c r="Y5" s="3722"/>
      <c r="Z5" s="3723"/>
      <c r="AA5" s="3716"/>
      <c r="AB5" s="3716"/>
      <c r="AC5" s="3716"/>
    </row>
    <row r="6" spans="1:30" ht="15.75" thickBot="1">
      <c r="A6" s="360"/>
      <c r="B6" s="361"/>
      <c r="C6" s="3728" t="s">
        <v>1675</v>
      </c>
      <c r="D6" s="3729"/>
      <c r="E6" s="3731" t="s">
        <v>1675</v>
      </c>
      <c r="F6" s="3732"/>
      <c r="G6" s="3728" t="s">
        <v>1675</v>
      </c>
      <c r="H6" s="3729"/>
      <c r="I6" s="3728" t="s">
        <v>1675</v>
      </c>
      <c r="J6" s="3729"/>
      <c r="K6" s="559" t="s">
        <v>1676</v>
      </c>
      <c r="L6" s="2709"/>
      <c r="M6" s="2710"/>
      <c r="N6" s="2710"/>
      <c r="O6" s="2710"/>
      <c r="P6" s="3742"/>
      <c r="Q6" s="3743"/>
      <c r="R6" s="3722"/>
      <c r="S6" s="3723"/>
      <c r="T6" s="3744"/>
      <c r="U6" s="3745"/>
      <c r="V6" s="3746"/>
      <c r="W6" s="3746"/>
      <c r="X6" s="1355"/>
      <c r="Y6" s="3744"/>
      <c r="Z6" s="3745"/>
      <c r="AA6" s="3717"/>
      <c r="AB6" s="3717"/>
      <c r="AC6" s="3717"/>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18" t="s">
        <v>1678</v>
      </c>
      <c r="Q7" s="3747"/>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18" t="s">
        <v>1681</v>
      </c>
      <c r="Q8" s="3719"/>
      <c r="R8" s="701" t="s">
        <v>14</v>
      </c>
      <c r="S8" s="702">
        <f t="shared" si="0"/>
        <v>0</v>
      </c>
      <c r="T8" s="701" t="s">
        <v>14</v>
      </c>
      <c r="U8" s="702">
        <f t="shared" si="1"/>
        <v>0</v>
      </c>
      <c r="V8" s="701" t="s">
        <v>14</v>
      </c>
      <c r="W8" s="702">
        <f t="shared" si="2"/>
        <v>0</v>
      </c>
      <c r="X8" s="703"/>
      <c r="Y8" s="3718" t="s">
        <v>1681</v>
      </c>
      <c r="Z8" s="3719"/>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33" t="s">
        <v>1684</v>
      </c>
      <c r="Q9" s="1343" t="str">
        <f t="shared" ref="Q9:Q15" si="6">B9</f>
        <v>用途</v>
      </c>
      <c r="R9" s="701" t="s">
        <v>14</v>
      </c>
      <c r="S9" s="702">
        <f t="shared" si="0"/>
        <v>100</v>
      </c>
      <c r="T9" s="701" t="s">
        <v>14</v>
      </c>
      <c r="U9" s="702">
        <f t="shared" si="1"/>
        <v>100</v>
      </c>
      <c r="V9" s="701" t="s">
        <v>14</v>
      </c>
      <c r="W9" s="702">
        <f t="shared" si="2"/>
        <v>100</v>
      </c>
      <c r="X9" s="703"/>
      <c r="Y9" s="369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733"/>
      <c r="Q10" s="1343" t="str">
        <f t="shared" si="6"/>
        <v>土地使用年限（年）</v>
      </c>
      <c r="R10" s="701" t="s">
        <v>14</v>
      </c>
      <c r="S10" s="702">
        <f t="shared" si="0"/>
        <v>113</v>
      </c>
      <c r="T10" s="701" t="s">
        <v>14</v>
      </c>
      <c r="U10" s="702">
        <f t="shared" si="1"/>
        <v>113</v>
      </c>
      <c r="V10" s="701" t="s">
        <v>14</v>
      </c>
      <c r="W10" s="702">
        <f t="shared" si="2"/>
        <v>113</v>
      </c>
      <c r="X10" s="703"/>
      <c r="Y10" s="3691"/>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3"/>
      <c r="Q11" s="1343"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3"/>
      <c r="Q12" s="1343" t="str">
        <f t="shared" si="6"/>
        <v>配建</v>
      </c>
      <c r="R12" s="701" t="s">
        <v>14</v>
      </c>
      <c r="S12" s="702">
        <f t="shared" si="0"/>
        <v>100</v>
      </c>
      <c r="T12" s="701" t="s">
        <v>14</v>
      </c>
      <c r="U12" s="702">
        <f t="shared" si="1"/>
        <v>100</v>
      </c>
      <c r="V12" s="701" t="s">
        <v>14</v>
      </c>
      <c r="W12" s="702">
        <f t="shared" si="2"/>
        <v>100</v>
      </c>
      <c r="X12" s="703"/>
      <c r="Y12" s="369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3"/>
      <c r="Q13" s="1343">
        <f t="shared" si="6"/>
        <v>111</v>
      </c>
      <c r="R13" s="701" t="s">
        <v>14</v>
      </c>
      <c r="S13" s="702">
        <f t="shared" si="0"/>
        <v>100</v>
      </c>
      <c r="T13" s="701" t="s">
        <v>14</v>
      </c>
      <c r="U13" s="702">
        <f t="shared" si="1"/>
        <v>100</v>
      </c>
      <c r="V13" s="701" t="s">
        <v>14</v>
      </c>
      <c r="W13" s="702">
        <f t="shared" si="2"/>
        <v>100</v>
      </c>
      <c r="X13" s="703"/>
      <c r="Y13" s="369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3"/>
      <c r="Q14" s="1343">
        <f t="shared" si="6"/>
        <v>111</v>
      </c>
      <c r="R14" s="701" t="s">
        <v>14</v>
      </c>
      <c r="S14" s="702">
        <f t="shared" si="0"/>
        <v>100</v>
      </c>
      <c r="T14" s="701" t="s">
        <v>14</v>
      </c>
      <c r="U14" s="702">
        <f t="shared" si="1"/>
        <v>100</v>
      </c>
      <c r="V14" s="701" t="s">
        <v>14</v>
      </c>
      <c r="W14" s="702">
        <f t="shared" si="2"/>
        <v>100</v>
      </c>
      <c r="X14" s="703"/>
      <c r="Y14" s="3691"/>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48" t="s">
        <v>1689</v>
      </c>
      <c r="Q15" s="1352" t="str">
        <f t="shared" si="6"/>
        <v>居住社区成熟度</v>
      </c>
      <c r="R15" s="705" t="s">
        <v>14</v>
      </c>
      <c r="S15" s="706">
        <f t="shared" si="0"/>
        <v>100</v>
      </c>
      <c r="T15" s="705" t="s">
        <v>14</v>
      </c>
      <c r="U15" s="706">
        <f t="shared" si="1"/>
        <v>100</v>
      </c>
      <c r="V15" s="705" t="s">
        <v>14</v>
      </c>
      <c r="W15" s="706">
        <f t="shared" si="2"/>
        <v>100</v>
      </c>
      <c r="X15" s="1355"/>
      <c r="Y15" s="3748"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49"/>
      <c r="Q16" s="1352"/>
      <c r="R16" s="705"/>
      <c r="S16" s="706"/>
      <c r="T16" s="705"/>
      <c r="U16" s="706"/>
      <c r="V16" s="705"/>
      <c r="W16" s="706"/>
      <c r="X16" s="1355"/>
      <c r="Y16" s="3749"/>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9"/>
      <c r="Q17" s="1352" t="str">
        <f>B17</f>
        <v>商业繁华度</v>
      </c>
      <c r="R17" s="705" t="s">
        <v>14</v>
      </c>
      <c r="S17" s="706">
        <f>F17</f>
        <v>100</v>
      </c>
      <c r="T17" s="705" t="s">
        <v>14</v>
      </c>
      <c r="U17" s="706">
        <f>H17</f>
        <v>100</v>
      </c>
      <c r="V17" s="705" t="s">
        <v>14</v>
      </c>
      <c r="W17" s="706">
        <f>J17</f>
        <v>100</v>
      </c>
      <c r="X17" s="1355"/>
      <c r="Y17" s="37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49"/>
      <c r="Q18" s="1352"/>
      <c r="R18" s="705"/>
      <c r="S18" s="706"/>
      <c r="T18" s="705"/>
      <c r="U18" s="706"/>
      <c r="V18" s="705"/>
      <c r="W18" s="706"/>
      <c r="X18" s="1355"/>
      <c r="Y18" s="3749"/>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9"/>
      <c r="Q19" s="1352" t="str">
        <f>B19</f>
        <v>办公集聚程度</v>
      </c>
      <c r="R19" s="705" t="s">
        <v>14</v>
      </c>
      <c r="S19" s="706">
        <f>F19</f>
        <v>100</v>
      </c>
      <c r="T19" s="705" t="s">
        <v>14</v>
      </c>
      <c r="U19" s="706">
        <f>H19</f>
        <v>100</v>
      </c>
      <c r="V19" s="705" t="s">
        <v>14</v>
      </c>
      <c r="W19" s="706">
        <f>J19</f>
        <v>100</v>
      </c>
      <c r="X19" s="1355"/>
      <c r="Y19" s="37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49"/>
      <c r="Q20" s="1352"/>
      <c r="R20" s="705"/>
      <c r="S20" s="706"/>
      <c r="T20" s="705"/>
      <c r="U20" s="706"/>
      <c r="V20" s="705"/>
      <c r="W20" s="706"/>
      <c r="X20" s="1355"/>
      <c r="Y20" s="3749"/>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49"/>
      <c r="Q21" s="1352" t="str">
        <f>B21</f>
        <v>交通便捷度</v>
      </c>
      <c r="R21" s="705" t="s">
        <v>14</v>
      </c>
      <c r="S21" s="706">
        <f>F21</f>
        <v>100</v>
      </c>
      <c r="T21" s="705" t="s">
        <v>14</v>
      </c>
      <c r="U21" s="706">
        <f>H21</f>
        <v>100</v>
      </c>
      <c r="V21" s="705" t="s">
        <v>14</v>
      </c>
      <c r="W21" s="706">
        <f>J21</f>
        <v>100</v>
      </c>
      <c r="X21" s="1355"/>
      <c r="Y21" s="37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49"/>
      <c r="Q22" s="1352"/>
      <c r="R22" s="705"/>
      <c r="S22" s="706"/>
      <c r="T22" s="705"/>
      <c r="U22" s="706"/>
      <c r="V22" s="705"/>
      <c r="W22" s="706"/>
      <c r="X22" s="1355"/>
      <c r="Y22" s="374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49"/>
      <c r="Q23" s="1352" t="str">
        <f t="shared" ref="Q23:Q37" si="8">B23</f>
        <v>区域土地利用方向</v>
      </c>
      <c r="R23" s="705" t="s">
        <v>14</v>
      </c>
      <c r="S23" s="706">
        <f>F23</f>
        <v>100</v>
      </c>
      <c r="T23" s="705" t="s">
        <v>14</v>
      </c>
      <c r="U23" s="706">
        <f>H23</f>
        <v>100</v>
      </c>
      <c r="V23" s="705" t="s">
        <v>14</v>
      </c>
      <c r="W23" s="706">
        <f>J23</f>
        <v>100</v>
      </c>
      <c r="X23" s="1355"/>
      <c r="Y23" s="37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49"/>
      <c r="Q24" s="1352"/>
      <c r="R24" s="705"/>
      <c r="S24" s="706"/>
      <c r="T24" s="705"/>
      <c r="U24" s="706"/>
      <c r="V24" s="705"/>
      <c r="W24" s="706"/>
      <c r="X24" s="1355"/>
      <c r="Y24" s="3749"/>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49"/>
      <c r="Q25" s="1352" t="str">
        <f t="shared" si="8"/>
        <v>自然及人文环境状况</v>
      </c>
      <c r="R25" s="705" t="s">
        <v>14</v>
      </c>
      <c r="S25" s="706">
        <f>F25</f>
        <v>100</v>
      </c>
      <c r="T25" s="705" t="s">
        <v>14</v>
      </c>
      <c r="U25" s="706">
        <f>H25</f>
        <v>100</v>
      </c>
      <c r="V25" s="705" t="s">
        <v>14</v>
      </c>
      <c r="W25" s="706">
        <f>J25</f>
        <v>100</v>
      </c>
      <c r="X25" s="1355"/>
      <c r="Y25" s="37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49"/>
      <c r="Q26" s="1352"/>
      <c r="R26" s="705"/>
      <c r="S26" s="706"/>
      <c r="T26" s="705"/>
      <c r="U26" s="706"/>
      <c r="V26" s="705"/>
      <c r="W26" s="706"/>
      <c r="X26" s="1355"/>
      <c r="Y26" s="3749"/>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49"/>
      <c r="Q27" s="1343" t="str">
        <f t="shared" si="8"/>
        <v>公共配套设施</v>
      </c>
      <c r="R27" s="701" t="s">
        <v>14</v>
      </c>
      <c r="S27" s="702">
        <f>F27</f>
        <v>100</v>
      </c>
      <c r="T27" s="701" t="s">
        <v>14</v>
      </c>
      <c r="U27" s="702">
        <f>H27</f>
        <v>100</v>
      </c>
      <c r="V27" s="701" t="s">
        <v>14</v>
      </c>
      <c r="W27" s="702">
        <f>J27</f>
        <v>100</v>
      </c>
      <c r="X27" s="703"/>
      <c r="Y27" s="37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49"/>
      <c r="Q28" s="1343"/>
      <c r="R28" s="701"/>
      <c r="S28" s="702"/>
      <c r="T28" s="701"/>
      <c r="U28" s="702"/>
      <c r="V28" s="701"/>
      <c r="W28" s="702"/>
      <c r="X28" s="703"/>
      <c r="Y28" s="3749"/>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49"/>
      <c r="Q29" s="1343" t="str">
        <f t="shared" ref="Q29" si="9">B29</f>
        <v>基础设施水平</v>
      </c>
      <c r="R29" s="701" t="s">
        <v>14</v>
      </c>
      <c r="S29" s="702">
        <f>F29</f>
        <v>100</v>
      </c>
      <c r="T29" s="701" t="s">
        <v>14</v>
      </c>
      <c r="U29" s="702">
        <f>H29</f>
        <v>100</v>
      </c>
      <c r="V29" s="701" t="s">
        <v>14</v>
      </c>
      <c r="W29" s="702">
        <f>J29</f>
        <v>100</v>
      </c>
      <c r="X29" s="703"/>
      <c r="Y29" s="37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49"/>
      <c r="Q30" s="1343"/>
      <c r="R30" s="701"/>
      <c r="S30" s="702"/>
      <c r="T30" s="701"/>
      <c r="U30" s="702"/>
      <c r="V30" s="701"/>
      <c r="W30" s="702"/>
      <c r="X30" s="703"/>
      <c r="Y30" s="3749"/>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9"/>
      <c r="Q32" s="1352" t="str">
        <f t="shared" si="8"/>
        <v>毗邻道路的类型与等级</v>
      </c>
      <c r="R32" s="705" t="s">
        <v>14</v>
      </c>
      <c r="S32" s="706">
        <f t="shared" si="10"/>
        <v>100</v>
      </c>
      <c r="T32" s="705" t="s">
        <v>14</v>
      </c>
      <c r="U32" s="706">
        <f t="shared" si="11"/>
        <v>100</v>
      </c>
      <c r="V32" s="705" t="s">
        <v>14</v>
      </c>
      <c r="W32" s="706">
        <f t="shared" si="12"/>
        <v>100</v>
      </c>
      <c r="X32" s="1355"/>
      <c r="Y32" s="37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49"/>
      <c r="Q33" s="1352"/>
      <c r="R33" s="705"/>
      <c r="S33" s="706"/>
      <c r="T33" s="705"/>
      <c r="U33" s="706"/>
      <c r="V33" s="705"/>
      <c r="W33" s="706"/>
      <c r="X33" s="1355"/>
      <c r="Y33" s="374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9"/>
      <c r="Q34" s="1352" t="str">
        <f t="shared" si="8"/>
        <v>土地级别</v>
      </c>
      <c r="R34" s="705" t="s">
        <v>14</v>
      </c>
      <c r="S34" s="706">
        <f t="shared" si="10"/>
        <v>100</v>
      </c>
      <c r="T34" s="705" t="s">
        <v>14</v>
      </c>
      <c r="U34" s="706">
        <f t="shared" si="11"/>
        <v>100</v>
      </c>
      <c r="V34" s="705" t="s">
        <v>14</v>
      </c>
      <c r="W34" s="706">
        <f t="shared" si="12"/>
        <v>100</v>
      </c>
      <c r="X34" s="1355"/>
      <c r="Y34" s="37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9"/>
      <c r="Q35" s="1352">
        <f t="shared" si="8"/>
        <v>111</v>
      </c>
      <c r="R35" s="705" t="s">
        <v>14</v>
      </c>
      <c r="S35" s="706">
        <f t="shared" si="10"/>
        <v>100</v>
      </c>
      <c r="T35" s="705" t="s">
        <v>14</v>
      </c>
      <c r="U35" s="706">
        <f t="shared" si="11"/>
        <v>100</v>
      </c>
      <c r="V35" s="705" t="s">
        <v>14</v>
      </c>
      <c r="W35" s="706">
        <f t="shared" si="12"/>
        <v>100</v>
      </c>
      <c r="X35" s="1355"/>
      <c r="Y35" s="37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0" t="s">
        <v>1694</v>
      </c>
      <c r="Q36" s="1352">
        <f t="shared" si="8"/>
        <v>111</v>
      </c>
      <c r="R36" s="705" t="s">
        <v>14</v>
      </c>
      <c r="S36" s="706">
        <f t="shared" si="10"/>
        <v>100</v>
      </c>
      <c r="T36" s="705" t="s">
        <v>14</v>
      </c>
      <c r="U36" s="706">
        <f t="shared" si="11"/>
        <v>100</v>
      </c>
      <c r="V36" s="705" t="s">
        <v>14</v>
      </c>
      <c r="W36" s="706">
        <f t="shared" si="12"/>
        <v>100</v>
      </c>
      <c r="X36" s="1355"/>
      <c r="Y36" s="3751"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51"/>
      <c r="Q37" s="1352">
        <f t="shared" si="8"/>
        <v>111</v>
      </c>
      <c r="R37" s="708" t="s">
        <v>14</v>
      </c>
      <c r="S37" s="709">
        <f t="shared" si="10"/>
        <v>100</v>
      </c>
      <c r="T37" s="708" t="s">
        <v>14</v>
      </c>
      <c r="U37" s="709">
        <f t="shared" si="11"/>
        <v>100</v>
      </c>
      <c r="V37" s="708" t="s">
        <v>14</v>
      </c>
      <c r="W37" s="709">
        <f t="shared" si="12"/>
        <v>100</v>
      </c>
      <c r="X37" s="710"/>
      <c r="Y37" s="3751"/>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51"/>
      <c r="Q38" s="1352" t="str">
        <f>B38</f>
        <v>宗地面积</v>
      </c>
      <c r="R38" s="705" t="s">
        <v>14</v>
      </c>
      <c r="S38" s="706" t="e">
        <f t="shared" si="10"/>
        <v>#N/A</v>
      </c>
      <c r="T38" s="705" t="s">
        <v>14</v>
      </c>
      <c r="U38" s="706" t="e">
        <f t="shared" si="11"/>
        <v>#N/A</v>
      </c>
      <c r="V38" s="705" t="s">
        <v>14</v>
      </c>
      <c r="W38" s="706" t="e">
        <f t="shared" si="12"/>
        <v>#N/A</v>
      </c>
      <c r="X38" s="1355"/>
      <c r="Y38" s="3751"/>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51"/>
      <c r="Q39" s="1352" t="str">
        <f t="shared" ref="Q39:Q45" si="14">B39</f>
        <v>宗地形状</v>
      </c>
      <c r="R39" s="705" t="s">
        <v>14</v>
      </c>
      <c r="S39" s="706">
        <f t="shared" si="10"/>
        <v>100</v>
      </c>
      <c r="T39" s="705" t="s">
        <v>14</v>
      </c>
      <c r="U39" s="706">
        <f t="shared" si="11"/>
        <v>100</v>
      </c>
      <c r="V39" s="705" t="s">
        <v>14</v>
      </c>
      <c r="W39" s="706">
        <f t="shared" si="12"/>
        <v>100</v>
      </c>
      <c r="X39" s="1355"/>
      <c r="Y39" s="3751"/>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51"/>
      <c r="Q40" s="1352" t="str">
        <f t="shared" si="14"/>
        <v>临街宽度及深度</v>
      </c>
      <c r="R40" s="705" t="s">
        <v>14</v>
      </c>
      <c r="S40" s="706">
        <f t="shared" si="10"/>
        <v>100</v>
      </c>
      <c r="T40" s="705" t="s">
        <v>14</v>
      </c>
      <c r="U40" s="706">
        <f t="shared" si="11"/>
        <v>100</v>
      </c>
      <c r="V40" s="705" t="s">
        <v>14</v>
      </c>
      <c r="W40" s="706">
        <f t="shared" si="12"/>
        <v>100</v>
      </c>
      <c r="X40" s="1355"/>
      <c r="Y40" s="3751"/>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51"/>
      <c r="Q41" s="1352" t="str">
        <f t="shared" si="14"/>
        <v>宗地开发程度</v>
      </c>
      <c r="R41" s="701" t="s">
        <v>14</v>
      </c>
      <c r="S41" s="702">
        <f t="shared" si="10"/>
        <v>100</v>
      </c>
      <c r="T41" s="701" t="s">
        <v>14</v>
      </c>
      <c r="U41" s="702">
        <f t="shared" si="11"/>
        <v>100</v>
      </c>
      <c r="V41" s="701" t="s">
        <v>14</v>
      </c>
      <c r="W41" s="702">
        <f t="shared" si="12"/>
        <v>100</v>
      </c>
      <c r="X41" s="703"/>
      <c r="Y41" s="3751"/>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51" t="s">
        <v>1694</v>
      </c>
      <c r="Q42" s="1352" t="str">
        <f t="shared" si="14"/>
        <v>工程地质条件</v>
      </c>
      <c r="R42" s="705" t="s">
        <v>14</v>
      </c>
      <c r="S42" s="706">
        <f t="shared" si="10"/>
        <v>100</v>
      </c>
      <c r="T42" s="705" t="s">
        <v>14</v>
      </c>
      <c r="U42" s="706">
        <f t="shared" si="11"/>
        <v>100</v>
      </c>
      <c r="V42" s="705" t="s">
        <v>14</v>
      </c>
      <c r="W42" s="706">
        <f t="shared" si="12"/>
        <v>100</v>
      </c>
      <c r="X42" s="1355"/>
      <c r="Y42" s="3751"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51"/>
      <c r="Q43" s="1352">
        <f t="shared" si="14"/>
        <v>111</v>
      </c>
      <c r="R43" s="705" t="s">
        <v>14</v>
      </c>
      <c r="S43" s="706">
        <f t="shared" si="10"/>
        <v>100</v>
      </c>
      <c r="T43" s="705" t="s">
        <v>14</v>
      </c>
      <c r="U43" s="706">
        <f t="shared" si="11"/>
        <v>100</v>
      </c>
      <c r="V43" s="705" t="s">
        <v>14</v>
      </c>
      <c r="W43" s="706">
        <f t="shared" si="12"/>
        <v>100</v>
      </c>
      <c r="X43" s="1355"/>
      <c r="Y43" s="37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51"/>
      <c r="Q44" s="1352">
        <f t="shared" si="14"/>
        <v>111</v>
      </c>
      <c r="R44" s="705" t="s">
        <v>14</v>
      </c>
      <c r="S44" s="706">
        <f t="shared" si="10"/>
        <v>100</v>
      </c>
      <c r="T44" s="705" t="s">
        <v>14</v>
      </c>
      <c r="U44" s="706">
        <f t="shared" si="11"/>
        <v>100</v>
      </c>
      <c r="V44" s="705" t="s">
        <v>14</v>
      </c>
      <c r="W44" s="706">
        <f t="shared" si="12"/>
        <v>100</v>
      </c>
      <c r="X44" s="1355"/>
      <c r="Y44" s="375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51"/>
      <c r="Q45" s="1352">
        <f t="shared" si="14"/>
        <v>111</v>
      </c>
      <c r="R45" s="708" t="s">
        <v>14</v>
      </c>
      <c r="S45" s="709">
        <f t="shared" si="10"/>
        <v>100</v>
      </c>
      <c r="T45" s="708" t="s">
        <v>14</v>
      </c>
      <c r="U45" s="709">
        <f t="shared" si="11"/>
        <v>100</v>
      </c>
      <c r="V45" s="708" t="s">
        <v>14</v>
      </c>
      <c r="W45" s="709">
        <f t="shared" si="12"/>
        <v>100</v>
      </c>
      <c r="X45" s="710"/>
      <c r="Y45" s="3751"/>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33" t="str">
        <f>A46</f>
        <v>成交单价</v>
      </c>
      <c r="Q46" s="3733"/>
      <c r="R46" s="3746">
        <f>E46</f>
        <v>0</v>
      </c>
      <c r="S46" s="3746"/>
      <c r="T46" s="3746">
        <f>G46</f>
        <v>0</v>
      </c>
      <c r="U46" s="3746"/>
      <c r="V46" s="3746">
        <f>I46</f>
        <v>0</v>
      </c>
      <c r="W46" s="374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33" t="str">
        <f>A47</f>
        <v>比较价值（元/平方米）</v>
      </c>
      <c r="Q47" s="3733"/>
      <c r="R47" s="3827" t="e">
        <f>ROUND(PRODUCT(R46,AA7:AA45),0)</f>
        <v>#DIV/0!</v>
      </c>
      <c r="S47" s="3827"/>
      <c r="T47" s="3827" t="e">
        <f>ROUND(PRODUCT(T46,AB7:AB45),0)</f>
        <v>#DIV/0!</v>
      </c>
      <c r="U47" s="3827"/>
      <c r="V47" s="3827" t="e">
        <f>ROUND(PRODUCT(V46,AC7:AC45),0)</f>
        <v>#DIV/0!</v>
      </c>
      <c r="W47" s="3827"/>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54" t="str">
        <f>A48</f>
        <v>估价对象XX用房的比较价值（楼面单价，元/平方米）</v>
      </c>
      <c r="Q48" s="3755"/>
      <c r="R48" s="3828" t="e">
        <f>ROUND(IF(D47="简单平均",AVERAGE(R47:W47),R47*F47+T47*H47+V47*J47),0)</f>
        <v>#DIV/0!</v>
      </c>
      <c r="S48" s="3828"/>
      <c r="T48" s="3828"/>
      <c r="U48" s="3828"/>
      <c r="V48" s="3828"/>
      <c r="W48" s="3828"/>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734" t="s">
        <v>1885</v>
      </c>
      <c r="H55" s="3829"/>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45755.040000000001</v>
      </c>
      <c r="F56" s="886" t="e">
        <f t="shared" ref="F56:F64" si="15">ROUND(B56*E56/10000,0)</f>
        <v>#DIV/0!</v>
      </c>
      <c r="G56" s="3805"/>
      <c r="H56" s="3733"/>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45755.040000000001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20" t="s">
        <v>1769</v>
      </c>
      <c r="S4" s="3721"/>
      <c r="T4" s="3720" t="s">
        <v>1770</v>
      </c>
      <c r="U4" s="3721"/>
      <c r="V4" s="3746" t="s">
        <v>1771</v>
      </c>
      <c r="W4" s="3746"/>
      <c r="X4" s="1355"/>
      <c r="Y4" s="3720" t="s">
        <v>1773</v>
      </c>
      <c r="Z4" s="3721"/>
      <c r="AA4" s="3715" t="s">
        <v>1769</v>
      </c>
      <c r="AB4" s="3716" t="s">
        <v>1770</v>
      </c>
      <c r="AC4" s="3715" t="s">
        <v>1771</v>
      </c>
    </row>
    <row r="5" spans="1:29" ht="15">
      <c r="A5" s="358"/>
      <c r="B5" s="359"/>
      <c r="C5" s="3730" t="s">
        <v>1671</v>
      </c>
      <c r="D5" s="3727"/>
      <c r="E5" s="3724" t="s">
        <v>1672</v>
      </c>
      <c r="F5" s="3725"/>
      <c r="G5" s="3730" t="s">
        <v>1673</v>
      </c>
      <c r="H5" s="3727"/>
      <c r="I5" s="3730" t="s">
        <v>1674</v>
      </c>
      <c r="J5" s="3727"/>
      <c r="K5" s="559"/>
      <c r="L5" s="2709"/>
      <c r="M5" s="2710"/>
      <c r="N5" s="2710"/>
      <c r="O5" s="2710"/>
      <c r="P5" s="3740"/>
      <c r="Q5" s="3741"/>
      <c r="R5" s="3722"/>
      <c r="S5" s="3723"/>
      <c r="T5" s="3722"/>
      <c r="U5" s="3723"/>
      <c r="V5" s="3746"/>
      <c r="W5" s="3746"/>
      <c r="X5" s="1355"/>
      <c r="Y5" s="3722"/>
      <c r="Z5" s="3723"/>
      <c r="AA5" s="3716"/>
      <c r="AB5" s="3716"/>
      <c r="AC5" s="3716"/>
    </row>
    <row r="6" spans="1:29" ht="15.75" thickBot="1">
      <c r="A6" s="360"/>
      <c r="B6" s="361"/>
      <c r="C6" s="3830" t="s">
        <v>1917</v>
      </c>
      <c r="D6" s="3831"/>
      <c r="E6" s="3832" t="s">
        <v>1917</v>
      </c>
      <c r="F6" s="3833"/>
      <c r="G6" s="3830" t="s">
        <v>1917</v>
      </c>
      <c r="H6" s="3831"/>
      <c r="I6" s="3830" t="s">
        <v>1917</v>
      </c>
      <c r="J6" s="3831"/>
      <c r="K6" s="559" t="s">
        <v>1676</v>
      </c>
      <c r="L6" s="2709"/>
      <c r="M6" s="2710"/>
      <c r="N6" s="2710"/>
      <c r="O6" s="2710"/>
      <c r="P6" s="3742"/>
      <c r="Q6" s="3743"/>
      <c r="R6" s="3722"/>
      <c r="S6" s="3723"/>
      <c r="T6" s="3744"/>
      <c r="U6" s="3745"/>
      <c r="V6" s="3746"/>
      <c r="W6" s="3746"/>
      <c r="X6" s="1355"/>
      <c r="Y6" s="3744"/>
      <c r="Z6" s="3745"/>
      <c r="AA6" s="3717"/>
      <c r="AB6" s="3717"/>
      <c r="AC6" s="3717"/>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18" t="s">
        <v>1678</v>
      </c>
      <c r="Q7" s="3747"/>
      <c r="R7" s="701" t="s">
        <v>14</v>
      </c>
      <c r="S7" s="702">
        <f t="shared" ref="S7:S15" si="0">F7</f>
        <v>0</v>
      </c>
      <c r="T7" s="701" t="s">
        <v>14</v>
      </c>
      <c r="U7" s="702">
        <f t="shared" ref="U7:U15" si="1">H7</f>
        <v>0</v>
      </c>
      <c r="V7" s="701" t="s">
        <v>14</v>
      </c>
      <c r="W7" s="702">
        <f t="shared" ref="W7:W15" si="2">J7</f>
        <v>0</v>
      </c>
      <c r="X7" s="703"/>
      <c r="Y7" s="3718" t="s">
        <v>1678</v>
      </c>
      <c r="Z7" s="3719"/>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18" t="s">
        <v>1681</v>
      </c>
      <c r="Q8" s="3719"/>
      <c r="R8" s="701" t="s">
        <v>14</v>
      </c>
      <c r="S8" s="702">
        <f t="shared" si="0"/>
        <v>0</v>
      </c>
      <c r="T8" s="701" t="s">
        <v>14</v>
      </c>
      <c r="U8" s="702">
        <f t="shared" si="1"/>
        <v>0</v>
      </c>
      <c r="V8" s="701" t="s">
        <v>14</v>
      </c>
      <c r="W8" s="702">
        <f t="shared" si="2"/>
        <v>0</v>
      </c>
      <c r="X8" s="703"/>
      <c r="Y8" s="3718" t="s">
        <v>1681</v>
      </c>
      <c r="Z8" s="3719"/>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33" t="s">
        <v>1684</v>
      </c>
      <c r="Q9" s="1343" t="str">
        <f t="shared" ref="Q9:Q15" si="6">B9</f>
        <v>用途</v>
      </c>
      <c r="R9" s="701" t="s">
        <v>14</v>
      </c>
      <c r="S9" s="702">
        <f t="shared" si="0"/>
        <v>100</v>
      </c>
      <c r="T9" s="701" t="s">
        <v>14</v>
      </c>
      <c r="U9" s="702">
        <f t="shared" si="1"/>
        <v>100</v>
      </c>
      <c r="V9" s="701" t="s">
        <v>14</v>
      </c>
      <c r="W9" s="702">
        <f t="shared" si="2"/>
        <v>100</v>
      </c>
      <c r="X9" s="703"/>
      <c r="Y9" s="369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733"/>
      <c r="Q10" s="1343" t="str">
        <f t="shared" si="6"/>
        <v>土地使用年限（年）</v>
      </c>
      <c r="R10" s="701" t="s">
        <v>14</v>
      </c>
      <c r="S10" s="702">
        <f t="shared" si="0"/>
        <v>113</v>
      </c>
      <c r="T10" s="701" t="s">
        <v>14</v>
      </c>
      <c r="U10" s="702">
        <f t="shared" si="1"/>
        <v>113</v>
      </c>
      <c r="V10" s="701" t="s">
        <v>14</v>
      </c>
      <c r="W10" s="702">
        <f t="shared" si="2"/>
        <v>113</v>
      </c>
      <c r="X10" s="703"/>
      <c r="Y10" s="3691"/>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3"/>
      <c r="Q11" s="1343"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3"/>
      <c r="Q12" s="1343">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3"/>
      <c r="Q13" s="1343">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3"/>
      <c r="Q14" s="1343">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48" t="s">
        <v>1689</v>
      </c>
      <c r="Q15" s="1352" t="str">
        <f t="shared" si="6"/>
        <v>产业集聚程度</v>
      </c>
      <c r="R15" s="705" t="s">
        <v>14</v>
      </c>
      <c r="S15" s="706">
        <f t="shared" si="0"/>
        <v>100</v>
      </c>
      <c r="T15" s="705" t="s">
        <v>14</v>
      </c>
      <c r="U15" s="706">
        <f t="shared" si="1"/>
        <v>100</v>
      </c>
      <c r="V15" s="705" t="s">
        <v>14</v>
      </c>
      <c r="W15" s="706">
        <f t="shared" si="2"/>
        <v>100</v>
      </c>
      <c r="X15" s="1355"/>
      <c r="Y15" s="3748"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49"/>
      <c r="Q16" s="1352"/>
      <c r="R16" s="705"/>
      <c r="S16" s="706"/>
      <c r="T16" s="705"/>
      <c r="U16" s="706"/>
      <c r="V16" s="705"/>
      <c r="W16" s="706"/>
      <c r="X16" s="1355"/>
      <c r="Y16" s="3749"/>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49"/>
      <c r="Q18" s="1352"/>
      <c r="R18" s="705"/>
      <c r="S18" s="706"/>
      <c r="T18" s="705"/>
      <c r="U18" s="706"/>
      <c r="V18" s="705"/>
      <c r="W18" s="706"/>
      <c r="X18" s="1355"/>
      <c r="Y18" s="3749"/>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9"/>
      <c r="Q19" s="1352" t="str">
        <f t="shared" ref="Q19:Q33" si="8">B19</f>
        <v>区域土地利用方向</v>
      </c>
      <c r="R19" s="705" t="s">
        <v>14</v>
      </c>
      <c r="S19" s="706">
        <f>F19</f>
        <v>100</v>
      </c>
      <c r="T19" s="705" t="s">
        <v>14</v>
      </c>
      <c r="U19" s="706">
        <f>H19</f>
        <v>100</v>
      </c>
      <c r="V19" s="705" t="s">
        <v>14</v>
      </c>
      <c r="W19" s="706">
        <f>J19</f>
        <v>100</v>
      </c>
      <c r="X19" s="1355"/>
      <c r="Y19" s="37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49"/>
      <c r="Q20" s="1352"/>
      <c r="R20" s="705"/>
      <c r="S20" s="706"/>
      <c r="T20" s="705"/>
      <c r="U20" s="706"/>
      <c r="V20" s="705"/>
      <c r="W20" s="706"/>
      <c r="X20" s="1355"/>
      <c r="Y20" s="3749"/>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9"/>
      <c r="Q21" s="1352" t="str">
        <f t="shared" si="8"/>
        <v>环境状况</v>
      </c>
      <c r="R21" s="705" t="s">
        <v>14</v>
      </c>
      <c r="S21" s="706">
        <f>F21</f>
        <v>100</v>
      </c>
      <c r="T21" s="705" t="s">
        <v>14</v>
      </c>
      <c r="U21" s="706">
        <f>H21</f>
        <v>100</v>
      </c>
      <c r="V21" s="705" t="s">
        <v>14</v>
      </c>
      <c r="W21" s="706">
        <f>J21</f>
        <v>100</v>
      </c>
      <c r="X21" s="1355"/>
      <c r="Y21" s="37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49"/>
      <c r="Q22" s="1352"/>
      <c r="R22" s="705"/>
      <c r="S22" s="706"/>
      <c r="T22" s="705"/>
      <c r="U22" s="706"/>
      <c r="V22" s="705"/>
      <c r="W22" s="706"/>
      <c r="X22" s="1355"/>
      <c r="Y22" s="3749"/>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9"/>
      <c r="Q23" s="1343" t="str">
        <f t="shared" si="8"/>
        <v>公共配套设施</v>
      </c>
      <c r="R23" s="701" t="s">
        <v>14</v>
      </c>
      <c r="S23" s="702">
        <f>F23</f>
        <v>100</v>
      </c>
      <c r="T23" s="701" t="s">
        <v>14</v>
      </c>
      <c r="U23" s="702">
        <f>H23</f>
        <v>100</v>
      </c>
      <c r="V23" s="701" t="s">
        <v>14</v>
      </c>
      <c r="W23" s="702">
        <f>J23</f>
        <v>100</v>
      </c>
      <c r="X23" s="703"/>
      <c r="Y23" s="37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49"/>
      <c r="Q24" s="1343"/>
      <c r="R24" s="701"/>
      <c r="S24" s="702"/>
      <c r="T24" s="701"/>
      <c r="U24" s="702"/>
      <c r="V24" s="701"/>
      <c r="W24" s="702"/>
      <c r="X24" s="703"/>
      <c r="Y24" s="3749"/>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9"/>
      <c r="Q25" s="1343" t="str">
        <f t="shared" ref="Q25" si="9">B25</f>
        <v>基础设施水平</v>
      </c>
      <c r="R25" s="701" t="s">
        <v>14</v>
      </c>
      <c r="S25" s="702">
        <f>F25</f>
        <v>100</v>
      </c>
      <c r="T25" s="701" t="s">
        <v>14</v>
      </c>
      <c r="U25" s="702">
        <f>H25</f>
        <v>100</v>
      </c>
      <c r="V25" s="701" t="s">
        <v>14</v>
      </c>
      <c r="W25" s="702">
        <f>J25</f>
        <v>100</v>
      </c>
      <c r="X25" s="703"/>
      <c r="Y25" s="37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49"/>
      <c r="Q26" s="1343"/>
      <c r="R26" s="701"/>
      <c r="S26" s="702"/>
      <c r="T26" s="701"/>
      <c r="U26" s="702"/>
      <c r="V26" s="701"/>
      <c r="W26" s="702"/>
      <c r="X26" s="703"/>
      <c r="Y26" s="374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9"/>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9"/>
      <c r="Q28" s="1352" t="str">
        <f t="shared" si="8"/>
        <v>毗邻道路的类型与等级</v>
      </c>
      <c r="R28" s="705" t="s">
        <v>14</v>
      </c>
      <c r="S28" s="706">
        <f t="shared" si="10"/>
        <v>100</v>
      </c>
      <c r="T28" s="705" t="s">
        <v>14</v>
      </c>
      <c r="U28" s="706">
        <f t="shared" si="11"/>
        <v>100</v>
      </c>
      <c r="V28" s="705" t="s">
        <v>14</v>
      </c>
      <c r="W28" s="706">
        <f t="shared" si="12"/>
        <v>100</v>
      </c>
      <c r="X28" s="1355"/>
      <c r="Y28" s="37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49"/>
      <c r="Q29" s="1352"/>
      <c r="R29" s="705"/>
      <c r="S29" s="706"/>
      <c r="T29" s="705"/>
      <c r="U29" s="706"/>
      <c r="V29" s="705"/>
      <c r="W29" s="706"/>
      <c r="X29" s="1355"/>
      <c r="Y29" s="3749"/>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9"/>
      <c r="Q30" s="1352" t="str">
        <f t="shared" si="8"/>
        <v>土地级别</v>
      </c>
      <c r="R30" s="705" t="s">
        <v>14</v>
      </c>
      <c r="S30" s="706">
        <f t="shared" si="10"/>
        <v>100</v>
      </c>
      <c r="T30" s="705" t="s">
        <v>14</v>
      </c>
      <c r="U30" s="706">
        <f t="shared" si="11"/>
        <v>100</v>
      </c>
      <c r="V30" s="705" t="s">
        <v>14</v>
      </c>
      <c r="W30" s="706">
        <f t="shared" si="12"/>
        <v>100</v>
      </c>
      <c r="X30" s="1355"/>
      <c r="Y30" s="37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9"/>
      <c r="Q31" s="1352">
        <f t="shared" si="8"/>
        <v>111</v>
      </c>
      <c r="R31" s="705" t="s">
        <v>14</v>
      </c>
      <c r="S31" s="706">
        <f t="shared" si="10"/>
        <v>100</v>
      </c>
      <c r="T31" s="705" t="s">
        <v>14</v>
      </c>
      <c r="U31" s="706">
        <f t="shared" si="11"/>
        <v>100</v>
      </c>
      <c r="V31" s="705" t="s">
        <v>14</v>
      </c>
      <c r="W31" s="706">
        <f t="shared" si="12"/>
        <v>100</v>
      </c>
      <c r="X31" s="1355"/>
      <c r="Y31" s="37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0" t="s">
        <v>1694</v>
      </c>
      <c r="Q32" s="1352">
        <f t="shared" si="8"/>
        <v>111</v>
      </c>
      <c r="R32" s="705" t="s">
        <v>14</v>
      </c>
      <c r="S32" s="706">
        <f t="shared" si="10"/>
        <v>100</v>
      </c>
      <c r="T32" s="705" t="s">
        <v>14</v>
      </c>
      <c r="U32" s="706">
        <f t="shared" si="11"/>
        <v>100</v>
      </c>
      <c r="V32" s="705" t="s">
        <v>14</v>
      </c>
      <c r="W32" s="706">
        <f t="shared" si="12"/>
        <v>100</v>
      </c>
      <c r="X32" s="1355"/>
      <c r="Y32" s="3751"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51"/>
      <c r="Q33" s="1352">
        <f t="shared" si="8"/>
        <v>111</v>
      </c>
      <c r="R33" s="708" t="s">
        <v>14</v>
      </c>
      <c r="S33" s="709">
        <f t="shared" si="10"/>
        <v>100</v>
      </c>
      <c r="T33" s="708" t="s">
        <v>14</v>
      </c>
      <c r="U33" s="709">
        <f t="shared" si="11"/>
        <v>100</v>
      </c>
      <c r="V33" s="708" t="s">
        <v>14</v>
      </c>
      <c r="W33" s="709">
        <f t="shared" si="12"/>
        <v>100</v>
      </c>
      <c r="X33" s="710"/>
      <c r="Y33" s="3751"/>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51"/>
      <c r="Q34" s="1352" t="str">
        <f>B34</f>
        <v>宗地面积</v>
      </c>
      <c r="R34" s="705" t="s">
        <v>14</v>
      </c>
      <c r="S34" s="706" t="e">
        <f t="shared" si="10"/>
        <v>#N/A</v>
      </c>
      <c r="T34" s="705" t="s">
        <v>14</v>
      </c>
      <c r="U34" s="706" t="e">
        <f t="shared" si="11"/>
        <v>#N/A</v>
      </c>
      <c r="V34" s="705" t="s">
        <v>14</v>
      </c>
      <c r="W34" s="706" t="e">
        <f t="shared" si="12"/>
        <v>#N/A</v>
      </c>
      <c r="X34" s="1355"/>
      <c r="Y34" s="3751"/>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51"/>
      <c r="Q35" s="1352" t="str">
        <f t="shared" ref="Q35:Q40" si="14">B35</f>
        <v>宗地形状</v>
      </c>
      <c r="R35" s="705" t="s">
        <v>14</v>
      </c>
      <c r="S35" s="706">
        <f t="shared" si="10"/>
        <v>100</v>
      </c>
      <c r="T35" s="705" t="s">
        <v>14</v>
      </c>
      <c r="U35" s="706">
        <f t="shared" si="11"/>
        <v>100</v>
      </c>
      <c r="V35" s="705" t="s">
        <v>14</v>
      </c>
      <c r="W35" s="706">
        <f t="shared" si="12"/>
        <v>100</v>
      </c>
      <c r="X35" s="1355"/>
      <c r="Y35" s="3751"/>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51"/>
      <c r="Q36" s="1352" t="str">
        <f t="shared" si="14"/>
        <v>宗地开发程度</v>
      </c>
      <c r="R36" s="701" t="s">
        <v>14</v>
      </c>
      <c r="S36" s="702">
        <f t="shared" si="10"/>
        <v>100</v>
      </c>
      <c r="T36" s="701" t="s">
        <v>14</v>
      </c>
      <c r="U36" s="702">
        <f t="shared" si="11"/>
        <v>100</v>
      </c>
      <c r="V36" s="701" t="s">
        <v>14</v>
      </c>
      <c r="W36" s="702">
        <f t="shared" si="12"/>
        <v>100</v>
      </c>
      <c r="X36" s="703"/>
      <c r="Y36" s="3751"/>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51" t="s">
        <v>1694</v>
      </c>
      <c r="Q37" s="1352" t="str">
        <f t="shared" si="14"/>
        <v>工程地质条件</v>
      </c>
      <c r="R37" s="705" t="s">
        <v>14</v>
      </c>
      <c r="S37" s="706">
        <f t="shared" si="10"/>
        <v>100</v>
      </c>
      <c r="T37" s="705" t="s">
        <v>14</v>
      </c>
      <c r="U37" s="706">
        <f t="shared" si="11"/>
        <v>100</v>
      </c>
      <c r="V37" s="705" t="s">
        <v>14</v>
      </c>
      <c r="W37" s="706">
        <f t="shared" si="12"/>
        <v>100</v>
      </c>
      <c r="X37" s="1355"/>
      <c r="Y37" s="3751"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51"/>
      <c r="Q38" s="1352">
        <f t="shared" si="14"/>
        <v>111</v>
      </c>
      <c r="R38" s="705" t="s">
        <v>14</v>
      </c>
      <c r="S38" s="706">
        <f t="shared" si="10"/>
        <v>100</v>
      </c>
      <c r="T38" s="705" t="s">
        <v>14</v>
      </c>
      <c r="U38" s="706">
        <f t="shared" si="11"/>
        <v>100</v>
      </c>
      <c r="V38" s="705" t="s">
        <v>14</v>
      </c>
      <c r="W38" s="706">
        <f t="shared" si="12"/>
        <v>100</v>
      </c>
      <c r="X38" s="1355"/>
      <c r="Y38" s="37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51"/>
      <c r="Q39" s="1352">
        <f t="shared" si="14"/>
        <v>111</v>
      </c>
      <c r="R39" s="705" t="s">
        <v>14</v>
      </c>
      <c r="S39" s="706">
        <f t="shared" si="10"/>
        <v>100</v>
      </c>
      <c r="T39" s="705" t="s">
        <v>14</v>
      </c>
      <c r="U39" s="706">
        <f t="shared" si="11"/>
        <v>100</v>
      </c>
      <c r="V39" s="705" t="s">
        <v>14</v>
      </c>
      <c r="W39" s="706">
        <f t="shared" si="12"/>
        <v>100</v>
      </c>
      <c r="X39" s="1355"/>
      <c r="Y39" s="375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51"/>
      <c r="Q40" s="1352">
        <f t="shared" si="14"/>
        <v>111</v>
      </c>
      <c r="R40" s="708" t="s">
        <v>14</v>
      </c>
      <c r="S40" s="709">
        <f t="shared" si="10"/>
        <v>100</v>
      </c>
      <c r="T40" s="708" t="s">
        <v>14</v>
      </c>
      <c r="U40" s="709">
        <f t="shared" si="11"/>
        <v>100</v>
      </c>
      <c r="V40" s="708" t="s">
        <v>14</v>
      </c>
      <c r="W40" s="709">
        <f t="shared" si="12"/>
        <v>100</v>
      </c>
      <c r="X40" s="710"/>
      <c r="Y40" s="3751"/>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33" t="str">
        <f>A41</f>
        <v>成交单价</v>
      </c>
      <c r="Q41" s="3733"/>
      <c r="R41" s="3746">
        <f>E41</f>
        <v>0</v>
      </c>
      <c r="S41" s="3746"/>
      <c r="T41" s="3746">
        <f>G41</f>
        <v>0</v>
      </c>
      <c r="U41" s="3746"/>
      <c r="V41" s="3746">
        <f>I41</f>
        <v>0</v>
      </c>
      <c r="W41" s="374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33" t="str">
        <f>A42</f>
        <v>比较价值（元/平方米）</v>
      </c>
      <c r="Q42" s="3733"/>
      <c r="R42" s="3827" t="e">
        <f>ROUND(PRODUCT(R41,AA7:AA40),0)</f>
        <v>#DIV/0!</v>
      </c>
      <c r="S42" s="3827"/>
      <c r="T42" s="3827" t="e">
        <f>ROUND(PRODUCT(T41,AB7:AB40),0)</f>
        <v>#DIV/0!</v>
      </c>
      <c r="U42" s="3827"/>
      <c r="V42" s="3827" t="e">
        <f>ROUND(PRODUCT(V41,AC7:AC40),0)</f>
        <v>#DIV/0!</v>
      </c>
      <c r="W42" s="3827"/>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54" t="str">
        <f>A43</f>
        <v>估价对象XX用房的比较价值（楼面单价，元/平方米）</v>
      </c>
      <c r="Q43" s="3755"/>
      <c r="R43" s="3828" t="e">
        <f>ROUND(IF(D42="简单平均",AVERAGE(R42:W42),R42*F42+T42*H42+V42*J42),0)</f>
        <v>#DIV/0!</v>
      </c>
      <c r="S43" s="3828"/>
      <c r="T43" s="3828"/>
      <c r="U43" s="3828"/>
      <c r="V43" s="3828"/>
      <c r="W43" s="3828"/>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734" t="s">
        <v>1885</v>
      </c>
      <c r="H50" s="3829"/>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45755.040000000001</v>
      </c>
      <c r="F51" s="639" t="e">
        <f t="shared" ref="F51:F60" si="15">ROUND(B51*E51/10000,0)</f>
        <v>#DIV/0!</v>
      </c>
      <c r="G51" s="3805"/>
      <c r="H51" s="3733"/>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
  <sheetViews>
    <sheetView topLeftCell="D1" workbookViewId="0">
      <selection activeCell="L19" sqref="L19"/>
    </sheetView>
  </sheetViews>
  <sheetFormatPr defaultRowHeight="13.5"/>
  <cols>
    <col min="1" max="1" width="9" style="3451"/>
    <col min="2" max="2" width="13.375" style="3451" customWidth="1"/>
    <col min="3" max="3" width="28.125" style="3451" customWidth="1"/>
    <col min="4" max="7" width="30" style="3451" customWidth="1"/>
    <col min="8" max="11" width="17.875" style="3451" customWidth="1"/>
    <col min="12" max="12" width="9" style="3451"/>
    <col min="13" max="13" width="9.5" style="3451" bestFit="1" customWidth="1"/>
    <col min="14" max="16384" width="9" style="3451"/>
  </cols>
  <sheetData>
    <row r="1" spans="1:13" ht="16.5">
      <c r="A1" s="3448" t="s">
        <v>3382</v>
      </c>
      <c r="B1" s="3448" t="s">
        <v>3383</v>
      </c>
      <c r="C1" s="3448" t="s">
        <v>3384</v>
      </c>
      <c r="D1" s="3449" t="s">
        <v>3385</v>
      </c>
      <c r="E1" s="3449" t="s">
        <v>3386</v>
      </c>
      <c r="F1" s="3448" t="s">
        <v>3387</v>
      </c>
      <c r="G1" s="3448" t="s">
        <v>3388</v>
      </c>
      <c r="H1" s="3448" t="s">
        <v>3389</v>
      </c>
      <c r="I1" s="3450" t="s">
        <v>3390</v>
      </c>
      <c r="J1" s="3450" t="s">
        <v>3391</v>
      </c>
      <c r="K1" s="3450" t="s">
        <v>3392</v>
      </c>
    </row>
    <row r="2" spans="1:13" s="3474" customFormat="1" ht="27.75" customHeight="1">
      <c r="A2" s="3468">
        <v>1</v>
      </c>
      <c r="B2" s="3468" t="s">
        <v>3393</v>
      </c>
      <c r="C2" s="3469" t="s">
        <v>3394</v>
      </c>
      <c r="D2" s="3470">
        <v>43191</v>
      </c>
      <c r="E2" s="3470">
        <v>45107</v>
      </c>
      <c r="F2" s="3469" t="s">
        <v>3395</v>
      </c>
      <c r="G2" s="3469" t="s">
        <v>3396</v>
      </c>
      <c r="H2" s="3471">
        <v>647.01</v>
      </c>
      <c r="I2" s="3472">
        <v>399.7</v>
      </c>
      <c r="J2" s="3472" t="s">
        <v>3397</v>
      </c>
      <c r="K2" s="3473">
        <v>16137257.760000002</v>
      </c>
      <c r="L2" s="3474">
        <f t="shared" ref="L2:L15" si="0">ROUND(I2*12/365,1)</f>
        <v>13.1</v>
      </c>
      <c r="M2" s="3474">
        <f>ROUND(L2*H2,0)</f>
        <v>8476</v>
      </c>
    </row>
    <row r="3" spans="1:13" s="3474" customFormat="1" ht="27.75" customHeight="1">
      <c r="A3" s="3468">
        <v>2</v>
      </c>
      <c r="B3" s="3468" t="s">
        <v>3393</v>
      </c>
      <c r="C3" s="3469" t="s">
        <v>3398</v>
      </c>
      <c r="D3" s="3470">
        <v>43344</v>
      </c>
      <c r="E3" s="3470">
        <v>45230</v>
      </c>
      <c r="F3" s="3469" t="s">
        <v>3395</v>
      </c>
      <c r="G3" s="3469" t="s">
        <v>3399</v>
      </c>
      <c r="H3" s="3471">
        <v>189.08</v>
      </c>
      <c r="I3" s="3472">
        <v>420</v>
      </c>
      <c r="J3" s="3472" t="s">
        <v>3397</v>
      </c>
      <c r="K3" s="3473">
        <v>4955408.6399999997</v>
      </c>
      <c r="L3" s="3474">
        <f t="shared" si="0"/>
        <v>13.8</v>
      </c>
      <c r="M3" s="3474">
        <f t="shared" ref="M3:M16" si="1">ROUND(L3*H3,0)</f>
        <v>2609</v>
      </c>
    </row>
    <row r="4" spans="1:13" s="3474" customFormat="1" ht="27.75" customHeight="1">
      <c r="A4" s="3468">
        <v>3</v>
      </c>
      <c r="B4" s="3468" t="s">
        <v>3393</v>
      </c>
      <c r="C4" s="3469" t="s">
        <v>3400</v>
      </c>
      <c r="D4" s="3470">
        <v>43435</v>
      </c>
      <c r="E4" s="3470">
        <v>45230</v>
      </c>
      <c r="F4" s="3469" t="s">
        <v>3395</v>
      </c>
      <c r="G4" s="3469" t="s">
        <v>3401</v>
      </c>
      <c r="H4" s="3471">
        <v>112.03</v>
      </c>
      <c r="I4" s="3472">
        <v>304.17</v>
      </c>
      <c r="J4" s="3472" t="s">
        <v>3397</v>
      </c>
      <c r="K4" s="3473">
        <v>1986648.19</v>
      </c>
      <c r="L4" s="3474">
        <f t="shared" si="0"/>
        <v>10</v>
      </c>
      <c r="M4" s="3474">
        <f t="shared" si="1"/>
        <v>1120</v>
      </c>
    </row>
    <row r="5" spans="1:13" ht="27.75" customHeight="1">
      <c r="A5" s="3452">
        <v>4</v>
      </c>
      <c r="B5" s="3452" t="s">
        <v>3393</v>
      </c>
      <c r="C5" s="3453" t="s">
        <v>3402</v>
      </c>
      <c r="D5" s="3454">
        <v>43647</v>
      </c>
      <c r="E5" s="3454">
        <v>45443</v>
      </c>
      <c r="F5" s="3453" t="s">
        <v>3395</v>
      </c>
      <c r="G5" s="3453" t="s">
        <v>3403</v>
      </c>
      <c r="H5" s="3455">
        <v>979.25</v>
      </c>
      <c r="I5" s="3455">
        <v>200</v>
      </c>
      <c r="J5" s="3456" t="s">
        <v>3397</v>
      </c>
      <c r="K5" s="3457">
        <v>11143865</v>
      </c>
      <c r="L5" s="3451">
        <f t="shared" si="0"/>
        <v>6.6</v>
      </c>
      <c r="M5" s="3451">
        <f t="shared" si="1"/>
        <v>6463</v>
      </c>
    </row>
    <row r="6" spans="1:13" ht="27.75" customHeight="1">
      <c r="A6" s="3452">
        <v>5</v>
      </c>
      <c r="B6" s="3452" t="s">
        <v>3393</v>
      </c>
      <c r="C6" s="3453" t="s">
        <v>3404</v>
      </c>
      <c r="D6" s="3454">
        <v>43647</v>
      </c>
      <c r="E6" s="3454">
        <v>45443</v>
      </c>
      <c r="F6" s="3453" t="s">
        <v>3395</v>
      </c>
      <c r="G6" s="3453" t="s">
        <v>3405</v>
      </c>
      <c r="H6" s="3455">
        <v>974.49</v>
      </c>
      <c r="I6" s="3455">
        <v>200</v>
      </c>
      <c r="J6" s="3456" t="s">
        <v>3397</v>
      </c>
      <c r="K6" s="3457">
        <v>11089696.199999999</v>
      </c>
      <c r="L6" s="3451">
        <f t="shared" si="0"/>
        <v>6.6</v>
      </c>
      <c r="M6" s="3451">
        <f t="shared" si="1"/>
        <v>6432</v>
      </c>
    </row>
    <row r="7" spans="1:13" ht="27.75" customHeight="1">
      <c r="A7" s="3452">
        <v>6</v>
      </c>
      <c r="B7" s="3452" t="s">
        <v>3393</v>
      </c>
      <c r="C7" s="3453" t="s">
        <v>3406</v>
      </c>
      <c r="D7" s="3454">
        <v>43647</v>
      </c>
      <c r="E7" s="3454">
        <v>45443</v>
      </c>
      <c r="F7" s="3453" t="s">
        <v>3395</v>
      </c>
      <c r="G7" s="3453" t="s">
        <v>3407</v>
      </c>
      <c r="H7" s="3455">
        <v>600.79</v>
      </c>
      <c r="I7" s="3455">
        <v>200</v>
      </c>
      <c r="J7" s="3456" t="s">
        <v>3397</v>
      </c>
      <c r="K7" s="3457">
        <v>6836990.2000000002</v>
      </c>
      <c r="L7" s="3451">
        <f t="shared" si="0"/>
        <v>6.6</v>
      </c>
      <c r="M7" s="3451">
        <f t="shared" si="1"/>
        <v>3965</v>
      </c>
    </row>
    <row r="8" spans="1:13" ht="27.75" customHeight="1" thickBot="1">
      <c r="A8" s="3452">
        <v>7</v>
      </c>
      <c r="B8" s="3452" t="s">
        <v>3393</v>
      </c>
      <c r="C8" s="3453" t="s">
        <v>3408</v>
      </c>
      <c r="D8" s="3454">
        <v>43709</v>
      </c>
      <c r="E8" s="3454">
        <v>45626</v>
      </c>
      <c r="F8" s="3453" t="s">
        <v>3395</v>
      </c>
      <c r="G8" s="3453" t="s">
        <v>3409</v>
      </c>
      <c r="H8" s="3455">
        <v>5004.01</v>
      </c>
      <c r="I8" s="3455">
        <v>192</v>
      </c>
      <c r="J8" s="3456" t="s">
        <v>3397</v>
      </c>
      <c r="K8" s="3457">
        <v>55724655.359999999</v>
      </c>
      <c r="L8" s="3451">
        <f t="shared" si="0"/>
        <v>6.3</v>
      </c>
      <c r="M8" s="3451">
        <f t="shared" si="1"/>
        <v>31525</v>
      </c>
    </row>
    <row r="9" spans="1:13" s="3474" customFormat="1" ht="27.75" customHeight="1">
      <c r="A9" s="3468">
        <v>8</v>
      </c>
      <c r="B9" s="3475" t="s">
        <v>3393</v>
      </c>
      <c r="C9" s="3476" t="s">
        <v>3410</v>
      </c>
      <c r="D9" s="3477">
        <v>43709</v>
      </c>
      <c r="E9" s="3477">
        <v>45504</v>
      </c>
      <c r="F9" s="3476" t="s">
        <v>3395</v>
      </c>
      <c r="G9" s="3476" t="s">
        <v>3411</v>
      </c>
      <c r="H9" s="3478">
        <v>455.13</v>
      </c>
      <c r="I9" s="3478">
        <v>480</v>
      </c>
      <c r="J9" s="3472" t="s">
        <v>3397</v>
      </c>
      <c r="K9" s="3479">
        <v>12403430.4</v>
      </c>
      <c r="L9" s="3474">
        <f t="shared" si="0"/>
        <v>15.8</v>
      </c>
      <c r="M9" s="3474">
        <f t="shared" si="1"/>
        <v>7191</v>
      </c>
    </row>
    <row r="10" spans="1:13" ht="27.75" customHeight="1" thickBot="1">
      <c r="A10" s="3452">
        <v>9</v>
      </c>
      <c r="B10" s="3458" t="s">
        <v>3393</v>
      </c>
      <c r="C10" s="3459" t="s">
        <v>3412</v>
      </c>
      <c r="D10" s="3460">
        <v>43709</v>
      </c>
      <c r="E10" s="3460">
        <v>45504</v>
      </c>
      <c r="F10" s="3459" t="s">
        <v>3395</v>
      </c>
      <c r="G10" s="3459" t="s">
        <v>3413</v>
      </c>
      <c r="H10" s="3461">
        <v>340</v>
      </c>
      <c r="I10" s="3461">
        <v>220</v>
      </c>
      <c r="J10" s="3456" t="s">
        <v>3397</v>
      </c>
      <c r="K10" s="3462">
        <v>4246838</v>
      </c>
      <c r="L10" s="3451">
        <f t="shared" si="0"/>
        <v>7.2</v>
      </c>
      <c r="M10" s="3451">
        <f t="shared" si="1"/>
        <v>2448</v>
      </c>
    </row>
    <row r="11" spans="1:13" ht="27.75" customHeight="1">
      <c r="A11" s="3452">
        <v>10</v>
      </c>
      <c r="B11" s="3452" t="s">
        <v>3393</v>
      </c>
      <c r="C11" s="3453" t="s">
        <v>3414</v>
      </c>
      <c r="D11" s="3454">
        <v>43800</v>
      </c>
      <c r="E11" s="3454">
        <v>45443</v>
      </c>
      <c r="F11" s="3453" t="s">
        <v>3395</v>
      </c>
      <c r="G11" s="3453" t="s">
        <v>3415</v>
      </c>
      <c r="H11" s="3455">
        <v>354.41</v>
      </c>
      <c r="I11" s="3455">
        <v>205</v>
      </c>
      <c r="J11" s="3456" t="s">
        <v>3397</v>
      </c>
      <c r="K11" s="3457">
        <v>3756214.47</v>
      </c>
      <c r="L11" s="3451">
        <f t="shared" si="0"/>
        <v>6.7</v>
      </c>
      <c r="M11" s="3451">
        <f t="shared" si="1"/>
        <v>2375</v>
      </c>
    </row>
    <row r="12" spans="1:13" ht="27.75" customHeight="1">
      <c r="A12" s="3452">
        <v>11</v>
      </c>
      <c r="B12" s="3452" t="s">
        <v>3393</v>
      </c>
      <c r="C12" s="3463" t="s">
        <v>3416</v>
      </c>
      <c r="D12" s="3454">
        <v>43800</v>
      </c>
      <c r="E12" s="3454">
        <v>45443</v>
      </c>
      <c r="F12" s="3453" t="s">
        <v>3395</v>
      </c>
      <c r="G12" s="3453" t="s">
        <v>3417</v>
      </c>
      <c r="H12" s="3455">
        <v>198.08</v>
      </c>
      <c r="I12" s="3455">
        <v>205</v>
      </c>
      <c r="J12" s="3456" t="s">
        <v>3397</v>
      </c>
      <c r="K12" s="3457">
        <v>2099350.88</v>
      </c>
      <c r="L12" s="3451">
        <f t="shared" si="0"/>
        <v>6.7</v>
      </c>
      <c r="M12" s="3451">
        <f t="shared" si="1"/>
        <v>1327</v>
      </c>
    </row>
    <row r="13" spans="1:13" ht="27.75" customHeight="1">
      <c r="A13" s="3452">
        <v>12</v>
      </c>
      <c r="B13" s="3452" t="s">
        <v>3393</v>
      </c>
      <c r="C13" s="3453" t="s">
        <v>3418</v>
      </c>
      <c r="D13" s="3454">
        <v>44053</v>
      </c>
      <c r="E13" s="3454">
        <v>45147</v>
      </c>
      <c r="F13" s="3453" t="s">
        <v>3395</v>
      </c>
      <c r="G13" s="3453" t="s">
        <v>3419</v>
      </c>
      <c r="H13" s="3455">
        <v>714.5</v>
      </c>
      <c r="I13" s="3455">
        <v>195</v>
      </c>
      <c r="J13" s="3456" t="s">
        <v>3397</v>
      </c>
      <c r="K13" s="3457">
        <v>4597807.5</v>
      </c>
      <c r="L13" s="3451">
        <f t="shared" si="0"/>
        <v>6.4</v>
      </c>
      <c r="M13" s="3451">
        <f t="shared" si="1"/>
        <v>4573</v>
      </c>
    </row>
    <row r="14" spans="1:13" ht="27.75" customHeight="1">
      <c r="A14" s="3452">
        <v>13</v>
      </c>
      <c r="B14" s="3464" t="s">
        <v>3393</v>
      </c>
      <c r="C14" s="3453" t="s">
        <v>3420</v>
      </c>
      <c r="D14" s="3465">
        <v>44515</v>
      </c>
      <c r="E14" s="3465">
        <v>45610</v>
      </c>
      <c r="F14" s="3453" t="s">
        <v>3395</v>
      </c>
      <c r="G14" s="3453" t="s">
        <v>3421</v>
      </c>
      <c r="H14" s="3455">
        <v>910.48</v>
      </c>
      <c r="I14" s="3455">
        <v>200</v>
      </c>
      <c r="J14" s="3456" t="s">
        <v>3397</v>
      </c>
      <c r="K14" s="3466">
        <v>6009168</v>
      </c>
      <c r="L14" s="3451">
        <f t="shared" si="0"/>
        <v>6.6</v>
      </c>
      <c r="M14" s="3451">
        <f t="shared" si="1"/>
        <v>6009</v>
      </c>
    </row>
    <row r="15" spans="1:13" ht="27.75" customHeight="1">
      <c r="A15" s="3452">
        <v>14</v>
      </c>
      <c r="B15" s="3464" t="s">
        <v>3393</v>
      </c>
      <c r="C15" s="3453" t="s">
        <v>3422</v>
      </c>
      <c r="D15" s="3465">
        <v>44621</v>
      </c>
      <c r="E15" s="3465">
        <v>45716</v>
      </c>
      <c r="F15" s="3453" t="s">
        <v>3423</v>
      </c>
      <c r="G15" s="3453" t="s">
        <v>3424</v>
      </c>
      <c r="H15" s="3455">
        <v>347.77</v>
      </c>
      <c r="I15" s="3455">
        <v>190</v>
      </c>
      <c r="J15" s="3456" t="s">
        <v>3397</v>
      </c>
      <c r="K15" s="3466">
        <v>2378746.7999999998</v>
      </c>
      <c r="L15" s="3451">
        <f t="shared" si="0"/>
        <v>6.2</v>
      </c>
      <c r="M15" s="3451">
        <f t="shared" si="1"/>
        <v>2156</v>
      </c>
    </row>
    <row r="16" spans="1:13" ht="27.75" customHeight="1">
      <c r="A16" s="3452">
        <v>15</v>
      </c>
      <c r="B16" s="3452" t="s">
        <v>3393</v>
      </c>
      <c r="C16" s="3453" t="s">
        <v>3425</v>
      </c>
      <c r="D16" s="3454">
        <v>43831</v>
      </c>
      <c r="E16" s="3454">
        <v>45657</v>
      </c>
      <c r="F16" s="3453" t="s">
        <v>3395</v>
      </c>
      <c r="G16" s="3453" t="s">
        <v>3426</v>
      </c>
      <c r="H16" s="3455">
        <v>15176.12</v>
      </c>
      <c r="I16" s="3455">
        <v>9.5500000000000007</v>
      </c>
      <c r="J16" s="3456" t="s">
        <v>3427</v>
      </c>
      <c r="K16" s="3457">
        <v>271177656.95999998</v>
      </c>
      <c r="L16" s="3467">
        <f>I16</f>
        <v>9.5500000000000007</v>
      </c>
      <c r="M16" s="3451">
        <f t="shared" si="1"/>
        <v>144932</v>
      </c>
    </row>
    <row r="17" spans="8:13">
      <c r="H17" s="3467">
        <f>SUM(H2:H15)</f>
        <v>11827.029999999999</v>
      </c>
      <c r="L17" s="3451">
        <f>ROUND(M17/H17,1)</f>
        <v>7.3</v>
      </c>
      <c r="M17" s="3451">
        <f>SUM(M2:M15)</f>
        <v>86669</v>
      </c>
    </row>
  </sheetData>
  <protectedRanges>
    <protectedRange sqref="A1:J1" name="Range1"/>
    <protectedRange sqref="A14 A4 A6 A8 A10 A12 A2:H2" name="Range1_1"/>
    <protectedRange sqref="I2:J2 J3:J16" name="Range1_1_1"/>
    <protectedRange sqref="A5 A7 A9 A11 A13 A15:A16 A3:I3" name="Range1_2"/>
    <protectedRange sqref="B4:I4" name="Range1_3"/>
    <protectedRange sqref="B5:I8" name="Range1_5"/>
    <protectedRange sqref="B9:I10" name="Range1_6"/>
    <protectedRange sqref="B11:I12" name="Range1_7"/>
    <protectedRange sqref="B13:I13" name="Range1_8"/>
    <protectedRange sqref="B14:I14" name="Range1_10"/>
    <protectedRange sqref="B16 B15:I15" name="Range1_11"/>
    <protectedRange sqref="K1" name="Range1_13"/>
    <protectedRange sqref="K2" name="Range1_14"/>
    <protectedRange sqref="K3" name="Range1_15"/>
    <protectedRange sqref="K4" name="Range1_16"/>
    <protectedRange sqref="K5:K8" name="Range1_18"/>
    <protectedRange sqref="K9:K10" name="Range1_19"/>
    <protectedRange sqref="K11:K12" name="Range1_20"/>
    <protectedRange sqref="K13" name="Range1_21"/>
    <protectedRange sqref="K14" name="Range1_23"/>
    <protectedRange sqref="K15" name="Range1_24"/>
    <protectedRange sqref="C16" name="Range1_26"/>
    <protectedRange sqref="D16" name="Range1_27"/>
    <protectedRange sqref="E16" name="Range1_28"/>
    <protectedRange sqref="F16" name="Range1_29"/>
    <protectedRange sqref="G16" name="Range1_30"/>
    <protectedRange sqref="H16" name="Range1_31"/>
    <protectedRange sqref="K16" name="Range1_32"/>
    <protectedRange sqref="I16" name="Range1_33"/>
  </protectedRanges>
  <phoneticPr fontId="134" type="noConversion"/>
  <conditionalFormatting sqref="B1:B15">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6">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37" t="s">
        <v>2082</v>
      </c>
      <c r="D1" s="3838"/>
      <c r="E1" s="3838"/>
      <c r="F1" s="3838"/>
      <c r="G1" s="3838"/>
      <c r="H1" s="3838"/>
      <c r="I1" s="3838"/>
      <c r="J1" s="3838"/>
      <c r="K1" s="3838"/>
      <c r="L1" s="3838"/>
      <c r="M1" s="3838"/>
      <c r="N1" s="3838"/>
      <c r="O1" s="3838"/>
      <c r="P1" s="3838"/>
      <c r="Q1" s="3838"/>
      <c r="R1" s="3838"/>
      <c r="S1" s="383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4" t="s">
        <v>27</v>
      </c>
      <c r="D22" s="3835"/>
      <c r="E22" s="3835"/>
      <c r="F22" s="3835"/>
      <c r="G22" s="3835"/>
      <c r="H22" s="3835"/>
      <c r="I22" s="3835"/>
      <c r="J22" s="3835"/>
      <c r="K22" s="3835"/>
      <c r="L22" s="3835"/>
      <c r="M22" s="3835"/>
      <c r="N22" s="3835"/>
      <c r="O22" s="3835"/>
      <c r="P22" s="3835"/>
      <c r="Q22" s="383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36847</v>
      </c>
      <c r="C2" s="2145" t="s">
        <v>2072</v>
      </c>
      <c r="D2" s="2145" t="s">
        <v>2073</v>
      </c>
      <c r="E2" s="2606">
        <f ca="1">SUMIF(E6:E13,"&lt;&gt;#ref!",E6:E13)</f>
        <v>45755.040000000001</v>
      </c>
      <c r="F2" s="2787"/>
      <c r="G2" s="2787"/>
      <c r="H2" s="2787"/>
      <c r="I2" s="2787"/>
      <c r="J2" s="2787"/>
      <c r="K2" s="2787"/>
      <c r="L2" s="2787"/>
      <c r="M2" s="2787"/>
      <c r="N2" s="2787"/>
      <c r="O2" s="2787"/>
      <c r="P2" s="2787"/>
    </row>
    <row r="3" spans="1:16" ht="15.75">
      <c r="A3" s="2145" t="s">
        <v>2074</v>
      </c>
      <c r="B3" s="2596">
        <f ca="1">ROUND(B2*10000/E2,0)</f>
        <v>8053</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36847</v>
      </c>
      <c r="C6" s="2145" t="s">
        <v>2072</v>
      </c>
      <c r="D6" s="2787"/>
      <c r="E6" s="2606">
        <f ca="1">SUMIF(INDIRECT("'"&amp;A6&amp;"'"&amp;"!C:C"),"建筑面积",INDIRECT("'"&amp;A6&amp;"'"&amp;"!D:D"))</f>
        <v>45755.040000000001</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47" t="s">
        <v>2596</v>
      </c>
      <c r="B20" s="3840" t="s">
        <v>2617</v>
      </c>
      <c r="C20" s="3097" t="s">
        <v>2428</v>
      </c>
      <c r="D20" s="3098"/>
      <c r="E20" s="3099">
        <v>1</v>
      </c>
      <c r="F20" s="3100" t="s">
        <v>2429</v>
      </c>
      <c r="G20" s="3100"/>
    </row>
    <row r="21" spans="1:13" ht="19.5" customHeight="1">
      <c r="A21" s="3848"/>
      <c r="B21" s="3841"/>
      <c r="C21" s="3101" t="s">
        <v>2430</v>
      </c>
      <c r="D21" s="3102"/>
      <c r="E21" s="3103">
        <v>1</v>
      </c>
      <c r="F21" s="3100" t="s">
        <v>2431</v>
      </c>
      <c r="G21" s="3100"/>
    </row>
    <row r="22" spans="1:13" ht="19.5" customHeight="1">
      <c r="A22" s="3848"/>
      <c r="B22" s="3841"/>
      <c r="C22" s="3101" t="s">
        <v>2432</v>
      </c>
      <c r="D22" s="3102"/>
      <c r="E22" s="3103">
        <v>0.9</v>
      </c>
      <c r="F22" s="3100" t="s">
        <v>2433</v>
      </c>
      <c r="G22" s="3100"/>
    </row>
    <row r="23" spans="1:13" ht="19.5" customHeight="1">
      <c r="A23" s="3848"/>
      <c r="B23" s="3841"/>
      <c r="C23" s="3101" t="s">
        <v>2434</v>
      </c>
      <c r="D23" s="3102"/>
      <c r="E23" s="3103">
        <v>0.9</v>
      </c>
      <c r="F23" s="3100" t="s">
        <v>2435</v>
      </c>
      <c r="G23" s="3100"/>
    </row>
    <row r="24" spans="1:13" ht="19.5" customHeight="1">
      <c r="A24" s="3848"/>
      <c r="B24" s="3841"/>
      <c r="C24" s="3101" t="s">
        <v>2436</v>
      </c>
      <c r="D24" s="3102"/>
      <c r="E24" s="3103">
        <v>0.8</v>
      </c>
      <c r="F24" s="3100" t="s">
        <v>2437</v>
      </c>
      <c r="G24" s="3100"/>
    </row>
    <row r="25" spans="1:13" ht="19.5" customHeight="1" thickBot="1">
      <c r="A25" s="3849"/>
      <c r="B25" s="3842"/>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843" t="s">
        <v>2620</v>
      </c>
      <c r="B27" s="3840" t="s">
        <v>2601</v>
      </c>
      <c r="C27" s="3097" t="s">
        <v>2441</v>
      </c>
      <c r="D27" s="3098"/>
      <c r="E27" s="3099">
        <v>1</v>
      </c>
      <c r="F27" s="3100" t="s">
        <v>2442</v>
      </c>
      <c r="G27" s="3100"/>
    </row>
    <row r="28" spans="1:13" ht="19.5" customHeight="1">
      <c r="A28" s="3844"/>
      <c r="B28" s="3841"/>
      <c r="C28" s="3101" t="s">
        <v>2443</v>
      </c>
      <c r="D28" s="3102"/>
      <c r="E28" s="3103">
        <v>1</v>
      </c>
      <c r="F28" s="3100" t="s">
        <v>2444</v>
      </c>
      <c r="G28" s="3100"/>
    </row>
    <row r="29" spans="1:13" ht="19.5" customHeight="1">
      <c r="A29" s="3844"/>
      <c r="B29" s="3841"/>
      <c r="C29" s="3101" t="s">
        <v>2445</v>
      </c>
      <c r="D29" s="3102"/>
      <c r="E29" s="3103">
        <v>0.8</v>
      </c>
      <c r="F29" s="3100" t="s">
        <v>2446</v>
      </c>
      <c r="G29" s="3100"/>
    </row>
    <row r="30" spans="1:13" ht="19.5" customHeight="1">
      <c r="A30" s="3844"/>
      <c r="B30" s="3841"/>
      <c r="C30" s="3101" t="s">
        <v>2447</v>
      </c>
      <c r="D30" s="3102"/>
      <c r="E30" s="3103">
        <v>0.8</v>
      </c>
      <c r="F30" s="3100" t="s">
        <v>2448</v>
      </c>
      <c r="G30" s="3100"/>
    </row>
    <row r="31" spans="1:13" ht="19.5" customHeight="1">
      <c r="A31" s="3844"/>
      <c r="B31" s="3841"/>
      <c r="C31" s="3101" t="s">
        <v>2449</v>
      </c>
      <c r="D31" s="3102"/>
      <c r="E31" s="3103">
        <v>0.8</v>
      </c>
      <c r="F31" s="3100" t="s">
        <v>2450</v>
      </c>
      <c r="G31" s="3100"/>
    </row>
    <row r="32" spans="1:13" ht="19.5" customHeight="1">
      <c r="A32" s="3844"/>
      <c r="B32" s="3841"/>
      <c r="C32" s="3101" t="s">
        <v>2451</v>
      </c>
      <c r="D32" s="3102"/>
      <c r="E32" s="3103">
        <v>0.7</v>
      </c>
      <c r="F32" s="3100" t="s">
        <v>2452</v>
      </c>
      <c r="G32" s="3100"/>
    </row>
    <row r="33" spans="1:7" ht="19.5" customHeight="1">
      <c r="A33" s="3844"/>
      <c r="B33" s="3841"/>
      <c r="C33" s="3101" t="s">
        <v>2453</v>
      </c>
      <c r="D33" s="3102"/>
      <c r="E33" s="3103">
        <v>0.8</v>
      </c>
      <c r="F33" s="3100" t="s">
        <v>2454</v>
      </c>
      <c r="G33" s="3100"/>
    </row>
    <row r="34" spans="1:7" ht="19.5" customHeight="1">
      <c r="A34" s="3844"/>
      <c r="B34" s="3841"/>
      <c r="C34" s="3101" t="s">
        <v>2455</v>
      </c>
      <c r="D34" s="3102"/>
      <c r="E34" s="3103">
        <v>0.6</v>
      </c>
      <c r="F34" s="3100" t="s">
        <v>2456</v>
      </c>
      <c r="G34" s="3100"/>
    </row>
    <row r="35" spans="1:7" ht="19.5" customHeight="1">
      <c r="A35" s="3844"/>
      <c r="B35" s="3841"/>
      <c r="C35" s="3101" t="s">
        <v>2457</v>
      </c>
      <c r="D35" s="3102"/>
      <c r="E35" s="3103">
        <v>0.2</v>
      </c>
      <c r="F35" s="3100" t="s">
        <v>2458</v>
      </c>
      <c r="G35" s="3100"/>
    </row>
    <row r="36" spans="1:7" ht="19.5" customHeight="1">
      <c r="A36" s="3844"/>
      <c r="B36" s="3841"/>
      <c r="C36" s="3101" t="s">
        <v>2459</v>
      </c>
      <c r="D36" s="3102"/>
      <c r="E36" s="3103">
        <v>0.2</v>
      </c>
      <c r="F36" s="3100" t="s">
        <v>2460</v>
      </c>
      <c r="G36" s="3100"/>
    </row>
    <row r="37" spans="1:7" ht="19.5" customHeight="1">
      <c r="A37" s="3844"/>
      <c r="B37" s="3846" t="s">
        <v>2621</v>
      </c>
      <c r="C37" s="3101" t="s">
        <v>2461</v>
      </c>
      <c r="D37" s="3102"/>
      <c r="E37" s="3103">
        <v>0.6</v>
      </c>
      <c r="F37" s="3100" t="s">
        <v>2462</v>
      </c>
      <c r="G37" s="3100"/>
    </row>
    <row r="38" spans="1:7" ht="19.5" customHeight="1">
      <c r="A38" s="3844"/>
      <c r="B38" s="3841"/>
      <c r="C38" s="3101" t="s">
        <v>2463</v>
      </c>
      <c r="D38" s="3102"/>
      <c r="E38" s="3103">
        <v>0.6</v>
      </c>
      <c r="F38" s="3100" t="s">
        <v>2464</v>
      </c>
      <c r="G38" s="3100"/>
    </row>
    <row r="39" spans="1:7" ht="19.5" customHeight="1" thickBot="1">
      <c r="A39" s="3845"/>
      <c r="B39" s="3842"/>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47" t="s">
        <v>2599</v>
      </c>
      <c r="B41" s="3840" t="s">
        <v>2623</v>
      </c>
      <c r="C41" s="3097" t="s">
        <v>2468</v>
      </c>
      <c r="D41" s="3098"/>
      <c r="E41" s="3099">
        <v>1</v>
      </c>
      <c r="F41" s="3100" t="s">
        <v>2469</v>
      </c>
      <c r="G41" s="3100"/>
    </row>
    <row r="42" spans="1:7" ht="19.5" customHeight="1">
      <c r="A42" s="3848"/>
      <c r="B42" s="3841"/>
      <c r="C42" s="3101" t="s">
        <v>2470</v>
      </c>
      <c r="D42" s="3102"/>
      <c r="E42" s="3103">
        <v>1</v>
      </c>
      <c r="F42" s="3100" t="s">
        <v>2471</v>
      </c>
      <c r="G42" s="3100"/>
    </row>
    <row r="43" spans="1:7" ht="19.5" customHeight="1">
      <c r="A43" s="3848"/>
      <c r="B43" s="3850"/>
      <c r="C43" s="3101" t="s">
        <v>2472</v>
      </c>
      <c r="D43" s="3102"/>
      <c r="E43" s="3103">
        <v>1.5</v>
      </c>
      <c r="F43" s="3100" t="s">
        <v>2473</v>
      </c>
      <c r="G43" s="3100"/>
    </row>
    <row r="44" spans="1:7" ht="19.5" customHeight="1">
      <c r="A44" s="3848"/>
      <c r="B44" s="3112" t="s">
        <v>2624</v>
      </c>
      <c r="C44" s="3101" t="s">
        <v>2625</v>
      </c>
      <c r="D44" s="3102"/>
      <c r="E44" s="3103">
        <v>2</v>
      </c>
      <c r="F44" s="3100" t="s">
        <v>2474</v>
      </c>
      <c r="G44" s="3100"/>
    </row>
    <row r="45" spans="1:7" ht="19.5" customHeight="1">
      <c r="A45" s="3848"/>
      <c r="B45" s="3846" t="s">
        <v>2626</v>
      </c>
      <c r="C45" s="3101" t="s">
        <v>2475</v>
      </c>
      <c r="D45" s="3102"/>
      <c r="E45" s="3103">
        <v>1</v>
      </c>
      <c r="F45" s="3100" t="s">
        <v>2476</v>
      </c>
      <c r="G45" s="3100"/>
    </row>
    <row r="46" spans="1:7" ht="19.5" customHeight="1">
      <c r="A46" s="3848"/>
      <c r="B46" s="3841"/>
      <c r="C46" s="3101" t="s">
        <v>2477</v>
      </c>
      <c r="D46" s="3102"/>
      <c r="E46" s="3103">
        <v>1</v>
      </c>
      <c r="F46" s="3100" t="s">
        <v>2478</v>
      </c>
      <c r="G46" s="3100"/>
    </row>
    <row r="47" spans="1:7" ht="19.5" customHeight="1">
      <c r="A47" s="3848"/>
      <c r="B47" s="3841"/>
      <c r="C47" s="3101" t="s">
        <v>2479</v>
      </c>
      <c r="D47" s="3102"/>
      <c r="E47" s="3103">
        <v>1</v>
      </c>
      <c r="F47" s="3100" t="s">
        <v>2480</v>
      </c>
      <c r="G47" s="3100"/>
    </row>
    <row r="48" spans="1:7" ht="19.5" customHeight="1">
      <c r="A48" s="3848"/>
      <c r="B48" s="3841"/>
      <c r="C48" s="3101" t="s">
        <v>2481</v>
      </c>
      <c r="D48" s="3102"/>
      <c r="E48" s="3103">
        <v>1</v>
      </c>
      <c r="F48" s="3100" t="s">
        <v>2482</v>
      </c>
      <c r="G48" s="3100"/>
    </row>
    <row r="49" spans="1:7" ht="19.5" customHeight="1">
      <c r="A49" s="3848"/>
      <c r="B49" s="3841"/>
      <c r="C49" s="3101" t="s">
        <v>2483</v>
      </c>
      <c r="D49" s="3102"/>
      <c r="E49" s="3103">
        <v>1</v>
      </c>
      <c r="F49" s="3100" t="s">
        <v>2484</v>
      </c>
      <c r="G49" s="3100"/>
    </row>
    <row r="50" spans="1:7" ht="19.5" customHeight="1">
      <c r="A50" s="3848"/>
      <c r="B50" s="3841"/>
      <c r="C50" s="3101" t="s">
        <v>2485</v>
      </c>
      <c r="D50" s="3102"/>
      <c r="E50" s="3103">
        <v>1</v>
      </c>
      <c r="F50" s="3100" t="s">
        <v>2486</v>
      </c>
      <c r="G50" s="3100"/>
    </row>
    <row r="51" spans="1:7" ht="19.5" customHeight="1" thickBot="1">
      <c r="A51" s="3849"/>
      <c r="B51" s="3842"/>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846" t="s">
        <v>2640</v>
      </c>
      <c r="C73" s="3086" t="s">
        <v>2641</v>
      </c>
      <c r="D73" s="3086" t="s">
        <v>2642</v>
      </c>
      <c r="E73" s="3112">
        <v>0.2</v>
      </c>
      <c r="F73" s="3112">
        <v>25</v>
      </c>
    </row>
    <row r="74" spans="1:7" ht="24">
      <c r="A74" s="3112">
        <v>2</v>
      </c>
      <c r="B74" s="3841"/>
      <c r="C74" s="3086" t="s">
        <v>2643</v>
      </c>
      <c r="D74" s="3086" t="s">
        <v>2644</v>
      </c>
      <c r="E74" s="3112">
        <v>0.2</v>
      </c>
      <c r="F74" s="3112">
        <v>25</v>
      </c>
    </row>
    <row r="75" spans="1:7" ht="24">
      <c r="A75" s="3112">
        <v>3</v>
      </c>
      <c r="B75" s="3841"/>
      <c r="C75" s="3086" t="s">
        <v>2645</v>
      </c>
      <c r="D75" s="3086" t="s">
        <v>2646</v>
      </c>
      <c r="E75" s="3112">
        <v>0.2</v>
      </c>
      <c r="F75" s="3112">
        <v>25</v>
      </c>
    </row>
    <row r="76" spans="1:7" ht="13.5">
      <c r="A76" s="3112">
        <v>4</v>
      </c>
      <c r="B76" s="3841"/>
      <c r="C76" s="3086" t="s">
        <v>2647</v>
      </c>
      <c r="D76" s="3086" t="s">
        <v>2648</v>
      </c>
      <c r="E76" s="3112">
        <v>0.15</v>
      </c>
      <c r="F76" s="3112">
        <v>20</v>
      </c>
    </row>
    <row r="77" spans="1:7" ht="24">
      <c r="A77" s="3112">
        <v>5</v>
      </c>
      <c r="B77" s="3841"/>
      <c r="C77" s="3086" t="s">
        <v>2649</v>
      </c>
      <c r="D77" s="3086" t="s">
        <v>2650</v>
      </c>
      <c r="E77" s="3112">
        <v>0.15</v>
      </c>
      <c r="F77" s="3112">
        <v>20</v>
      </c>
    </row>
    <row r="78" spans="1:7" ht="24">
      <c r="A78" s="3112">
        <v>6</v>
      </c>
      <c r="B78" s="3841"/>
      <c r="C78" s="3086" t="s">
        <v>2651</v>
      </c>
      <c r="D78" s="3086" t="s">
        <v>2652</v>
      </c>
      <c r="E78" s="3112">
        <v>0.15</v>
      </c>
      <c r="F78" s="3112">
        <v>20</v>
      </c>
    </row>
    <row r="79" spans="1:7" ht="24">
      <c r="A79" s="3112">
        <v>7</v>
      </c>
      <c r="B79" s="3841"/>
      <c r="C79" s="3086" t="s">
        <v>2653</v>
      </c>
      <c r="D79" s="3086" t="s">
        <v>2654</v>
      </c>
      <c r="E79" s="3112">
        <v>0.15</v>
      </c>
      <c r="F79" s="3112">
        <v>20</v>
      </c>
    </row>
    <row r="80" spans="1:7" ht="24">
      <c r="A80" s="3112">
        <v>8</v>
      </c>
      <c r="B80" s="3841"/>
      <c r="C80" s="3086" t="s">
        <v>2655</v>
      </c>
      <c r="D80" s="3086" t="s">
        <v>2656</v>
      </c>
      <c r="E80" s="3112">
        <v>0.1</v>
      </c>
      <c r="F80" s="3112">
        <v>15</v>
      </c>
    </row>
    <row r="81" spans="1:6" ht="24">
      <c r="A81" s="3112">
        <v>9</v>
      </c>
      <c r="B81" s="3841"/>
      <c r="C81" s="3086" t="s">
        <v>2657</v>
      </c>
      <c r="D81" s="3086" t="s">
        <v>2658</v>
      </c>
      <c r="E81" s="3112">
        <v>0.1</v>
      </c>
      <c r="F81" s="3112">
        <v>15</v>
      </c>
    </row>
    <row r="82" spans="1:6" ht="24">
      <c r="A82" s="3112">
        <v>10</v>
      </c>
      <c r="B82" s="3841"/>
      <c r="C82" s="3086" t="s">
        <v>2659</v>
      </c>
      <c r="D82" s="3086" t="s">
        <v>2660</v>
      </c>
      <c r="E82" s="3112">
        <v>0.1</v>
      </c>
      <c r="F82" s="3112">
        <v>15</v>
      </c>
    </row>
    <row r="83" spans="1:6" ht="24">
      <c r="A83" s="3112">
        <v>11</v>
      </c>
      <c r="B83" s="3841"/>
      <c r="C83" s="3086" t="s">
        <v>2661</v>
      </c>
      <c r="D83" s="3086" t="s">
        <v>2662</v>
      </c>
      <c r="E83" s="3112">
        <v>0.1</v>
      </c>
      <c r="F83" s="3112">
        <v>15</v>
      </c>
    </row>
    <row r="84" spans="1:6" ht="24">
      <c r="A84" s="3112">
        <v>12</v>
      </c>
      <c r="B84" s="3841"/>
      <c r="C84" s="3086" t="s">
        <v>2663</v>
      </c>
      <c r="D84" s="3086" t="s">
        <v>2664</v>
      </c>
      <c r="E84" s="3112">
        <v>0.1</v>
      </c>
      <c r="F84" s="3112">
        <v>15</v>
      </c>
    </row>
    <row r="85" spans="1:6" ht="13.5">
      <c r="A85" s="3112">
        <v>13</v>
      </c>
      <c r="B85" s="3841"/>
      <c r="C85" s="3086" t="s">
        <v>2665</v>
      </c>
      <c r="D85" s="3086" t="s">
        <v>2666</v>
      </c>
      <c r="E85" s="3112">
        <v>0.1</v>
      </c>
      <c r="F85" s="3112">
        <v>15</v>
      </c>
    </row>
    <row r="86" spans="1:6" ht="13.5">
      <c r="A86" s="3112">
        <v>14</v>
      </c>
      <c r="B86" s="3841"/>
      <c r="C86" s="3086" t="s">
        <v>2667</v>
      </c>
      <c r="D86" s="3086" t="s">
        <v>2668</v>
      </c>
      <c r="E86" s="3112">
        <v>0.1</v>
      </c>
      <c r="F86" s="3112">
        <v>15</v>
      </c>
    </row>
    <row r="87" spans="1:6" ht="13.5">
      <c r="A87" s="3112">
        <v>15</v>
      </c>
      <c r="B87" s="3841"/>
      <c r="C87" s="3086" t="s">
        <v>2669</v>
      </c>
      <c r="D87" s="3086" t="s">
        <v>2670</v>
      </c>
      <c r="E87" s="3112">
        <v>0.1</v>
      </c>
      <c r="F87" s="3112">
        <v>15</v>
      </c>
    </row>
    <row r="88" spans="1:6" ht="24">
      <c r="A88" s="3112">
        <v>16</v>
      </c>
      <c r="B88" s="3841"/>
      <c r="C88" s="3086" t="s">
        <v>2671</v>
      </c>
      <c r="D88" s="3086" t="s">
        <v>2672</v>
      </c>
      <c r="E88" s="3112">
        <v>0.1</v>
      </c>
      <c r="F88" s="3112">
        <v>15</v>
      </c>
    </row>
    <row r="89" spans="1:6" ht="24">
      <c r="A89" s="3112">
        <v>17</v>
      </c>
      <c r="B89" s="3850"/>
      <c r="C89" s="3086" t="s">
        <v>2673</v>
      </c>
      <c r="D89" s="3086" t="s">
        <v>2674</v>
      </c>
      <c r="E89" s="3112">
        <v>0.1</v>
      </c>
      <c r="F89" s="3112">
        <v>15</v>
      </c>
    </row>
    <row r="90" spans="1:6" ht="13.5">
      <c r="A90" s="3112">
        <v>18</v>
      </c>
      <c r="B90" s="3846" t="s">
        <v>2675</v>
      </c>
      <c r="C90" s="3086" t="s">
        <v>2676</v>
      </c>
      <c r="D90" s="3086" t="s">
        <v>2677</v>
      </c>
      <c r="E90" s="3112">
        <v>0.2</v>
      </c>
      <c r="F90" s="3112">
        <v>25</v>
      </c>
    </row>
    <row r="91" spans="1:6" ht="24">
      <c r="A91" s="3112">
        <v>19</v>
      </c>
      <c r="B91" s="3841"/>
      <c r="C91" s="3086" t="s">
        <v>2678</v>
      </c>
      <c r="D91" s="3086" t="s">
        <v>2679</v>
      </c>
      <c r="E91" s="3112">
        <v>0.2</v>
      </c>
      <c r="F91" s="3112">
        <v>25</v>
      </c>
    </row>
    <row r="92" spans="1:6" ht="13.5">
      <c r="A92" s="3112">
        <v>20</v>
      </c>
      <c r="B92" s="3841"/>
      <c r="C92" s="3086" t="s">
        <v>2680</v>
      </c>
      <c r="D92" s="3086" t="s">
        <v>2681</v>
      </c>
      <c r="E92" s="3112">
        <v>0.15</v>
      </c>
      <c r="F92" s="3112">
        <v>20</v>
      </c>
    </row>
    <row r="93" spans="1:6" ht="13.5">
      <c r="A93" s="3112">
        <v>21</v>
      </c>
      <c r="B93" s="3841"/>
      <c r="C93" s="3086" t="s">
        <v>2682</v>
      </c>
      <c r="D93" s="3086" t="s">
        <v>2683</v>
      </c>
      <c r="E93" s="3112">
        <v>0.15</v>
      </c>
      <c r="F93" s="3112">
        <v>20</v>
      </c>
    </row>
    <row r="94" spans="1:6" ht="13.5">
      <c r="A94" s="3112">
        <v>22</v>
      </c>
      <c r="B94" s="3841"/>
      <c r="C94" s="3086" t="s">
        <v>2684</v>
      </c>
      <c r="D94" s="3086" t="s">
        <v>2685</v>
      </c>
      <c r="E94" s="3112">
        <v>0.15</v>
      </c>
      <c r="F94" s="3112">
        <v>20</v>
      </c>
    </row>
    <row r="95" spans="1:6" ht="36">
      <c r="A95" s="3112">
        <v>23</v>
      </c>
      <c r="B95" s="3841"/>
      <c r="C95" s="3086" t="s">
        <v>2686</v>
      </c>
      <c r="D95" s="3086" t="s">
        <v>2687</v>
      </c>
      <c r="E95" s="3112">
        <v>0.15</v>
      </c>
      <c r="F95" s="3112">
        <v>20</v>
      </c>
    </row>
    <row r="96" spans="1:6" ht="13.5">
      <c r="A96" s="3112">
        <v>24</v>
      </c>
      <c r="B96" s="3841"/>
      <c r="C96" s="3086" t="s">
        <v>2688</v>
      </c>
      <c r="D96" s="3086" t="s">
        <v>2689</v>
      </c>
      <c r="E96" s="3112">
        <v>0.1</v>
      </c>
      <c r="F96" s="3112">
        <v>15</v>
      </c>
    </row>
    <row r="97" spans="1:6" ht="13.5">
      <c r="A97" s="3112">
        <v>25</v>
      </c>
      <c r="B97" s="3841"/>
      <c r="C97" s="3086" t="s">
        <v>2690</v>
      </c>
      <c r="D97" s="3086" t="s">
        <v>2691</v>
      </c>
      <c r="E97" s="3112">
        <v>0.1</v>
      </c>
      <c r="F97" s="3112">
        <v>15</v>
      </c>
    </row>
    <row r="98" spans="1:6" ht="24">
      <c r="A98" s="3112">
        <v>26</v>
      </c>
      <c r="B98" s="3841"/>
      <c r="C98" s="3086" t="s">
        <v>2692</v>
      </c>
      <c r="D98" s="3086" t="s">
        <v>2693</v>
      </c>
      <c r="E98" s="3112">
        <v>0.1</v>
      </c>
      <c r="F98" s="3112">
        <v>15</v>
      </c>
    </row>
    <row r="99" spans="1:6" ht="24">
      <c r="A99" s="3112">
        <v>27</v>
      </c>
      <c r="B99" s="3841"/>
      <c r="C99" s="3086" t="s">
        <v>2694</v>
      </c>
      <c r="D99" s="3086" t="s">
        <v>2695</v>
      </c>
      <c r="E99" s="3112">
        <v>0.1</v>
      </c>
      <c r="F99" s="3112">
        <v>15</v>
      </c>
    </row>
    <row r="100" spans="1:6" ht="13.5">
      <c r="A100" s="3112">
        <v>28</v>
      </c>
      <c r="B100" s="3841"/>
      <c r="C100" s="3086" t="s">
        <v>2696</v>
      </c>
      <c r="D100" s="3086" t="s">
        <v>2697</v>
      </c>
      <c r="E100" s="3112">
        <v>0.1</v>
      </c>
      <c r="F100" s="3112">
        <v>15</v>
      </c>
    </row>
    <row r="101" spans="1:6" ht="13.5">
      <c r="A101" s="3112">
        <v>29</v>
      </c>
      <c r="B101" s="3841"/>
      <c r="C101" s="3086" t="s">
        <v>2698</v>
      </c>
      <c r="D101" s="3086" t="s">
        <v>2699</v>
      </c>
      <c r="E101" s="3112">
        <v>0.1</v>
      </c>
      <c r="F101" s="3112">
        <v>15</v>
      </c>
    </row>
    <row r="102" spans="1:6" ht="13.5">
      <c r="A102" s="3112">
        <v>30</v>
      </c>
      <c r="B102" s="3841"/>
      <c r="C102" s="3086" t="s">
        <v>2700</v>
      </c>
      <c r="D102" s="3086" t="s">
        <v>2701</v>
      </c>
      <c r="E102" s="3112">
        <v>0.1</v>
      </c>
      <c r="F102" s="3112">
        <v>15</v>
      </c>
    </row>
    <row r="103" spans="1:6" ht="24">
      <c r="A103" s="3112">
        <v>31</v>
      </c>
      <c r="B103" s="3841"/>
      <c r="C103" s="3086" t="s">
        <v>2702</v>
      </c>
      <c r="D103" s="3086" t="s">
        <v>2703</v>
      </c>
      <c r="E103" s="3112">
        <v>0.1</v>
      </c>
      <c r="F103" s="3112">
        <v>15</v>
      </c>
    </row>
    <row r="104" spans="1:6" ht="24">
      <c r="A104" s="3112">
        <v>32</v>
      </c>
      <c r="B104" s="3841"/>
      <c r="C104" s="3086" t="s">
        <v>2704</v>
      </c>
      <c r="D104" s="3086" t="s">
        <v>2705</v>
      </c>
      <c r="E104" s="3112">
        <v>0.1</v>
      </c>
      <c r="F104" s="3112">
        <v>15</v>
      </c>
    </row>
    <row r="105" spans="1:6" ht="24">
      <c r="A105" s="3112">
        <v>33</v>
      </c>
      <c r="B105" s="3841"/>
      <c r="C105" s="3086" t="s">
        <v>2706</v>
      </c>
      <c r="D105" s="3086" t="s">
        <v>2707</v>
      </c>
      <c r="E105" s="3112">
        <v>0.1</v>
      </c>
      <c r="F105" s="3112">
        <v>15</v>
      </c>
    </row>
    <row r="106" spans="1:6" ht="24">
      <c r="A106" s="3112">
        <v>34</v>
      </c>
      <c r="B106" s="3850"/>
      <c r="C106" s="3086" t="s">
        <v>2708</v>
      </c>
      <c r="D106" s="3086" t="s">
        <v>2709</v>
      </c>
      <c r="E106" s="3112">
        <v>0.1</v>
      </c>
      <c r="F106" s="3112">
        <v>15</v>
      </c>
    </row>
    <row r="107" spans="1:6" ht="24">
      <c r="A107" s="3112">
        <v>35</v>
      </c>
      <c r="B107" s="3846" t="s">
        <v>2710</v>
      </c>
      <c r="C107" s="3112" t="s">
        <v>2711</v>
      </c>
      <c r="D107" s="3086" t="s">
        <v>2712</v>
      </c>
      <c r="E107" s="3112">
        <v>0.15</v>
      </c>
      <c r="F107" s="3112">
        <v>20</v>
      </c>
    </row>
    <row r="108" spans="1:6" ht="13.5">
      <c r="A108" s="3112">
        <v>36</v>
      </c>
      <c r="B108" s="3841"/>
      <c r="C108" s="3112" t="s">
        <v>2713</v>
      </c>
      <c r="D108" s="3086" t="s">
        <v>2714</v>
      </c>
      <c r="E108" s="3112">
        <v>0.15</v>
      </c>
      <c r="F108" s="3112">
        <v>20</v>
      </c>
    </row>
    <row r="109" spans="1:6" ht="13.5">
      <c r="A109" s="3112">
        <v>37</v>
      </c>
      <c r="B109" s="3841"/>
      <c r="C109" s="3112" t="s">
        <v>2715</v>
      </c>
      <c r="D109" s="3086" t="s">
        <v>2716</v>
      </c>
      <c r="E109" s="3112">
        <v>0.15</v>
      </c>
      <c r="F109" s="3112">
        <v>20</v>
      </c>
    </row>
    <row r="110" spans="1:6" ht="13.5">
      <c r="A110" s="3112">
        <v>38</v>
      </c>
      <c r="B110" s="3841"/>
      <c r="C110" s="3112" t="s">
        <v>2717</v>
      </c>
      <c r="D110" s="3086" t="s">
        <v>2718</v>
      </c>
      <c r="E110" s="3112">
        <v>0.1</v>
      </c>
      <c r="F110" s="3112">
        <v>15</v>
      </c>
    </row>
    <row r="111" spans="1:6" ht="24">
      <c r="A111" s="3112">
        <v>39</v>
      </c>
      <c r="B111" s="3841"/>
      <c r="C111" s="3112" t="s">
        <v>2719</v>
      </c>
      <c r="D111" s="3086" t="s">
        <v>2720</v>
      </c>
      <c r="E111" s="3112">
        <v>0.1</v>
      </c>
      <c r="F111" s="3112">
        <v>15</v>
      </c>
    </row>
    <row r="112" spans="1:6" ht="24">
      <c r="A112" s="3112">
        <v>40</v>
      </c>
      <c r="B112" s="3850"/>
      <c r="C112" s="3112" t="s">
        <v>2721</v>
      </c>
      <c r="D112" s="3086" t="s">
        <v>2722</v>
      </c>
      <c r="E112" s="3112">
        <v>0.1</v>
      </c>
      <c r="F112" s="3112">
        <v>15</v>
      </c>
    </row>
    <row r="113" spans="1:6" ht="13.5">
      <c r="A113" s="3112">
        <v>41</v>
      </c>
      <c r="B113" s="3851" t="s">
        <v>2723</v>
      </c>
      <c r="C113" s="3112" t="s">
        <v>2724</v>
      </c>
      <c r="D113" s="3086" t="s">
        <v>2725</v>
      </c>
      <c r="E113" s="3112">
        <v>0.1</v>
      </c>
      <c r="F113" s="3112">
        <v>15</v>
      </c>
    </row>
    <row r="114" spans="1:6" ht="13.5">
      <c r="A114" s="3112">
        <v>42</v>
      </c>
      <c r="B114" s="3851"/>
      <c r="C114" s="3112" t="s">
        <v>2726</v>
      </c>
      <c r="D114" s="3086" t="s">
        <v>2727</v>
      </c>
      <c r="E114" s="3112">
        <v>0.1</v>
      </c>
      <c r="F114" s="3112">
        <v>15</v>
      </c>
    </row>
    <row r="115" spans="1:6" ht="24">
      <c r="A115" s="3112">
        <v>43</v>
      </c>
      <c r="B115" s="3851"/>
      <c r="C115" s="3112" t="s">
        <v>2728</v>
      </c>
      <c r="D115" s="3086" t="s">
        <v>2729</v>
      </c>
      <c r="E115" s="3112">
        <v>0.1</v>
      </c>
      <c r="F115" s="3112">
        <v>15</v>
      </c>
    </row>
    <row r="116" spans="1:6" ht="13.5">
      <c r="A116" s="3112">
        <v>44</v>
      </c>
      <c r="B116" s="3846" t="s">
        <v>2730</v>
      </c>
      <c r="C116" s="3112" t="s">
        <v>2731</v>
      </c>
      <c r="D116" s="3086" t="s">
        <v>2732</v>
      </c>
      <c r="E116" s="3112">
        <v>0.1</v>
      </c>
      <c r="F116" s="3112">
        <v>15</v>
      </c>
    </row>
    <row r="117" spans="1:6" ht="24">
      <c r="A117" s="3112">
        <v>45</v>
      </c>
      <c r="B117" s="3850"/>
      <c r="C117" s="3086" t="s">
        <v>2733</v>
      </c>
      <c r="D117" s="3086" t="s">
        <v>2734</v>
      </c>
      <c r="E117" s="3112">
        <v>0.1</v>
      </c>
      <c r="F117" s="3112">
        <v>15</v>
      </c>
    </row>
    <row r="118" spans="1:6" ht="24">
      <c r="A118" s="3112">
        <v>46</v>
      </c>
      <c r="B118" s="3846" t="s">
        <v>2735</v>
      </c>
      <c r="C118" s="3112" t="s">
        <v>2736</v>
      </c>
      <c r="D118" s="3086" t="s">
        <v>2737</v>
      </c>
      <c r="E118" s="3112">
        <v>0.1</v>
      </c>
      <c r="F118" s="3112">
        <v>15</v>
      </c>
    </row>
    <row r="119" spans="1:6" ht="24">
      <c r="A119" s="3112">
        <v>47</v>
      </c>
      <c r="B119" s="3850"/>
      <c r="C119" s="3112" t="s">
        <v>2738</v>
      </c>
      <c r="D119" s="3086" t="s">
        <v>2739</v>
      </c>
      <c r="E119" s="3112">
        <v>0.1</v>
      </c>
      <c r="F119" s="3112">
        <v>15</v>
      </c>
    </row>
    <row r="120" spans="1:6" ht="13.5">
      <c r="A120" s="3112">
        <v>48</v>
      </c>
      <c r="B120" s="3846" t="s">
        <v>2740</v>
      </c>
      <c r="C120" s="3112" t="s">
        <v>2741</v>
      </c>
      <c r="D120" s="3086" t="s">
        <v>2742</v>
      </c>
      <c r="E120" s="3112">
        <v>0.1</v>
      </c>
      <c r="F120" s="3112">
        <v>15</v>
      </c>
    </row>
    <row r="121" spans="1:6" ht="13.5">
      <c r="A121" s="3112">
        <v>49</v>
      </c>
      <c r="B121" s="3850"/>
      <c r="C121" s="3112" t="s">
        <v>2743</v>
      </c>
      <c r="D121" s="3086" t="s">
        <v>2744</v>
      </c>
      <c r="E121" s="3112">
        <v>0.1</v>
      </c>
      <c r="F121" s="3112">
        <v>15</v>
      </c>
    </row>
    <row r="122" spans="1:6" ht="24">
      <c r="A122" s="3112">
        <v>50</v>
      </c>
      <c r="B122" s="3851" t="s">
        <v>2745</v>
      </c>
      <c r="C122" s="3112" t="s">
        <v>2746</v>
      </c>
      <c r="D122" s="3086" t="s">
        <v>2747</v>
      </c>
      <c r="E122" s="3112">
        <v>0.1</v>
      </c>
      <c r="F122" s="3112">
        <v>15</v>
      </c>
    </row>
    <row r="123" spans="1:6" ht="24">
      <c r="A123" s="3112">
        <v>51</v>
      </c>
      <c r="B123" s="3851"/>
      <c r="C123" s="3112" t="s">
        <v>2748</v>
      </c>
      <c r="D123" s="3086" t="s">
        <v>2749</v>
      </c>
      <c r="E123" s="3112">
        <v>0.1</v>
      </c>
      <c r="F123" s="3112">
        <v>15</v>
      </c>
    </row>
    <row r="124" spans="1:6" ht="24">
      <c r="A124" s="3112">
        <v>52</v>
      </c>
      <c r="B124" s="3851" t="s">
        <v>2750</v>
      </c>
      <c r="C124" s="3112" t="s">
        <v>2751</v>
      </c>
      <c r="D124" s="3086" t="s">
        <v>2752</v>
      </c>
      <c r="E124" s="3112">
        <v>0.1</v>
      </c>
      <c r="F124" s="3112">
        <v>15</v>
      </c>
    </row>
    <row r="125" spans="1:6" ht="24">
      <c r="A125" s="3112">
        <v>53</v>
      </c>
      <c r="B125" s="3851"/>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851" t="s">
        <v>2758</v>
      </c>
      <c r="C127" s="3112" t="s">
        <v>2759</v>
      </c>
      <c r="D127" s="3086" t="s">
        <v>2760</v>
      </c>
      <c r="E127" s="3112">
        <v>0.1</v>
      </c>
      <c r="F127" s="3112">
        <v>15</v>
      </c>
    </row>
    <row r="128" spans="1:6" ht="13.5">
      <c r="A128" s="3112">
        <v>56</v>
      </c>
      <c r="B128" s="3851"/>
      <c r="C128" s="3112" t="s">
        <v>2761</v>
      </c>
      <c r="D128" s="3086" t="s">
        <v>2762</v>
      </c>
      <c r="E128" s="3112">
        <v>0.1</v>
      </c>
      <c r="F128" s="3112">
        <v>15</v>
      </c>
    </row>
    <row r="129" spans="1:6" ht="24">
      <c r="A129" s="3112">
        <v>57</v>
      </c>
      <c r="B129" s="3851"/>
      <c r="C129" s="3112" t="s">
        <v>2763</v>
      </c>
      <c r="D129" s="3086" t="s">
        <v>2764</v>
      </c>
      <c r="E129" s="3112">
        <v>0.1</v>
      </c>
      <c r="F129" s="3112">
        <v>15</v>
      </c>
    </row>
    <row r="130" spans="1:6" ht="24">
      <c r="A130" s="3112">
        <v>58</v>
      </c>
      <c r="B130" s="3851" t="s">
        <v>2765</v>
      </c>
      <c r="C130" s="3112" t="s">
        <v>2766</v>
      </c>
      <c r="D130" s="3086" t="s">
        <v>2767</v>
      </c>
      <c r="E130" s="3112">
        <v>0.1</v>
      </c>
      <c r="F130" s="3112">
        <v>15</v>
      </c>
    </row>
    <row r="131" spans="1:6" ht="13.5">
      <c r="A131" s="3112">
        <v>59</v>
      </c>
      <c r="B131" s="3851"/>
      <c r="C131" s="3112" t="s">
        <v>2768</v>
      </c>
      <c r="D131" s="3086" t="s">
        <v>2769</v>
      </c>
      <c r="E131" s="3112">
        <v>0.1</v>
      </c>
      <c r="F131" s="3112">
        <v>15</v>
      </c>
    </row>
    <row r="132" spans="1:6" ht="13.5">
      <c r="A132" s="3112">
        <v>60</v>
      </c>
      <c r="B132" s="3846" t="s">
        <v>2770</v>
      </c>
      <c r="C132" s="3112" t="s">
        <v>2771</v>
      </c>
      <c r="D132" s="3086" t="s">
        <v>2772</v>
      </c>
      <c r="E132" s="3112">
        <v>0.1</v>
      </c>
      <c r="F132" s="3112">
        <v>15</v>
      </c>
    </row>
    <row r="133" spans="1:6" ht="13.5">
      <c r="A133" s="3112">
        <v>61</v>
      </c>
      <c r="B133" s="3850"/>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851" t="s">
        <v>2778</v>
      </c>
      <c r="C135" s="3112" t="s">
        <v>2779</v>
      </c>
      <c r="D135" s="3086" t="s">
        <v>2780</v>
      </c>
      <c r="E135" s="3112">
        <v>0.1</v>
      </c>
      <c r="F135" s="3112">
        <v>15</v>
      </c>
    </row>
    <row r="136" spans="1:6" ht="13.5">
      <c r="A136" s="3112">
        <v>64</v>
      </c>
      <c r="B136" s="3851"/>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0.91269999999999996</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0.86819999999999997</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7"/>
      <c r="C2" s="3537"/>
      <c r="D2" s="3537"/>
      <c r="E2" s="3537"/>
    </row>
    <row r="3" spans="1:5" ht="18">
      <c r="A3" s="3538" t="str">
        <f>IF(项目基本情况!B9="房地产市场价值","估价结果一览表（市场价值不需“结果表-1”）","估价结果一览表")</f>
        <v>估价结果一览表</v>
      </c>
      <c r="B3" s="3538"/>
      <c r="C3" s="3538"/>
      <c r="D3" s="3538"/>
      <c r="E3" s="3538"/>
    </row>
    <row r="4" spans="1:5" ht="19.5" thickBot="1">
      <c r="A4" s="1493"/>
      <c r="B4" s="3536" t="s">
        <v>917</v>
      </c>
      <c r="C4" s="3536"/>
      <c r="D4" s="3536"/>
      <c r="E4" s="1493"/>
    </row>
    <row r="5" spans="1:5" ht="16.5" thickTop="1">
      <c r="A5" s="1491"/>
      <c r="B5" s="3534" t="s">
        <v>909</v>
      </c>
      <c r="C5" s="1494" t="s">
        <v>910</v>
      </c>
      <c r="D5" s="850">
        <f ca="1">结果表!H101</f>
        <v>183193</v>
      </c>
      <c r="E5" s="1491"/>
    </row>
    <row r="6" spans="1:5" ht="15.75">
      <c r="A6" s="1491"/>
      <c r="B6" s="3534"/>
      <c r="C6" s="1494" t="s">
        <v>911</v>
      </c>
      <c r="D6" s="850" t="str">
        <f ca="1">NUMBERSTRING(INT(D5*10000),2)&amp;"元整"</f>
        <v>壹拾捌亿叁仟壹佰玖拾叁万元整</v>
      </c>
      <c r="E6" s="1491"/>
    </row>
    <row r="7" spans="1:5" ht="15.75">
      <c r="A7" s="1491"/>
      <c r="B7" s="3539"/>
      <c r="C7" s="1495" t="s">
        <v>912</v>
      </c>
      <c r="D7" s="851">
        <f ca="1">结果表!H102</f>
        <v>40038</v>
      </c>
      <c r="E7" s="1491"/>
    </row>
    <row r="8" spans="1:5" ht="15.75">
      <c r="A8" s="1491"/>
      <c r="B8" s="3540" t="str">
        <f>结果表!E103</f>
        <v>2.估价师知悉的法定优先受偿款</v>
      </c>
      <c r="C8" s="1496" t="s">
        <v>913</v>
      </c>
      <c r="D8" s="851">
        <f>结果表!H103</f>
        <v>0</v>
      </c>
      <c r="E8" s="1491"/>
    </row>
    <row r="9" spans="1:5" ht="15.75">
      <c r="A9" s="1491"/>
      <c r="B9" s="354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3" t="str">
        <f>结果表!E107</f>
        <v>3.房地产抵押价值</v>
      </c>
      <c r="C13" s="1499" t="s">
        <v>910</v>
      </c>
      <c r="D13" s="853">
        <f ca="1">结果表!H107</f>
        <v>183193</v>
      </c>
      <c r="E13" s="1491"/>
    </row>
    <row r="14" spans="1:5" ht="15.75">
      <c r="A14" s="1491"/>
      <c r="B14" s="3534"/>
      <c r="C14" s="1494" t="s">
        <v>911</v>
      </c>
      <c r="D14" s="850" t="str">
        <f ca="1">NUMBERSTRING(INT(D13*10000),2)&amp;"元整"</f>
        <v>壹拾捌亿叁仟壹佰玖拾叁万元整</v>
      </c>
      <c r="E14" s="1491"/>
    </row>
    <row r="15" spans="1:5" ht="15">
      <c r="A15" s="1491"/>
      <c r="B15" s="3539"/>
      <c r="C15" s="1495" t="s">
        <v>921</v>
      </c>
      <c r="D15" s="859">
        <f ca="1">结果表!H108</f>
        <v>40038</v>
      </c>
      <c r="E15" s="1491"/>
    </row>
    <row r="16" spans="1:5" ht="15">
      <c r="A16" s="1491"/>
      <c r="B16" s="3540" t="str">
        <f>结果表!E109</f>
        <v>——</v>
      </c>
      <c r="C16" s="1499" t="s">
        <v>922</v>
      </c>
      <c r="D16" s="1500" t="str">
        <f>结果表!H109</f>
        <v>——</v>
      </c>
      <c r="E16" s="1491"/>
    </row>
    <row r="17" spans="1:5" ht="15.75">
      <c r="A17" s="1491"/>
      <c r="B17" s="3541"/>
      <c r="C17" s="1494" t="s">
        <v>923</v>
      </c>
      <c r="D17" s="850" t="e">
        <f>NUMBERSTRING(INT(D16*10000),2)&amp;"元整"</f>
        <v>#VALUE!</v>
      </c>
      <c r="E17" s="1491"/>
    </row>
    <row r="18" spans="1:5" ht="15">
      <c r="A18" s="1491"/>
      <c r="B18" s="3542"/>
      <c r="C18" s="1495" t="s">
        <v>912</v>
      </c>
      <c r="D18" s="859" t="str">
        <f>结果表!H110</f>
        <v>——</v>
      </c>
      <c r="E18" s="1491"/>
    </row>
    <row r="19" spans="1:5" ht="15.75">
      <c r="A19" s="1491"/>
      <c r="B19" s="3533" t="str">
        <f>结果表!E111</f>
        <v>——</v>
      </c>
      <c r="C19" s="1499" t="s">
        <v>910</v>
      </c>
      <c r="D19" s="851" t="str">
        <f>结果表!H111</f>
        <v>——</v>
      </c>
      <c r="E19" s="1491"/>
    </row>
    <row r="20" spans="1:5" ht="15.75">
      <c r="A20" s="1491"/>
      <c r="B20" s="3534"/>
      <c r="C20" s="1494" t="s">
        <v>923</v>
      </c>
      <c r="D20" s="850" t="e">
        <f>NUMBERSTRING(INT(D19*10000),2)&amp;"元整"</f>
        <v>#VALUE!</v>
      </c>
      <c r="E20" s="1491"/>
    </row>
    <row r="21" spans="1:5" ht="15.75" thickBot="1">
      <c r="A21" s="1491"/>
      <c r="B21" s="353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58869</v>
      </c>
      <c r="C2" s="2" t="s">
        <v>106</v>
      </c>
      <c r="D2" s="199"/>
      <c r="E2" s="199"/>
      <c r="F2" s="199"/>
      <c r="G2" s="199"/>
    </row>
    <row r="3" spans="1:7" s="200" customFormat="1" ht="18" customHeight="1" thickBot="1">
      <c r="A3" s="203" t="s">
        <v>58</v>
      </c>
      <c r="B3" s="204">
        <f ca="1">ROUND(B2*10000/'数据-汇总表'!E3,0)</f>
        <v>12866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915</v>
      </c>
      <c r="D10" s="845">
        <f>'数据-汇总表'!E6</f>
        <v>45755.040000000001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824</v>
      </c>
      <c r="D19" s="849">
        <f>'数据-汇总表'!E3</f>
        <v>45755.040000000001</v>
      </c>
      <c r="E19" s="211">
        <f>'数据-取费表'!B31</f>
        <v>180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22878</v>
      </c>
      <c r="D34" s="217"/>
      <c r="E34" s="220"/>
      <c r="F34" s="257">
        <f>IF('数据-取费表'!B24=0,1,'数据-取费表'!N16)</f>
        <v>1</v>
      </c>
      <c r="G34" s="219" t="s">
        <v>89</v>
      </c>
    </row>
    <row r="35" spans="1:7" ht="13.5" customHeight="1">
      <c r="A35" s="780" t="s">
        <v>351</v>
      </c>
      <c r="B35" s="215" t="s">
        <v>33</v>
      </c>
      <c r="C35" s="220">
        <f>ROUND(C34*F35,0)</f>
        <v>686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824</v>
      </c>
      <c r="D37" s="217">
        <f>'数据-汇总表'!E3</f>
        <v>45755.040000000001</v>
      </c>
      <c r="E37" s="249">
        <f>'数据-取费表'!B35</f>
        <v>180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1047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1026</v>
      </c>
      <c r="D42" s="238"/>
      <c r="E42" s="238"/>
      <c r="F42" s="239"/>
      <c r="G42" s="3762" t="s">
        <v>94</v>
      </c>
    </row>
    <row r="43" spans="1:7" ht="13.5" customHeight="1">
      <c r="A43" s="780" t="s">
        <v>347</v>
      </c>
      <c r="B43" s="215" t="s">
        <v>426</v>
      </c>
      <c r="C43" s="238">
        <f ca="1">ROUND(IF('数据-取费表'!B22&lt;=1,C39*F22*'数据-取费表'!B21/2,C39*(POWER((1+F22),'数据-取费表'!B21/2)-1)),0)</f>
        <v>21</v>
      </c>
      <c r="D43" s="238"/>
      <c r="E43" s="238"/>
      <c r="F43" s="239"/>
      <c r="G43" s="3763"/>
    </row>
    <row r="44" spans="1:7" ht="13.5" customHeight="1">
      <c r="A44" s="780" t="s">
        <v>348</v>
      </c>
      <c r="B44" s="215" t="s">
        <v>428</v>
      </c>
      <c r="C44" s="238">
        <f ca="1">ROUND(IF('数据-取费表'!B22&lt;=1,C40*F22*'数据-取费表'!B21/2,C40*(POWER((1+F22),'数据-取费表'!B21/2)-1)),4)</f>
        <v>8.0000000000000004E-4</v>
      </c>
      <c r="D44" s="238"/>
      <c r="E44" s="238"/>
      <c r="F44" s="239"/>
      <c r="G44" s="3764"/>
    </row>
    <row r="45" spans="1:7" s="214" customFormat="1" ht="13.5" customHeight="1">
      <c r="A45" s="777" t="s">
        <v>341</v>
      </c>
      <c r="B45" s="244" t="s">
        <v>85</v>
      </c>
      <c r="C45" s="245">
        <f>C46</f>
        <v>3784</v>
      </c>
      <c r="D45" s="235">
        <f>C47</f>
        <v>3.0000000000000001E-3</v>
      </c>
      <c r="E45" s="236" t="s">
        <v>102</v>
      </c>
      <c r="F45" s="246"/>
      <c r="G45" s="247" t="s">
        <v>434</v>
      </c>
    </row>
    <row r="46" spans="1:7" s="214" customFormat="1" ht="13.5" customHeight="1">
      <c r="A46" s="780" t="s">
        <v>349</v>
      </c>
      <c r="B46" s="248" t="s">
        <v>427</v>
      </c>
      <c r="C46" s="249">
        <f>ROUND((C33+C39)*F27,0)</f>
        <v>3784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32569</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29638</v>
      </c>
      <c r="D51" s="232"/>
      <c r="E51" s="232"/>
      <c r="F51" s="264"/>
      <c r="G51" s="234" t="s">
        <v>37</v>
      </c>
    </row>
    <row r="52" spans="1:7" s="208" customFormat="1" ht="16.5" thickBot="1">
      <c r="A52" s="265" t="s">
        <v>38</v>
      </c>
      <c r="B52" s="266"/>
      <c r="C52" s="267">
        <f ca="1">C31+C51</f>
        <v>58869</v>
      </c>
      <c r="D52" s="266"/>
      <c r="E52" s="266"/>
      <c r="F52" s="266"/>
      <c r="G52" s="268"/>
    </row>
    <row r="55" spans="1:7" ht="15">
      <c r="B55" s="270" t="s">
        <v>39</v>
      </c>
      <c r="C55" s="271"/>
    </row>
    <row r="56" spans="1:7">
      <c r="B56" s="273" t="s">
        <v>40</v>
      </c>
      <c r="C56" s="274">
        <f ca="1">ROUND(C51/C52,3)</f>
        <v>0.503</v>
      </c>
    </row>
    <row r="57" spans="1:7">
      <c r="B57" s="273" t="s">
        <v>41</v>
      </c>
      <c r="C57" s="275">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54" t="s">
        <v>2830</v>
      </c>
      <c r="B1" s="3854"/>
      <c r="C1" s="3854"/>
      <c r="D1" s="3854"/>
      <c r="E1" s="3854"/>
      <c r="F1" s="3854"/>
      <c r="G1" s="3855"/>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52"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53"/>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56" t="s">
        <v>3172</v>
      </c>
      <c r="B1" s="3856"/>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7" t="s">
        <v>3223</v>
      </c>
      <c r="B1" s="3857"/>
      <c r="C1" s="3857"/>
      <c r="D1" s="3857"/>
      <c r="E1" s="3857"/>
      <c r="F1" s="3858"/>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59" t="s">
        <v>456</v>
      </c>
      <c r="S1" s="3860"/>
      <c r="T1" s="3860"/>
      <c r="U1" s="3860"/>
      <c r="V1" s="3860"/>
      <c r="W1" s="3860"/>
      <c r="X1" s="3159"/>
      <c r="Y1" s="3859" t="s">
        <v>457</v>
      </c>
      <c r="Z1" s="3860"/>
      <c r="AA1" s="3860"/>
      <c r="AB1" s="3860"/>
      <c r="AC1" s="3860"/>
      <c r="AD1" s="3860"/>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59" t="s">
        <v>2817</v>
      </c>
      <c r="S21" s="3860"/>
      <c r="T21" s="3860"/>
      <c r="U21" s="3860"/>
      <c r="V21" s="3860"/>
      <c r="W21" s="3860"/>
      <c r="X21" s="3159"/>
      <c r="Y21" s="3859" t="s">
        <v>2818</v>
      </c>
      <c r="Z21" s="3860"/>
      <c r="AA21" s="3860"/>
      <c r="AB21" s="3860"/>
      <c r="AC21" s="3860"/>
      <c r="AD21" s="3860"/>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6" t="s">
        <v>452</v>
      </c>
      <c r="C1" s="3866"/>
      <c r="D1" s="3866"/>
      <c r="E1" s="3866"/>
      <c r="F1" s="3866"/>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6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B39" sqref="B39"/>
    </sheetView>
  </sheetViews>
  <sheetFormatPr defaultRowHeight="13.5"/>
  <cols>
    <col min="1" max="6" width="9" style="3496"/>
    <col min="7" max="7" width="18.625" style="3496" customWidth="1"/>
    <col min="8" max="15" width="9" style="3496"/>
    <col min="16" max="16" width="15.5" style="3496" customWidth="1"/>
    <col min="17" max="17" width="9.25" style="3496" customWidth="1"/>
    <col min="18" max="16384" width="9" style="3496"/>
  </cols>
  <sheetData>
    <row r="1" spans="1:23" s="3486" customFormat="1">
      <c r="A1" s="3485" t="s">
        <v>3382</v>
      </c>
      <c r="B1" s="3485" t="s">
        <v>3387</v>
      </c>
      <c r="C1" s="3485" t="s">
        <v>3459</v>
      </c>
      <c r="D1" s="3485" t="s">
        <v>3460</v>
      </c>
      <c r="E1" s="3485" t="s">
        <v>3461</v>
      </c>
      <c r="F1" s="3485" t="s">
        <v>3462</v>
      </c>
      <c r="G1" s="3485" t="s">
        <v>672</v>
      </c>
      <c r="H1" s="3485" t="s">
        <v>3463</v>
      </c>
      <c r="I1" s="3485" t="s">
        <v>3464</v>
      </c>
      <c r="J1" s="3485" t="s">
        <v>3465</v>
      </c>
      <c r="K1" s="3485" t="s">
        <v>3466</v>
      </c>
      <c r="L1" s="3485" t="s">
        <v>3467</v>
      </c>
      <c r="M1" s="3485" t="s">
        <v>3468</v>
      </c>
      <c r="N1" s="3485" t="s">
        <v>3469</v>
      </c>
      <c r="O1" s="3485" t="s">
        <v>3470</v>
      </c>
      <c r="P1" s="3485" t="s">
        <v>3471</v>
      </c>
      <c r="Q1" s="3485" t="s">
        <v>3472</v>
      </c>
      <c r="R1" s="3485" t="s">
        <v>3473</v>
      </c>
      <c r="S1" s="3485" t="s">
        <v>3474</v>
      </c>
      <c r="T1" s="3485" t="s">
        <v>3475</v>
      </c>
      <c r="U1" s="3485" t="s">
        <v>3476</v>
      </c>
      <c r="V1" s="3485" t="s">
        <v>3477</v>
      </c>
      <c r="W1" s="3485" t="s">
        <v>3478</v>
      </c>
    </row>
    <row r="2" spans="1:23" s="3486" customFormat="1">
      <c r="A2" s="3487">
        <v>8</v>
      </c>
      <c r="B2" s="3487" t="s">
        <v>3479</v>
      </c>
      <c r="C2" s="3487" t="s">
        <v>3480</v>
      </c>
      <c r="D2" s="3487" t="s">
        <v>3481</v>
      </c>
      <c r="E2" s="3487" t="s">
        <v>3482</v>
      </c>
      <c r="F2" s="3487" t="s">
        <v>3483</v>
      </c>
      <c r="G2" s="3487" t="s">
        <v>3484</v>
      </c>
      <c r="H2" s="3487"/>
      <c r="I2" s="3487">
        <v>25834.13</v>
      </c>
      <c r="J2" s="3487">
        <v>25834.13</v>
      </c>
      <c r="K2" s="3487"/>
      <c r="L2" s="3487">
        <v>78491</v>
      </c>
      <c r="M2" s="3487">
        <v>30383</v>
      </c>
      <c r="N2" s="3487">
        <v>30383</v>
      </c>
      <c r="O2" s="3487" t="s">
        <v>3485</v>
      </c>
      <c r="P2" s="3488">
        <v>44257</v>
      </c>
      <c r="Q2" s="3487" t="s">
        <v>3486</v>
      </c>
      <c r="R2" s="3487" t="s">
        <v>3487</v>
      </c>
      <c r="S2" s="3487"/>
      <c r="T2" s="3487"/>
      <c r="U2" s="3487"/>
      <c r="V2" s="3489"/>
      <c r="W2" s="3487"/>
    </row>
    <row r="3" spans="1:23" s="3486" customFormat="1">
      <c r="A3" s="3490">
        <v>9</v>
      </c>
      <c r="B3" s="3490" t="s">
        <v>3488</v>
      </c>
      <c r="C3" s="3490" t="s">
        <v>3480</v>
      </c>
      <c r="D3" s="3490" t="s">
        <v>3481</v>
      </c>
      <c r="E3" s="3490" t="s">
        <v>3482</v>
      </c>
      <c r="F3" s="3490" t="s">
        <v>3483</v>
      </c>
      <c r="G3" s="3490" t="s">
        <v>3484</v>
      </c>
      <c r="H3" s="3490"/>
      <c r="I3" s="3490">
        <v>12857.96</v>
      </c>
      <c r="J3" s="3490">
        <v>12857.96</v>
      </c>
      <c r="K3" s="3490"/>
      <c r="L3" s="3490">
        <v>39210</v>
      </c>
      <c r="M3" s="3490">
        <v>30495</v>
      </c>
      <c r="N3" s="3490">
        <v>30495</v>
      </c>
      <c r="O3" s="3490" t="s">
        <v>3485</v>
      </c>
      <c r="P3" s="3491">
        <v>44257</v>
      </c>
      <c r="Q3" s="3490" t="s">
        <v>3486</v>
      </c>
      <c r="R3" s="3490" t="s">
        <v>3487</v>
      </c>
      <c r="S3" s="3490"/>
      <c r="T3" s="3490"/>
      <c r="U3" s="3490"/>
      <c r="V3" s="3492"/>
      <c r="W3" s="3490"/>
    </row>
    <row r="4" spans="1:23" s="3486" customFormat="1">
      <c r="A4" s="3487">
        <v>10</v>
      </c>
      <c r="B4" s="3487" t="s">
        <v>3489</v>
      </c>
      <c r="C4" s="3487" t="s">
        <v>3480</v>
      </c>
      <c r="D4" s="3487" t="s">
        <v>3481</v>
      </c>
      <c r="E4" s="3487" t="s">
        <v>3482</v>
      </c>
      <c r="F4" s="3487" t="s">
        <v>3483</v>
      </c>
      <c r="G4" s="3487" t="s">
        <v>3484</v>
      </c>
      <c r="H4" s="3487"/>
      <c r="I4" s="3487">
        <v>12955.85</v>
      </c>
      <c r="J4" s="3487">
        <v>12955.85</v>
      </c>
      <c r="K4" s="3487"/>
      <c r="L4" s="3487">
        <v>38868</v>
      </c>
      <c r="M4" s="3487">
        <v>30000</v>
      </c>
      <c r="N4" s="3487">
        <v>30000</v>
      </c>
      <c r="O4" s="3487" t="s">
        <v>3485</v>
      </c>
      <c r="P4" s="3488">
        <v>44161</v>
      </c>
      <c r="Q4" s="3487" t="s">
        <v>3486</v>
      </c>
      <c r="R4" s="3487" t="s">
        <v>3487</v>
      </c>
      <c r="S4" s="3487"/>
      <c r="T4" s="3487"/>
      <c r="U4" s="3487"/>
      <c r="V4" s="3489"/>
      <c r="W4" s="3487"/>
    </row>
    <row r="5" spans="1:23" s="3495" customFormat="1">
      <c r="A5" s="3493">
        <v>15</v>
      </c>
      <c r="B5" s="3493" t="s">
        <v>3490</v>
      </c>
      <c r="C5" s="3493" t="s">
        <v>3491</v>
      </c>
      <c r="D5" s="3493" t="s">
        <v>3481</v>
      </c>
      <c r="E5" s="3493" t="s">
        <v>3482</v>
      </c>
      <c r="F5" s="3493" t="s">
        <v>3483</v>
      </c>
      <c r="G5" s="3513" t="s">
        <v>3492</v>
      </c>
      <c r="H5" s="3493"/>
      <c r="I5" s="3493">
        <v>66987.539999999994</v>
      </c>
      <c r="J5" s="3493">
        <v>66987.539999999994</v>
      </c>
      <c r="K5" s="3493"/>
      <c r="L5" s="3493">
        <v>267950</v>
      </c>
      <c r="M5" s="3493">
        <v>40000</v>
      </c>
      <c r="N5" s="3513">
        <v>40000</v>
      </c>
      <c r="O5" s="3493" t="s">
        <v>43</v>
      </c>
      <c r="P5" s="3515">
        <v>44161</v>
      </c>
      <c r="Q5" s="3493" t="s">
        <v>3493</v>
      </c>
      <c r="R5" s="3493" t="s">
        <v>3494</v>
      </c>
      <c r="S5" s="3493"/>
      <c r="T5" s="3493"/>
      <c r="U5" s="3493"/>
      <c r="V5" s="3494"/>
      <c r="W5" s="3493"/>
    </row>
    <row r="6" spans="1:23" s="3486" customFormat="1">
      <c r="A6" s="3490">
        <v>17</v>
      </c>
      <c r="B6" s="3490" t="s">
        <v>3495</v>
      </c>
      <c r="C6" s="3490" t="s">
        <v>3480</v>
      </c>
      <c r="D6" s="3490" t="s">
        <v>3481</v>
      </c>
      <c r="E6" s="3490" t="s">
        <v>3482</v>
      </c>
      <c r="F6" s="3490" t="s">
        <v>3483</v>
      </c>
      <c r="G6" s="3514" t="s">
        <v>3484</v>
      </c>
      <c r="H6" s="3490"/>
      <c r="I6" s="3490">
        <v>30280.83</v>
      </c>
      <c r="J6" s="3490">
        <v>30280.83</v>
      </c>
      <c r="K6" s="3490"/>
      <c r="L6" s="3490">
        <v>91206</v>
      </c>
      <c r="M6" s="3490">
        <v>30120</v>
      </c>
      <c r="N6" s="3514">
        <v>30120</v>
      </c>
      <c r="O6" s="3490" t="s">
        <v>3485</v>
      </c>
      <c r="P6" s="3516">
        <v>44267</v>
      </c>
      <c r="Q6" s="3490" t="s">
        <v>3486</v>
      </c>
      <c r="R6" s="3490" t="s">
        <v>3487</v>
      </c>
      <c r="S6" s="3490"/>
      <c r="T6" s="3490"/>
      <c r="U6" s="3490"/>
      <c r="V6" s="3492"/>
      <c r="W6" s="3490"/>
    </row>
    <row r="7" spans="1:23" s="3528" customFormat="1">
      <c r="A7" s="3525">
        <v>24</v>
      </c>
      <c r="B7" s="3525" t="s">
        <v>3538</v>
      </c>
      <c r="C7" s="3525" t="s">
        <v>3496</v>
      </c>
      <c r="D7" s="3525" t="s">
        <v>3481</v>
      </c>
      <c r="E7" s="3525" t="s">
        <v>3497</v>
      </c>
      <c r="F7" s="3525" t="s">
        <v>3498</v>
      </c>
      <c r="G7" s="3525" t="s">
        <v>3499</v>
      </c>
      <c r="H7" s="3525">
        <v>4154.62</v>
      </c>
      <c r="I7" s="3525">
        <v>2784.8</v>
      </c>
      <c r="J7" s="3525">
        <v>2784.8</v>
      </c>
      <c r="K7" s="3525"/>
      <c r="L7" s="3525">
        <v>10175</v>
      </c>
      <c r="M7" s="3525">
        <v>36538</v>
      </c>
      <c r="N7" s="3525">
        <f>M7</f>
        <v>36538</v>
      </c>
      <c r="O7" s="3525" t="s">
        <v>3500</v>
      </c>
      <c r="P7" s="3526">
        <v>44302</v>
      </c>
      <c r="Q7" s="3525" t="s">
        <v>3501</v>
      </c>
      <c r="R7" s="3525" t="s">
        <v>3502</v>
      </c>
      <c r="S7" s="3525">
        <v>8664</v>
      </c>
      <c r="T7" s="3525">
        <v>31110</v>
      </c>
      <c r="U7" s="3525"/>
      <c r="V7" s="3527">
        <v>1.17</v>
      </c>
      <c r="W7" s="3525" t="s">
        <v>3503</v>
      </c>
    </row>
    <row r="8" spans="1:23" s="3528" customFormat="1">
      <c r="A8" s="3525">
        <v>51</v>
      </c>
      <c r="B8" s="3525" t="s">
        <v>3539</v>
      </c>
      <c r="C8" s="3525" t="s">
        <v>3504</v>
      </c>
      <c r="D8" s="3525" t="s">
        <v>3505</v>
      </c>
      <c r="E8" s="3525" t="s">
        <v>3506</v>
      </c>
      <c r="F8" s="3525" t="s">
        <v>3507</v>
      </c>
      <c r="G8" s="3525" t="s">
        <v>3508</v>
      </c>
      <c r="H8" s="3525">
        <v>327.82</v>
      </c>
      <c r="I8" s="3525">
        <v>1702.62</v>
      </c>
      <c r="J8" s="3525">
        <v>1702.62</v>
      </c>
      <c r="K8" s="3525"/>
      <c r="L8" s="3525">
        <v>6441.5559999999996</v>
      </c>
      <c r="M8" s="3525">
        <v>37833</v>
      </c>
      <c r="N8" s="3525">
        <v>37833</v>
      </c>
      <c r="O8" s="3525" t="s">
        <v>3509</v>
      </c>
      <c r="P8" s="3526">
        <v>44502</v>
      </c>
      <c r="Q8" s="3525" t="s">
        <v>3510</v>
      </c>
      <c r="R8" s="3525" t="s">
        <v>3511</v>
      </c>
      <c r="S8" s="3525">
        <v>10056.35</v>
      </c>
      <c r="T8" s="3525">
        <v>59064</v>
      </c>
      <c r="U8" s="3525"/>
      <c r="V8" s="3527">
        <v>0.64</v>
      </c>
      <c r="W8" s="3525" t="s">
        <v>3503</v>
      </c>
    </row>
    <row r="9" spans="1:23" s="3486" customFormat="1">
      <c r="A9" s="3490">
        <v>55</v>
      </c>
      <c r="B9" s="3490" t="s">
        <v>3512</v>
      </c>
      <c r="C9" s="3490" t="s">
        <v>3513</v>
      </c>
      <c r="D9" s="3490" t="s">
        <v>3481</v>
      </c>
      <c r="E9" s="3490" t="s">
        <v>3514</v>
      </c>
      <c r="F9" s="3490" t="s">
        <v>3515</v>
      </c>
      <c r="G9" s="3490" t="s">
        <v>673</v>
      </c>
      <c r="H9" s="3490"/>
      <c r="I9" s="3490">
        <v>377.72</v>
      </c>
      <c r="J9" s="3490">
        <v>377.72</v>
      </c>
      <c r="K9" s="3490"/>
      <c r="L9" s="3490">
        <v>1856.491</v>
      </c>
      <c r="M9" s="3490">
        <v>49150</v>
      </c>
      <c r="N9" s="3490">
        <v>49150</v>
      </c>
      <c r="O9" s="3490" t="s">
        <v>3516</v>
      </c>
      <c r="P9" s="3491">
        <v>44493</v>
      </c>
      <c r="Q9" s="3490" t="s">
        <v>3517</v>
      </c>
      <c r="R9" s="3490" t="s">
        <v>3518</v>
      </c>
      <c r="S9" s="3490">
        <v>1872.13</v>
      </c>
      <c r="T9" s="3490">
        <v>49564</v>
      </c>
      <c r="U9" s="3490"/>
      <c r="V9" s="3492">
        <v>0.99</v>
      </c>
      <c r="W9" s="3490" t="s">
        <v>3503</v>
      </c>
    </row>
    <row r="10" spans="1:23" s="3486" customFormat="1">
      <c r="A10" s="3490">
        <v>57</v>
      </c>
      <c r="B10" s="3490" t="s">
        <v>3519</v>
      </c>
      <c r="C10" s="3490" t="s">
        <v>3520</v>
      </c>
      <c r="D10" s="3490" t="s">
        <v>3481</v>
      </c>
      <c r="E10" s="3490" t="s">
        <v>3514</v>
      </c>
      <c r="F10" s="3490" t="s">
        <v>3521</v>
      </c>
      <c r="G10" s="3490" t="s">
        <v>673</v>
      </c>
      <c r="H10" s="3490">
        <v>428.89</v>
      </c>
      <c r="I10" s="3490">
        <v>1798.66</v>
      </c>
      <c r="J10" s="3490">
        <v>1371.1</v>
      </c>
      <c r="K10" s="3490">
        <v>427.56</v>
      </c>
      <c r="L10" s="3490">
        <v>6671.2269999999999</v>
      </c>
      <c r="M10" s="3490">
        <v>37090</v>
      </c>
      <c r="N10" s="3490">
        <v>48656</v>
      </c>
      <c r="O10" s="3490" t="s">
        <v>3522</v>
      </c>
      <c r="P10" s="3491">
        <v>43709</v>
      </c>
      <c r="Q10" s="3490" t="s">
        <v>3523</v>
      </c>
      <c r="R10" s="3490" t="s">
        <v>3524</v>
      </c>
      <c r="S10" s="3490">
        <v>9530</v>
      </c>
      <c r="T10" s="3490">
        <v>69509</v>
      </c>
      <c r="U10" s="3490"/>
      <c r="V10" s="3492">
        <v>0.7</v>
      </c>
      <c r="W10" s="3490" t="s">
        <v>3503</v>
      </c>
    </row>
    <row r="11" spans="1:23" s="3486" customFormat="1">
      <c r="A11" s="3490">
        <v>78</v>
      </c>
      <c r="B11" s="3490" t="s">
        <v>3525</v>
      </c>
      <c r="C11" s="3490" t="s">
        <v>3526</v>
      </c>
      <c r="D11" s="3490" t="s">
        <v>3481</v>
      </c>
      <c r="E11" s="3490" t="s">
        <v>3497</v>
      </c>
      <c r="F11" s="3490" t="s">
        <v>3527</v>
      </c>
      <c r="G11" s="3490" t="s">
        <v>3528</v>
      </c>
      <c r="H11" s="3490">
        <v>10142.94</v>
      </c>
      <c r="I11" s="3490">
        <v>39145.39</v>
      </c>
      <c r="J11" s="3490">
        <v>33000</v>
      </c>
      <c r="K11" s="3490"/>
      <c r="L11" s="3490">
        <v>250000</v>
      </c>
      <c r="M11" s="3490">
        <v>63864</v>
      </c>
      <c r="N11" s="3490">
        <v>75758</v>
      </c>
      <c r="O11" s="3490" t="s">
        <v>3529</v>
      </c>
      <c r="P11" s="3491" t="s">
        <v>3530</v>
      </c>
      <c r="Q11" s="3490" t="s">
        <v>3531</v>
      </c>
      <c r="R11" s="3490" t="s">
        <v>3532</v>
      </c>
      <c r="S11" s="3490"/>
      <c r="T11" s="3490"/>
      <c r="U11" s="3490" t="s">
        <v>3533</v>
      </c>
      <c r="V11" s="3492"/>
      <c r="W11" s="3490"/>
    </row>
    <row r="12" spans="1:23" s="3486" customFormat="1">
      <c r="A12" s="3490">
        <v>100</v>
      </c>
      <c r="B12" s="3490" t="s">
        <v>3534</v>
      </c>
      <c r="C12" s="3490" t="s">
        <v>3535</v>
      </c>
      <c r="D12" s="3490" t="s">
        <v>3481</v>
      </c>
      <c r="E12" s="3490" t="s">
        <v>3497</v>
      </c>
      <c r="F12" s="3490" t="s">
        <v>3536</v>
      </c>
      <c r="G12" s="3490" t="s">
        <v>21</v>
      </c>
      <c r="H12" s="3490">
        <v>2699.92</v>
      </c>
      <c r="I12" s="3490">
        <v>11428.07</v>
      </c>
      <c r="J12" s="3490">
        <v>6959.3</v>
      </c>
      <c r="K12" s="3490">
        <v>4468.7700000000004</v>
      </c>
      <c r="L12" s="3490">
        <v>36600</v>
      </c>
      <c r="M12" s="3490">
        <v>32026</v>
      </c>
      <c r="N12" s="3490">
        <v>52591</v>
      </c>
      <c r="O12" s="3490" t="s">
        <v>43</v>
      </c>
      <c r="P12" s="3491">
        <v>44256</v>
      </c>
      <c r="Q12" s="3490" t="s">
        <v>3537</v>
      </c>
      <c r="R12" s="3490"/>
      <c r="S12" s="3490"/>
      <c r="T12" s="3490">
        <v>0</v>
      </c>
      <c r="U12" s="3490"/>
      <c r="V12" s="3492" t="e">
        <v>#DIV/0!</v>
      </c>
      <c r="W12" s="3490"/>
    </row>
    <row r="17" spans="18:18">
      <c r="R17" s="3496">
        <f>2023-1993</f>
        <v>30</v>
      </c>
    </row>
    <row r="18" spans="18:18">
      <c r="R18" s="3496">
        <f>2023-2003</f>
        <v>20</v>
      </c>
    </row>
    <row r="33" spans="1:23">
      <c r="A33" s="3496" t="s">
        <v>3382</v>
      </c>
      <c r="B33" s="3496" t="s">
        <v>3387</v>
      </c>
      <c r="C33" s="3496" t="s">
        <v>3459</v>
      </c>
      <c r="D33" s="3496" t="s">
        <v>3460</v>
      </c>
      <c r="E33" s="3496" t="s">
        <v>3461</v>
      </c>
      <c r="F33" s="3496" t="s">
        <v>3462</v>
      </c>
      <c r="G33" s="3496" t="s">
        <v>672</v>
      </c>
      <c r="H33" s="3496" t="s">
        <v>3463</v>
      </c>
      <c r="I33" s="3496" t="s">
        <v>3464</v>
      </c>
      <c r="J33" s="3496" t="s">
        <v>3465</v>
      </c>
      <c r="K33" s="3496" t="s">
        <v>3466</v>
      </c>
      <c r="L33" s="3496" t="s">
        <v>3467</v>
      </c>
      <c r="M33" s="3496" t="s">
        <v>3468</v>
      </c>
      <c r="N33" s="3496" t="s">
        <v>3469</v>
      </c>
      <c r="O33" s="3496" t="s">
        <v>3470</v>
      </c>
      <c r="P33" s="3496" t="s">
        <v>3471</v>
      </c>
      <c r="Q33" s="3496" t="s">
        <v>3472</v>
      </c>
      <c r="R33" s="3496" t="s">
        <v>3473</v>
      </c>
      <c r="S33" s="3496" t="s">
        <v>3474</v>
      </c>
      <c r="T33" s="3496" t="s">
        <v>3475</v>
      </c>
      <c r="U33" s="3496" t="s">
        <v>3476</v>
      </c>
      <c r="V33" s="3496" t="s">
        <v>3477</v>
      </c>
      <c r="W33" s="3496" t="s">
        <v>3478</v>
      </c>
    </row>
    <row r="34" spans="1:23">
      <c r="A34" s="3496">
        <v>8</v>
      </c>
      <c r="B34" s="3496" t="s">
        <v>3479</v>
      </c>
      <c r="C34" s="3496" t="s">
        <v>3480</v>
      </c>
      <c r="D34" s="3496" t="s">
        <v>3481</v>
      </c>
      <c r="E34" s="3496" t="s">
        <v>3482</v>
      </c>
      <c r="F34" s="3496" t="s">
        <v>3483</v>
      </c>
      <c r="G34" s="3496" t="s">
        <v>3484</v>
      </c>
      <c r="I34" s="3496">
        <v>25834.13</v>
      </c>
      <c r="J34" s="3496">
        <v>25834.13</v>
      </c>
      <c r="L34" s="3496">
        <v>78491</v>
      </c>
      <c r="M34" s="3496">
        <v>30383</v>
      </c>
      <c r="N34" s="3496">
        <v>30383</v>
      </c>
      <c r="O34" s="3496" t="s">
        <v>3485</v>
      </c>
      <c r="P34" s="3496">
        <v>44257</v>
      </c>
      <c r="Q34" s="3496" t="s">
        <v>3486</v>
      </c>
      <c r="R34" s="3496" t="s">
        <v>3487</v>
      </c>
    </row>
    <row r="35" spans="1:23">
      <c r="A35" s="3496">
        <v>9</v>
      </c>
      <c r="B35" s="3496" t="s">
        <v>3488</v>
      </c>
      <c r="C35" s="3496" t="s">
        <v>3480</v>
      </c>
      <c r="D35" s="3496" t="s">
        <v>3481</v>
      </c>
      <c r="E35" s="3496" t="s">
        <v>3482</v>
      </c>
      <c r="F35" s="3496" t="s">
        <v>3483</v>
      </c>
      <c r="G35" s="3496" t="s">
        <v>3484</v>
      </c>
      <c r="I35" s="3496">
        <v>12857.96</v>
      </c>
      <c r="J35" s="3496">
        <v>12857.96</v>
      </c>
      <c r="L35" s="3496">
        <v>39210</v>
      </c>
      <c r="M35" s="3496">
        <v>30495</v>
      </c>
      <c r="N35" s="3496">
        <v>30495</v>
      </c>
      <c r="O35" s="3496" t="s">
        <v>3485</v>
      </c>
      <c r="P35" s="3496">
        <v>44257</v>
      </c>
      <c r="Q35" s="3496" t="s">
        <v>3486</v>
      </c>
      <c r="R35" s="3496" t="s">
        <v>3487</v>
      </c>
    </row>
    <row r="36" spans="1:23">
      <c r="A36" s="3496">
        <v>10</v>
      </c>
      <c r="B36" s="3496" t="s">
        <v>3489</v>
      </c>
      <c r="C36" s="3496" t="s">
        <v>3480</v>
      </c>
      <c r="D36" s="3496" t="s">
        <v>3481</v>
      </c>
      <c r="E36" s="3496" t="s">
        <v>3482</v>
      </c>
      <c r="F36" s="3496" t="s">
        <v>3483</v>
      </c>
      <c r="G36" s="3496" t="s">
        <v>3484</v>
      </c>
      <c r="I36" s="3496">
        <v>12955.85</v>
      </c>
      <c r="J36" s="3496">
        <v>12955.85</v>
      </c>
      <c r="L36" s="3496">
        <v>38868</v>
      </c>
      <c r="M36" s="3496">
        <v>30000</v>
      </c>
      <c r="N36" s="3496">
        <v>30000</v>
      </c>
      <c r="O36" s="3496" t="s">
        <v>3485</v>
      </c>
      <c r="P36" s="3496">
        <v>44161</v>
      </c>
      <c r="Q36" s="3496" t="s">
        <v>3486</v>
      </c>
      <c r="R36" s="3496" t="s">
        <v>3487</v>
      </c>
    </row>
    <row r="37" spans="1:23">
      <c r="A37" s="3496">
        <v>15</v>
      </c>
      <c r="B37" s="3496" t="s">
        <v>3490</v>
      </c>
      <c r="C37" s="3496" t="s">
        <v>3491</v>
      </c>
      <c r="D37" s="3496" t="s">
        <v>3481</v>
      </c>
      <c r="E37" s="3496" t="s">
        <v>3482</v>
      </c>
      <c r="F37" s="3496" t="s">
        <v>3483</v>
      </c>
      <c r="G37" s="3496" t="s">
        <v>3492</v>
      </c>
      <c r="I37" s="3496">
        <v>66987.539999999994</v>
      </c>
      <c r="J37" s="3496">
        <v>66987.539999999994</v>
      </c>
      <c r="L37" s="3496">
        <v>267950</v>
      </c>
      <c r="M37" s="3496">
        <v>40000</v>
      </c>
      <c r="N37" s="3496">
        <v>40000</v>
      </c>
      <c r="O37" s="3496" t="s">
        <v>43</v>
      </c>
      <c r="P37" s="3496">
        <v>44161</v>
      </c>
      <c r="Q37" s="3496" t="s">
        <v>3493</v>
      </c>
      <c r="R37" s="3496" t="s">
        <v>3494</v>
      </c>
    </row>
    <row r="38" spans="1:23" s="3524" customFormat="1">
      <c r="A38" s="3524">
        <v>67</v>
      </c>
      <c r="B38" s="3524" t="s">
        <v>3587</v>
      </c>
      <c r="C38" s="3524" t="s">
        <v>3588</v>
      </c>
      <c r="D38" s="3524" t="s">
        <v>3505</v>
      </c>
      <c r="E38" s="3524" t="s">
        <v>3589</v>
      </c>
      <c r="F38" s="3524" t="s">
        <v>3590</v>
      </c>
      <c r="G38" s="3524" t="s">
        <v>3591</v>
      </c>
      <c r="I38" s="3524">
        <v>11235.4</v>
      </c>
      <c r="J38" s="3524">
        <v>11235.4</v>
      </c>
      <c r="L38" s="3524">
        <v>42694.52</v>
      </c>
      <c r="M38" s="3524">
        <v>38000</v>
      </c>
      <c r="N38" s="3529">
        <v>38000</v>
      </c>
      <c r="O38" s="3524" t="s">
        <v>3592</v>
      </c>
      <c r="P38" s="3524">
        <v>44531</v>
      </c>
      <c r="Q38" s="3524" t="s">
        <v>3593</v>
      </c>
      <c r="R38" s="3524" t="s">
        <v>3594</v>
      </c>
      <c r="T38" s="3524">
        <v>0</v>
      </c>
      <c r="V38" s="3524" t="e">
        <v>#DIV/0!</v>
      </c>
    </row>
    <row r="39" spans="1:23" s="3524" customFormat="1">
      <c r="A39" s="3524">
        <v>93</v>
      </c>
      <c r="B39" s="3530" t="s">
        <v>3598</v>
      </c>
      <c r="C39" s="3524" t="s">
        <v>3588</v>
      </c>
      <c r="D39" s="3524" t="s">
        <v>3505</v>
      </c>
      <c r="E39" s="3524" t="s">
        <v>3589</v>
      </c>
      <c r="F39" s="3524" t="s">
        <v>3590</v>
      </c>
      <c r="G39" s="3524" t="s">
        <v>3591</v>
      </c>
      <c r="I39" s="3524">
        <v>11235.4</v>
      </c>
      <c r="J39" s="3524">
        <v>11235.4</v>
      </c>
      <c r="L39" s="3524">
        <v>43033</v>
      </c>
      <c r="M39" s="3524">
        <v>38301</v>
      </c>
      <c r="N39" s="3529">
        <v>38301</v>
      </c>
      <c r="O39" s="3524" t="s">
        <v>3595</v>
      </c>
      <c r="P39" s="3524">
        <v>44531</v>
      </c>
      <c r="Q39" s="3524" t="s">
        <v>3593</v>
      </c>
      <c r="R39" s="3524" t="s">
        <v>3594</v>
      </c>
      <c r="T39" s="3524">
        <v>0</v>
      </c>
      <c r="V39" s="3524" t="e">
        <v>#DIV/0!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3" t="str">
        <f>IF(项目基本情况!B9="房地产市场价值","估价结果一览表","结果表-2")</f>
        <v>结果表-2</v>
      </c>
      <c r="B1" s="3543"/>
      <c r="C1" s="3543"/>
      <c r="D1" s="3543"/>
      <c r="E1" s="3543"/>
      <c r="F1" s="3543"/>
      <c r="G1" s="3543"/>
      <c r="H1" s="3543"/>
      <c r="I1" s="3543"/>
    </row>
    <row r="2" spans="1:9" ht="30" customHeight="1" thickTop="1">
      <c r="A2" s="3544" t="s">
        <v>928</v>
      </c>
      <c r="B2" s="3544" t="s">
        <v>929</v>
      </c>
      <c r="C2" s="3544" t="s">
        <v>930</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
      <c r="A3" s="3545"/>
      <c r="B3" s="3545"/>
      <c r="C3" s="3545"/>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45755.040000000001</v>
      </c>
      <c r="C4" s="854">
        <f>项目基本情况!C18</f>
        <v>0</v>
      </c>
      <c r="D4" s="854">
        <f ca="1">结果表!D118</f>
        <v>139410</v>
      </c>
      <c r="E4" s="854">
        <f ca="1">结果表!E118</f>
        <v>30469</v>
      </c>
      <c r="F4" s="854">
        <f ca="1">结果表!F118</f>
        <v>43783</v>
      </c>
      <c r="G4" s="854">
        <f ca="1">结果表!G118</f>
        <v>9569</v>
      </c>
      <c r="H4" s="854">
        <f ca="1">结果表!H118</f>
        <v>183193</v>
      </c>
      <c r="I4" s="854">
        <f ca="1">结果表!I118</f>
        <v>40038</v>
      </c>
    </row>
    <row r="5" spans="1:9" ht="30" customHeight="1">
      <c r="A5" s="3545" t="s">
        <v>927</v>
      </c>
      <c r="B5" s="3545"/>
      <c r="C5" s="3545"/>
      <c r="D5" s="3545" t="str">
        <f ca="1">结果表!D119</f>
        <v>壹拾叁亿玖仟肆佰壹拾万元整</v>
      </c>
      <c r="E5" s="3545"/>
      <c r="F5" s="3545" t="str">
        <f ca="1">结果表!F119</f>
        <v>肆亿叁仟柒佰捌拾叁万元整</v>
      </c>
      <c r="G5" s="3545"/>
      <c r="H5" s="3545" t="str">
        <f ca="1">结果表!H119</f>
        <v>壹拾捌亿叁仟壹佰玖拾叁万元整</v>
      </c>
      <c r="I5" s="3545"/>
    </row>
    <row r="6" spans="1:9" ht="15.75">
      <c r="A6" s="3546" t="str">
        <f>结果表!A120</f>
        <v>估价师知悉的法定优先受偿款</v>
      </c>
      <c r="B6" s="3546"/>
      <c r="C6" s="3546"/>
      <c r="D6" s="3546">
        <f>结果表!D120</f>
        <v>0</v>
      </c>
      <c r="E6" s="3546"/>
      <c r="F6" s="3546"/>
      <c r="G6" s="3546"/>
      <c r="H6" s="3546"/>
      <c r="I6" s="3546"/>
    </row>
    <row r="7" spans="1:9" ht="15">
      <c r="A7" s="3545" t="s">
        <v>927</v>
      </c>
      <c r="B7" s="3545"/>
      <c r="C7" s="3545"/>
      <c r="D7" s="3547" t="str">
        <f>结果表!D121</f>
        <v>零元整</v>
      </c>
      <c r="E7" s="3548"/>
      <c r="F7" s="3548"/>
      <c r="G7" s="3548"/>
      <c r="H7" s="3548"/>
      <c r="I7" s="3549"/>
    </row>
    <row r="8" spans="1:9" ht="15.75">
      <c r="A8" s="3546" t="str">
        <f>结果表!A122</f>
        <v>房地产抵押价值</v>
      </c>
      <c r="B8" s="3546"/>
      <c r="C8" s="3546"/>
      <c r="D8" s="3546">
        <f ca="1">结果表!D122</f>
        <v>183193</v>
      </c>
      <c r="E8" s="3546"/>
      <c r="F8" s="3546"/>
      <c r="G8" s="3546"/>
      <c r="H8" s="3546"/>
      <c r="I8" s="3546"/>
    </row>
    <row r="9" spans="1:9" ht="15">
      <c r="A9" s="3545" t="s">
        <v>927</v>
      </c>
      <c r="B9" s="3545"/>
      <c r="C9" s="3545"/>
      <c r="D9" s="3545" t="str">
        <f ca="1">结果表!D123</f>
        <v>壹拾捌亿叁仟壹佰玖拾叁万元整</v>
      </c>
      <c r="E9" s="3545"/>
      <c r="F9" s="3545"/>
      <c r="G9" s="3545"/>
      <c r="H9" s="3545"/>
      <c r="I9" s="3545"/>
    </row>
    <row r="10" spans="1:9" ht="15.75">
      <c r="A10" s="3546" t="str">
        <f>结果表!A124</f>
        <v/>
      </c>
      <c r="B10" s="3546"/>
      <c r="C10" s="3546"/>
      <c r="D10" s="3546" t="str">
        <f>结果表!D124</f>
        <v>——</v>
      </c>
      <c r="E10" s="3546"/>
      <c r="F10" s="3546"/>
      <c r="G10" s="3546"/>
      <c r="H10" s="3546"/>
      <c r="I10" s="3546"/>
    </row>
    <row r="11" spans="1:9" ht="15">
      <c r="A11" s="3545" t="s">
        <v>927</v>
      </c>
      <c r="B11" s="3545"/>
      <c r="C11" s="3545"/>
      <c r="D11" s="3545" t="e">
        <f>结果表!D125</f>
        <v>#VALUE!</v>
      </c>
      <c r="E11" s="3545"/>
      <c r="F11" s="3545"/>
      <c r="G11" s="3545"/>
      <c r="H11" s="3545"/>
      <c r="I11" s="3545"/>
    </row>
    <row r="12" spans="1:9" ht="15.75">
      <c r="A12" s="3546" t="str">
        <f>结果表!A126</f>
        <v/>
      </c>
      <c r="B12" s="3546"/>
      <c r="C12" s="3546"/>
      <c r="D12" s="3546" t="str">
        <f>结果表!D126</f>
        <v>——</v>
      </c>
      <c r="E12" s="3546"/>
      <c r="F12" s="3546"/>
      <c r="G12" s="3546"/>
      <c r="H12" s="3546"/>
      <c r="I12" s="3546"/>
    </row>
    <row r="13" spans="1:9" ht="15.75" thickBot="1">
      <c r="A13" s="3550" t="s">
        <v>927</v>
      </c>
      <c r="B13" s="3550"/>
      <c r="C13" s="3550"/>
      <c r="D13" s="3550" t="e">
        <f>结果表!D127</f>
        <v>#VALUE!</v>
      </c>
      <c r="E13" s="3550"/>
      <c r="F13" s="3550"/>
      <c r="G13" s="3550"/>
      <c r="H13" s="3550"/>
      <c r="I13" s="3550"/>
    </row>
    <row r="14" spans="1:9" ht="15" thickTop="1">
      <c r="A14" s="3551" t="s">
        <v>932</v>
      </c>
      <c r="B14" s="3551"/>
      <c r="C14" s="3551"/>
      <c r="D14" s="3551"/>
      <c r="E14" s="3551"/>
      <c r="F14" s="3551"/>
      <c r="G14" s="3551"/>
      <c r="H14" s="3551"/>
      <c r="I14" s="355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2" t="s">
        <v>949</v>
      </c>
      <c r="B1" s="3552"/>
      <c r="C1" s="3552"/>
      <c r="D1" s="3552"/>
    </row>
    <row r="2" spans="1:4" ht="18">
      <c r="A2" s="3553" t="s">
        <v>933</v>
      </c>
      <c r="B2" s="3553"/>
      <c r="C2" s="3553"/>
      <c r="D2" s="355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53" t="s">
        <v>939</v>
      </c>
      <c r="B6" s="3553"/>
      <c r="C6" s="3553"/>
      <c r="D6" s="355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4" t="s">
        <v>942</v>
      </c>
      <c r="B11" s="3555"/>
      <c r="C11" s="3555"/>
      <c r="D11" s="3555"/>
    </row>
    <row r="12" spans="1:4" ht="15.75">
      <c r="A12" s="35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6"/>
      <c r="C12" s="3556"/>
      <c r="D12" s="3556"/>
    </row>
    <row r="13" spans="1:4" ht="30" customHeight="1">
      <c r="A13" s="35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6"/>
      <c r="C13" s="3556"/>
      <c r="D13" s="3556"/>
    </row>
    <row r="14" spans="1:4" ht="15.75" customHeight="1">
      <c r="A14" s="3555" t="str">
        <f>IF(项目基本情况!B8="抵押","4.本次评估估价师所知悉的法定优先受偿款情况说明如下：","——")</f>
        <v>4.本次评估估价师所知悉的法定优先受偿款情况说明如下：</v>
      </c>
      <c r="B14" s="3556"/>
      <c r="C14" s="3556"/>
      <c r="D14" s="3556"/>
    </row>
    <row r="15" spans="1:4" ht="42" customHeight="1">
      <c r="A15" s="355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5"/>
      <c r="C15" s="3555"/>
      <c r="D15" s="3555"/>
    </row>
    <row r="16" spans="1:4" ht="30" customHeight="1">
      <c r="A16" s="3558" t="s">
        <v>943</v>
      </c>
      <c r="B16" s="3558"/>
      <c r="C16" s="3558"/>
      <c r="D16" s="3558"/>
    </row>
    <row r="17" spans="1:4" ht="144" customHeight="1">
      <c r="A17" s="3558" t="s">
        <v>944</v>
      </c>
      <c r="B17" s="3558"/>
      <c r="C17" s="3558"/>
      <c r="D17" s="3558"/>
    </row>
    <row r="18" spans="1:4" ht="15.75" customHeight="1">
      <c r="A18" s="3555" t="str">
        <f>IF(项目基本情况!B8="抵押",结果表!K120,"——")</f>
        <v>故，本次评估不存在估价师知悉的法定优先受偿款</v>
      </c>
      <c r="B18" s="3555"/>
      <c r="C18" s="3555"/>
      <c r="D18" s="3555"/>
    </row>
    <row r="19" spans="1:4" ht="46.5" customHeight="1">
      <c r="A19" s="35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5"/>
      <c r="C19" s="3555"/>
      <c r="D19" s="3555"/>
    </row>
    <row r="20" spans="1:4" ht="57.75" customHeight="1">
      <c r="A20" s="35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5"/>
      <c r="C20" s="3555"/>
      <c r="D20" s="3555"/>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9"/>
      <c r="C21" s="3559"/>
      <c r="D21" s="3559"/>
    </row>
    <row r="22" spans="1:4" ht="18.75" customHeight="1">
      <c r="A22" s="3560" t="s">
        <v>945</v>
      </c>
      <c r="B22" s="3560"/>
      <c r="C22" s="3560"/>
      <c r="D22" s="356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7">
        <v>42551</v>
      </c>
      <c r="D31" s="35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6" t="s">
        <v>956</v>
      </c>
      <c r="B15" s="3561" t="s">
        <v>109</v>
      </c>
      <c r="C15" s="3562"/>
    </row>
    <row r="16" spans="1:7" ht="13.5">
      <c r="A16" s="3567"/>
      <c r="B16" s="3561" t="s">
        <v>42</v>
      </c>
      <c r="C16" s="3562"/>
    </row>
    <row r="17" spans="1:3" ht="13.5">
      <c r="A17" s="3567"/>
      <c r="B17" s="3564" t="s">
        <v>957</v>
      </c>
      <c r="C17" s="1532" t="s">
        <v>956</v>
      </c>
    </row>
    <row r="18" spans="1:3" ht="13.5">
      <c r="A18" s="3567"/>
      <c r="B18" s="3564"/>
      <c r="C18" s="1532" t="s">
        <v>958</v>
      </c>
    </row>
    <row r="19" spans="1:3" ht="13.5">
      <c r="A19" s="3567"/>
      <c r="B19" s="3564"/>
      <c r="C19" s="1532" t="s">
        <v>959</v>
      </c>
    </row>
    <row r="20" spans="1:3" ht="13.5">
      <c r="A20" s="3568"/>
      <c r="B20" s="3563" t="s">
        <v>960</v>
      </c>
      <c r="C20" s="3562"/>
    </row>
    <row r="21" spans="1:3" ht="13.5">
      <c r="A21" s="1533" t="s">
        <v>961</v>
      </c>
      <c r="B21" s="1534"/>
      <c r="C21" s="1535"/>
    </row>
    <row r="22" spans="1:3" ht="13.5">
      <c r="A22" s="3565" t="s">
        <v>962</v>
      </c>
      <c r="B22" s="3563" t="s">
        <v>963</v>
      </c>
      <c r="C22" s="3562"/>
    </row>
    <row r="23" spans="1:3" ht="13.5">
      <c r="A23" s="3565"/>
      <c r="B23" s="3563" t="s">
        <v>964</v>
      </c>
      <c r="C23" s="3562"/>
    </row>
    <row r="24" spans="1:3" ht="13.5">
      <c r="A24" s="3565"/>
      <c r="B24" s="3563" t="s">
        <v>965</v>
      </c>
      <c r="C24" s="3562"/>
    </row>
    <row r="25" spans="1:3" ht="13.5">
      <c r="A25" s="3565"/>
      <c r="B25" s="3564" t="s">
        <v>966</v>
      </c>
      <c r="C25" s="1532" t="s">
        <v>967</v>
      </c>
    </row>
    <row r="26" spans="1:3" ht="13.5">
      <c r="A26" s="3565"/>
      <c r="B26" s="3564"/>
      <c r="C26" s="1532" t="s">
        <v>968</v>
      </c>
    </row>
    <row r="27" spans="1:3" ht="13.5">
      <c r="A27" s="3565"/>
      <c r="B27" s="3564"/>
      <c r="C27" s="1532" t="s">
        <v>969</v>
      </c>
    </row>
    <row r="28" spans="1:3" ht="13.5">
      <c r="A28" s="3565"/>
      <c r="B28" s="3564"/>
      <c r="C28" s="1532" t="s">
        <v>970</v>
      </c>
    </row>
    <row r="29" spans="1:3" ht="13.5">
      <c r="A29" s="3565"/>
      <c r="B29" s="3564"/>
      <c r="C29" s="1532" t="s">
        <v>971</v>
      </c>
    </row>
    <row r="30" spans="1:3" ht="13.5">
      <c r="A30" s="3565"/>
      <c r="B30" s="3564"/>
      <c r="C30" s="1532" t="s">
        <v>972</v>
      </c>
    </row>
    <row r="31" spans="1:3" ht="13.5">
      <c r="A31" s="3565"/>
      <c r="B31" s="3564"/>
      <c r="C31" s="1532" t="s">
        <v>973</v>
      </c>
    </row>
    <row r="32" spans="1:3" ht="13.5">
      <c r="A32" s="3565"/>
      <c r="B32" s="3564"/>
      <c r="C32" s="1532" t="s">
        <v>974</v>
      </c>
    </row>
    <row r="33" spans="1:3" ht="13.5">
      <c r="A33" s="3565"/>
      <c r="B33" s="356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9" t="s">
        <v>2158</v>
      </c>
      <c r="B17" s="3569"/>
      <c r="C17" s="3569"/>
      <c r="D17" s="3569"/>
      <c r="E17" s="3569"/>
      <c r="F17" s="3569"/>
      <c r="G17" s="3569"/>
      <c r="H17" s="3569"/>
    </row>
    <row r="18" spans="1:8" ht="24" customHeight="1">
      <c r="A18" s="3570" t="s">
        <v>2159</v>
      </c>
      <c r="B18" s="3570"/>
      <c r="C18" s="3570"/>
      <c r="D18" s="2343"/>
      <c r="E18" s="3571" t="s">
        <v>2160</v>
      </c>
      <c r="F18" s="3570"/>
      <c r="G18" s="357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2023-05-19T01:46:16Z</dcterms:modified>
</cp:coreProperties>
</file>